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2.xml" ContentType="application/vnd.openxmlformats-officedocument.spreadsheetml.worksheet+xml"/>
  <Override PartName="/xl/chartsheets/sheet5.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Z:\TourToto\TourToto_2022\"/>
    </mc:Choice>
  </mc:AlternateContent>
  <xr:revisionPtr revIDLastSave="0" documentId="13_ncr:1_{188BC6A1-4D26-4A32-8268-67B82051CBA7}" xr6:coauthVersionLast="47" xr6:coauthVersionMax="47" xr10:uidLastSave="{00000000-0000-0000-0000-000000000000}"/>
  <bookViews>
    <workbookView xWindow="-108" yWindow="-108" windowWidth="23256" windowHeight="12456" tabRatio="891" xr2:uid="{00000000-000D-0000-FFFF-FFFF00000000}"/>
  </bookViews>
  <sheets>
    <sheet name="Etappes" sheetId="2" r:id="rId1"/>
    <sheet name="Grafiek" sheetId="18" r:id="rId2"/>
    <sheet name="peleton" sheetId="51" r:id="rId3"/>
    <sheet name="onderin" sheetId="47" r:id="rId4"/>
    <sheet name="Duitsers" sheetId="52" r:id="rId5"/>
    <sheet name="originaliteit" sheetId="19" r:id="rId6"/>
    <sheet name="Grafiek (3)" sheetId="49" r:id="rId7"/>
    <sheet name="Score" sheetId="10" r:id="rId8"/>
    <sheet name="Teams" sheetId="9" r:id="rId9"/>
    <sheet name="Majella" sheetId="12" r:id="rId10"/>
    <sheet name="TTT" sheetId="28" r:id="rId11"/>
    <sheet name="Vod" sheetId="35" r:id="rId12"/>
    <sheet name="Lothar" sheetId="21" r:id="rId13"/>
    <sheet name="Lange" sheetId="14" r:id="rId14"/>
    <sheet name="Brits" sheetId="25" r:id="rId15"/>
    <sheet name="Bangkok" sheetId="36" r:id="rId16"/>
    <sheet name="Gran" sheetId="15" r:id="rId17"/>
    <sheet name="IJff" sheetId="45" r:id="rId18"/>
    <sheet name="Kolbrelli" sheetId="33" r:id="rId19"/>
    <sheet name="Selfkant" sheetId="37" r:id="rId20"/>
    <sheet name="Freaky" sheetId="16" r:id="rId21"/>
    <sheet name="Kol" sheetId="34" state="hidden" r:id="rId22"/>
    <sheet name="Niet" sheetId="30" state="hidden" r:id="rId23"/>
    <sheet name="Vino" sheetId="32" state="hidden" r:id="rId24"/>
    <sheet name="BertT" sheetId="17" state="hidden" r:id="rId25"/>
    <sheet name="vrij1" sheetId="40" state="hidden" r:id="rId26"/>
    <sheet name="HANDLEIDING" sheetId="43" r:id="rId27"/>
    <sheet name="Blad1" sheetId="50" r:id="rId28"/>
  </sheets>
  <definedNames>
    <definedName name="aantal_deelnemers">COUNTA(originaliteit!$1:$1)</definedName>
    <definedName name="etappes">Score!$B$1:$Z$1</definedName>
    <definedName name="lijst_sheets">originaliteit!$B$1:$M$1</definedName>
    <definedName name="lijst_teams">Etappes!$B$3:$B$19</definedName>
    <definedName name="_xlnm.Print_Area" localSheetId="0">Etappes!$A$1:$Z$87</definedName>
    <definedName name="_xlnm.Print_Area" localSheetId="5">originaliteit!$A$1:$N$65</definedName>
    <definedName name="renners">Score!$B:$B</definedName>
    <definedName name="scorematrix">Score!$B:$Z</definedName>
    <definedName name="TABLE" localSheetId="24">BertT!#REF!</definedName>
    <definedName name="TABLE" localSheetId="16">Gran!#REF!</definedName>
    <definedName name="TABLE" localSheetId="18">Kolbrelli!#REF!</definedName>
    <definedName name="TABLE" localSheetId="23">Vino!#REF!</definedName>
    <definedName name="TABLE_2" localSheetId="24">BertT!#REF!</definedName>
    <definedName name="TABLE_2" localSheetId="16">Gran!#REF!</definedName>
    <definedName name="TABLE_2" localSheetId="18">Kolbrelli!#REF!</definedName>
    <definedName name="TABLE_2" localSheetId="23">Vino!#REF!</definedName>
    <definedName name="TABLE_3" localSheetId="24">BertT!#REF!</definedName>
    <definedName name="TABLE_3" localSheetId="16">Gran!#REF!</definedName>
    <definedName name="TABLE_3" localSheetId="18">Kolbrelli!#REF!</definedName>
    <definedName name="TABLE_3" localSheetId="23">Vino!#REF!</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31" i="10" l="1"/>
  <c r="Y38" i="10"/>
  <c r="Y53" i="10"/>
  <c r="W18" i="10"/>
  <c r="W37" i="10"/>
  <c r="W25" i="10"/>
  <c r="W40" i="10"/>
  <c r="V54" i="10"/>
  <c r="V24" i="10"/>
  <c r="V53" i="10"/>
  <c r="V49" i="10"/>
  <c r="Z4" i="45"/>
  <c r="Z5" i="45"/>
  <c r="Z6" i="45"/>
  <c r="Z7" i="45"/>
  <c r="Z8" i="45"/>
  <c r="Z9" i="45"/>
  <c r="Z10" i="45"/>
  <c r="Z11" i="45"/>
  <c r="Z12" i="45"/>
  <c r="Z13" i="45"/>
  <c r="Z14" i="45"/>
  <c r="Z15" i="45"/>
  <c r="Z16" i="45"/>
  <c r="Z17" i="45"/>
  <c r="Z18" i="45"/>
  <c r="Z19" i="45"/>
  <c r="Z20" i="45"/>
  <c r="Y49" i="10"/>
  <c r="Z25" i="12"/>
  <c r="W53" i="10"/>
  <c r="W49" i="10"/>
  <c r="U49" i="10"/>
  <c r="U53" i="10"/>
  <c r="U37" i="10"/>
  <c r="U54" i="10"/>
  <c r="U13" i="10"/>
  <c r="U47" i="10"/>
  <c r="U21" i="10"/>
  <c r="U14" i="10"/>
  <c r="T55" i="10"/>
  <c r="T25" i="10"/>
  <c r="T3" i="10"/>
  <c r="T54" i="10"/>
  <c r="T32" i="10"/>
  <c r="T40" i="10"/>
  <c r="T13" i="10"/>
  <c r="T47" i="10"/>
  <c r="T39" i="10"/>
  <c r="T49" i="10"/>
  <c r="T53" i="10"/>
  <c r="S31" i="10"/>
  <c r="S32" i="10"/>
  <c r="S8" i="10"/>
  <c r="S29" i="10"/>
  <c r="S54" i="10"/>
  <c r="S3" i="10"/>
  <c r="S13" i="10"/>
  <c r="S40" i="10"/>
  <c r="S25" i="10"/>
  <c r="S47" i="10"/>
  <c r="S53" i="10"/>
  <c r="R31" i="10"/>
  <c r="R32" i="10"/>
  <c r="R38" i="10"/>
  <c r="R54" i="10"/>
  <c r="R13" i="10"/>
  <c r="R40" i="10"/>
  <c r="R47" i="10"/>
  <c r="R53" i="10"/>
  <c r="R49" i="10"/>
  <c r="Q32" i="10"/>
  <c r="Q36" i="10"/>
  <c r="Q49" i="10"/>
  <c r="Q38" i="10"/>
  <c r="Q47" i="10"/>
  <c r="Q53" i="10"/>
  <c r="Q42" i="10"/>
  <c r="Q37" i="10"/>
  <c r="P53" i="10" l="1"/>
  <c r="P32" i="10"/>
  <c r="P38" i="10"/>
  <c r="P39" i="10"/>
  <c r="P30" i="10"/>
  <c r="N8" i="10" l="1"/>
  <c r="O53" i="10"/>
  <c r="O36" i="10"/>
  <c r="O38" i="10"/>
  <c r="O49" i="10"/>
  <c r="N32" i="10"/>
  <c r="N54" i="10"/>
  <c r="N29" i="10"/>
  <c r="N13" i="10"/>
  <c r="N38" i="10"/>
  <c r="N40" i="10"/>
  <c r="N3" i="10"/>
  <c r="N55" i="10"/>
  <c r="N47" i="10"/>
  <c r="N53" i="10"/>
  <c r="N25" i="10"/>
  <c r="M38" i="10"/>
  <c r="M53" i="10"/>
  <c r="M29" i="10"/>
  <c r="M25" i="10"/>
  <c r="M54" i="10"/>
  <c r="M13" i="10"/>
  <c r="M55" i="10"/>
  <c r="M40" i="10"/>
  <c r="M47" i="10"/>
  <c r="M3" i="10"/>
  <c r="L24" i="10"/>
  <c r="L38" i="10"/>
  <c r="L19" i="10"/>
  <c r="K39" i="10"/>
  <c r="K40" i="10"/>
  <c r="K29" i="10"/>
  <c r="K38" i="10"/>
  <c r="K3" i="10"/>
  <c r="K13" i="10"/>
  <c r="K55" i="10"/>
  <c r="K47" i="10"/>
  <c r="K53" i="10"/>
  <c r="K7" i="10"/>
  <c r="J53" i="10"/>
  <c r="J29" i="10"/>
  <c r="J38" i="10"/>
  <c r="J3" i="10"/>
  <c r="J13" i="10"/>
  <c r="J55" i="10"/>
  <c r="J47" i="10"/>
  <c r="J54" i="10"/>
  <c r="J30" i="10"/>
  <c r="J49" i="10"/>
  <c r="I19" i="10"/>
  <c r="I53" i="10"/>
  <c r="I37" i="10"/>
  <c r="I28" i="10"/>
  <c r="I29" i="10"/>
  <c r="I38" i="10"/>
  <c r="I3" i="10"/>
  <c r="I13" i="10"/>
  <c r="I55" i="10"/>
  <c r="I47" i="10"/>
  <c r="I40" i="10"/>
  <c r="I27" i="10"/>
  <c r="I48" i="10"/>
  <c r="K7" i="12"/>
  <c r="H37" i="10"/>
  <c r="H13" i="10"/>
  <c r="H49" i="10"/>
  <c r="H3" i="10"/>
  <c r="H28" i="10"/>
  <c r="H54" i="10"/>
  <c r="H47" i="10"/>
  <c r="H38" i="10"/>
  <c r="H55" i="10"/>
  <c r="H53" i="10"/>
  <c r="J4" i="14"/>
  <c r="H45" i="10"/>
  <c r="H40" i="10"/>
  <c r="H30" i="10"/>
  <c r="Z5" i="12"/>
  <c r="Z6" i="12"/>
  <c r="Z7" i="12"/>
  <c r="Z8" i="12"/>
  <c r="Z9" i="12"/>
  <c r="Z10" i="12"/>
  <c r="Z11" i="12"/>
  <c r="Z12" i="12"/>
  <c r="Z13" i="12"/>
  <c r="Z14" i="12"/>
  <c r="Z15" i="12"/>
  <c r="Z16" i="12"/>
  <c r="Z17" i="12"/>
  <c r="Z18" i="12"/>
  <c r="Z19" i="12"/>
  <c r="Z20" i="12"/>
  <c r="Z5" i="15"/>
  <c r="Z6" i="15"/>
  <c r="Z7" i="15"/>
  <c r="Z8" i="15"/>
  <c r="Z9" i="15"/>
  <c r="Z10" i="15"/>
  <c r="Z11" i="15"/>
  <c r="Z12" i="15"/>
  <c r="Z13" i="15"/>
  <c r="Z14" i="15"/>
  <c r="Z15" i="15"/>
  <c r="Z16" i="15"/>
  <c r="Z17" i="15"/>
  <c r="Z18" i="15"/>
  <c r="Z19" i="15"/>
  <c r="Z20" i="15"/>
  <c r="Z5" i="25"/>
  <c r="Z6" i="25"/>
  <c r="Z7" i="25"/>
  <c r="Z8" i="25"/>
  <c r="Z9" i="25"/>
  <c r="Z10" i="25"/>
  <c r="Z11" i="25"/>
  <c r="Z12" i="25"/>
  <c r="Z13" i="25"/>
  <c r="Z14" i="25"/>
  <c r="Z15" i="25"/>
  <c r="Z16" i="25"/>
  <c r="Z17" i="25"/>
  <c r="Z18" i="25"/>
  <c r="Z19" i="25"/>
  <c r="Z20" i="25"/>
  <c r="Z5" i="35"/>
  <c r="Z6" i="35"/>
  <c r="Z7" i="35"/>
  <c r="Z8" i="35"/>
  <c r="Z9" i="35"/>
  <c r="Z10" i="35"/>
  <c r="Z11" i="35"/>
  <c r="Z12" i="35"/>
  <c r="Z13" i="35"/>
  <c r="Z14" i="35"/>
  <c r="Z15" i="35"/>
  <c r="Z16" i="35"/>
  <c r="Z17" i="35"/>
  <c r="Z18" i="35"/>
  <c r="Z19" i="35"/>
  <c r="Z20" i="35"/>
  <c r="Z5" i="21"/>
  <c r="Z6" i="21"/>
  <c r="Z7" i="21"/>
  <c r="Z8" i="21"/>
  <c r="Z9" i="21"/>
  <c r="Z10" i="21"/>
  <c r="Z11" i="21"/>
  <c r="Z12" i="21"/>
  <c r="Z13" i="21"/>
  <c r="Z14" i="21"/>
  <c r="Z15" i="21"/>
  <c r="Z16" i="21"/>
  <c r="Z17" i="21"/>
  <c r="Z18" i="21"/>
  <c r="Z19" i="21"/>
  <c r="Z20" i="21"/>
  <c r="Z5" i="28"/>
  <c r="Z6" i="28"/>
  <c r="Z7" i="28"/>
  <c r="Z8" i="28"/>
  <c r="Z9" i="28"/>
  <c r="Z10" i="28"/>
  <c r="Z11" i="28"/>
  <c r="Z12" i="28"/>
  <c r="Z13" i="28"/>
  <c r="Z14" i="28"/>
  <c r="Z15" i="28"/>
  <c r="Z16" i="28"/>
  <c r="Z17" i="28"/>
  <c r="Z18" i="28"/>
  <c r="Z19" i="28"/>
  <c r="Z20" i="28"/>
  <c r="Z5" i="37"/>
  <c r="Z6" i="37"/>
  <c r="Z7" i="37"/>
  <c r="Z8" i="37"/>
  <c r="Z9" i="37"/>
  <c r="Z10" i="37"/>
  <c r="Z11" i="37"/>
  <c r="Z12" i="37"/>
  <c r="Z13" i="37"/>
  <c r="Z14" i="37"/>
  <c r="Z15" i="37"/>
  <c r="Z16" i="37"/>
  <c r="Z17" i="37"/>
  <c r="Z18" i="37"/>
  <c r="Z19" i="37"/>
  <c r="Z20" i="37"/>
  <c r="Z5" i="36"/>
  <c r="Z6" i="36"/>
  <c r="Z7" i="36"/>
  <c r="Z8" i="36"/>
  <c r="Z9" i="36"/>
  <c r="Z10" i="36"/>
  <c r="Z11" i="36"/>
  <c r="Z12" i="36"/>
  <c r="Z13" i="36"/>
  <c r="Z14" i="36"/>
  <c r="Z15" i="36"/>
  <c r="Z16" i="36"/>
  <c r="Z17" i="36"/>
  <c r="Z18" i="36"/>
  <c r="Z19" i="36"/>
  <c r="Z20" i="36"/>
  <c r="Z5" i="33"/>
  <c r="Z6" i="33"/>
  <c r="Z7" i="33"/>
  <c r="Z8" i="33"/>
  <c r="Z9" i="33"/>
  <c r="Z10" i="33"/>
  <c r="Z11" i="33"/>
  <c r="Z12" i="33"/>
  <c r="Z13" i="33"/>
  <c r="Z14" i="33"/>
  <c r="Z15" i="33"/>
  <c r="Z16" i="33"/>
  <c r="Z17" i="33"/>
  <c r="Z18" i="33"/>
  <c r="Z19" i="33"/>
  <c r="Z20" i="33"/>
  <c r="Z5" i="16"/>
  <c r="Z6" i="16"/>
  <c r="Z7" i="16"/>
  <c r="Z8" i="16"/>
  <c r="Z9" i="16"/>
  <c r="Z10" i="16"/>
  <c r="Z11" i="16"/>
  <c r="Z12" i="16"/>
  <c r="Z13" i="16"/>
  <c r="Z14" i="16"/>
  <c r="Z15" i="16"/>
  <c r="Z16" i="16"/>
  <c r="Z17" i="16"/>
  <c r="Z18" i="16"/>
  <c r="Z19" i="16"/>
  <c r="Z20" i="16"/>
  <c r="Z5" i="14"/>
  <c r="Z6" i="14"/>
  <c r="Z7" i="14"/>
  <c r="Z8" i="14"/>
  <c r="Z9" i="14"/>
  <c r="Z10" i="14"/>
  <c r="Z11" i="14"/>
  <c r="Z12" i="14"/>
  <c r="Z13" i="14"/>
  <c r="Z14" i="14"/>
  <c r="Z15" i="14"/>
  <c r="Z16" i="14"/>
  <c r="Z17" i="14"/>
  <c r="Z18" i="14"/>
  <c r="Z19" i="14"/>
  <c r="Z20" i="14"/>
  <c r="F4" i="12"/>
  <c r="G4" i="12"/>
  <c r="H4" i="12"/>
  <c r="I4" i="12"/>
  <c r="J4" i="12"/>
  <c r="K4" i="12"/>
  <c r="L4" i="12"/>
  <c r="M4" i="12"/>
  <c r="N4" i="12"/>
  <c r="O4" i="12"/>
  <c r="P4" i="12"/>
  <c r="Q4" i="12"/>
  <c r="R4" i="12"/>
  <c r="S4" i="12"/>
  <c r="T4" i="12"/>
  <c r="U4" i="12"/>
  <c r="V4" i="12"/>
  <c r="W4" i="12"/>
  <c r="X4" i="12"/>
  <c r="Y4" i="12"/>
  <c r="D49" i="10"/>
  <c r="F5" i="12"/>
  <c r="E49" i="10"/>
  <c r="G5" i="12"/>
  <c r="F49" i="10"/>
  <c r="H5" i="12"/>
  <c r="G49" i="10"/>
  <c r="I5" i="12"/>
  <c r="J5" i="12"/>
  <c r="K5" i="12"/>
  <c r="L5" i="12"/>
  <c r="M5" i="12"/>
  <c r="N5" i="12"/>
  <c r="O5" i="12"/>
  <c r="P5" i="12"/>
  <c r="Q5" i="12"/>
  <c r="R5" i="12"/>
  <c r="S5" i="12"/>
  <c r="T5" i="12"/>
  <c r="U5" i="12"/>
  <c r="V5" i="12"/>
  <c r="W5" i="12"/>
  <c r="X5" i="12"/>
  <c r="Y5" i="12"/>
  <c r="D50" i="10"/>
  <c r="F6" i="12"/>
  <c r="G6" i="12"/>
  <c r="H6" i="12"/>
  <c r="I6" i="12"/>
  <c r="J6" i="12"/>
  <c r="K6" i="12"/>
  <c r="L6" i="12"/>
  <c r="M6" i="12"/>
  <c r="N6" i="12"/>
  <c r="O6" i="12"/>
  <c r="P6" i="12"/>
  <c r="Q6" i="12"/>
  <c r="R6" i="12"/>
  <c r="S6" i="12"/>
  <c r="T6" i="12"/>
  <c r="U6" i="12"/>
  <c r="V6" i="12"/>
  <c r="W6" i="12"/>
  <c r="X6" i="12"/>
  <c r="Y6" i="12"/>
  <c r="F7" i="12"/>
  <c r="G7" i="12"/>
  <c r="H7" i="12"/>
  <c r="G53" i="10"/>
  <c r="I7" i="12"/>
  <c r="J7" i="12"/>
  <c r="L7" i="12"/>
  <c r="M7" i="12"/>
  <c r="N7" i="12"/>
  <c r="O7" i="12"/>
  <c r="P7" i="12"/>
  <c r="Q7" i="12"/>
  <c r="R7" i="12"/>
  <c r="S7" i="12"/>
  <c r="T7" i="12"/>
  <c r="U7" i="12"/>
  <c r="V7" i="12"/>
  <c r="W7" i="12"/>
  <c r="X7" i="12"/>
  <c r="Y7" i="12"/>
  <c r="F8" i="12"/>
  <c r="G8" i="12"/>
  <c r="H8" i="12"/>
  <c r="I8" i="12"/>
  <c r="J8" i="12"/>
  <c r="K8" i="12"/>
  <c r="L8" i="12"/>
  <c r="M8" i="12"/>
  <c r="N8" i="12"/>
  <c r="O8" i="12"/>
  <c r="P8" i="12"/>
  <c r="Q8" i="12"/>
  <c r="R8" i="12"/>
  <c r="S8" i="12"/>
  <c r="T8" i="12"/>
  <c r="U8" i="12"/>
  <c r="V8" i="12"/>
  <c r="W8" i="12"/>
  <c r="X8" i="12"/>
  <c r="Y8" i="12"/>
  <c r="F9" i="12"/>
  <c r="G9" i="12"/>
  <c r="H9" i="12"/>
  <c r="I9" i="12"/>
  <c r="J9" i="12"/>
  <c r="K9" i="12"/>
  <c r="L9" i="12"/>
  <c r="M9" i="12"/>
  <c r="N9" i="12"/>
  <c r="O9" i="12"/>
  <c r="P9" i="12"/>
  <c r="Q9" i="12"/>
  <c r="R9" i="12"/>
  <c r="S9" i="12"/>
  <c r="T9" i="12"/>
  <c r="U9" i="12"/>
  <c r="V9" i="12"/>
  <c r="W9" i="12"/>
  <c r="X9" i="12"/>
  <c r="Y9" i="12"/>
  <c r="F10" i="12"/>
  <c r="G10" i="12"/>
  <c r="H10" i="12"/>
  <c r="I10" i="12"/>
  <c r="J10" i="12"/>
  <c r="K10" i="12"/>
  <c r="L10" i="12"/>
  <c r="M10" i="12"/>
  <c r="N10" i="12"/>
  <c r="O10" i="12"/>
  <c r="P10" i="12"/>
  <c r="Q10" i="12"/>
  <c r="R10" i="12"/>
  <c r="S10" i="12"/>
  <c r="T10" i="12"/>
  <c r="U10" i="12"/>
  <c r="V10" i="12"/>
  <c r="W10" i="12"/>
  <c r="X10" i="12"/>
  <c r="Y10" i="12"/>
  <c r="F11" i="12"/>
  <c r="G11" i="12"/>
  <c r="H11" i="12"/>
  <c r="I11" i="12"/>
  <c r="J11" i="12"/>
  <c r="K11" i="12"/>
  <c r="L11" i="12"/>
  <c r="M11" i="12"/>
  <c r="N11" i="12"/>
  <c r="O11" i="12"/>
  <c r="P11" i="12"/>
  <c r="Q11" i="12"/>
  <c r="R11" i="12"/>
  <c r="S11" i="12"/>
  <c r="T11" i="12"/>
  <c r="U11" i="12"/>
  <c r="V11" i="12"/>
  <c r="W11" i="12"/>
  <c r="X11" i="12"/>
  <c r="Y11" i="12"/>
  <c r="F12" i="12"/>
  <c r="G12" i="12"/>
  <c r="H12" i="12"/>
  <c r="I12" i="12"/>
  <c r="J12" i="12"/>
  <c r="K12" i="12"/>
  <c r="L12" i="12"/>
  <c r="M12" i="12"/>
  <c r="N12" i="12"/>
  <c r="O12" i="12"/>
  <c r="P12" i="12"/>
  <c r="Q12" i="12"/>
  <c r="R12" i="12"/>
  <c r="S12" i="12"/>
  <c r="T12" i="12"/>
  <c r="U12" i="12"/>
  <c r="V12" i="12"/>
  <c r="W12" i="12"/>
  <c r="X12" i="12"/>
  <c r="Y12" i="12"/>
  <c r="D36" i="10"/>
  <c r="F13" i="12"/>
  <c r="E36" i="10"/>
  <c r="G13" i="12"/>
  <c r="F36" i="10"/>
  <c r="H13" i="12"/>
  <c r="I13" i="12"/>
  <c r="J13" i="12"/>
  <c r="K13" i="12"/>
  <c r="L13" i="12"/>
  <c r="M13" i="12"/>
  <c r="N13" i="12"/>
  <c r="O13" i="12"/>
  <c r="P13" i="12"/>
  <c r="Q13" i="12"/>
  <c r="R13" i="12"/>
  <c r="S13" i="12"/>
  <c r="T13" i="12"/>
  <c r="U13" i="12"/>
  <c r="V13" i="12"/>
  <c r="W13" i="12"/>
  <c r="X13" i="12"/>
  <c r="Y13" i="12"/>
  <c r="F14" i="12"/>
  <c r="E14" i="10"/>
  <c r="G14" i="12"/>
  <c r="H14" i="12"/>
  <c r="I14" i="12"/>
  <c r="J14" i="12"/>
  <c r="K14" i="12"/>
  <c r="L14" i="12"/>
  <c r="M14" i="12"/>
  <c r="N14" i="12"/>
  <c r="O14" i="12"/>
  <c r="P14" i="12"/>
  <c r="Q14" i="12"/>
  <c r="R14" i="12"/>
  <c r="S14" i="12"/>
  <c r="T14" i="12"/>
  <c r="U14" i="12"/>
  <c r="V14" i="12"/>
  <c r="W14" i="12"/>
  <c r="X14" i="12"/>
  <c r="Y14" i="12"/>
  <c r="D18" i="10"/>
  <c r="F15" i="12"/>
  <c r="E18" i="10"/>
  <c r="G15" i="12"/>
  <c r="F18" i="10"/>
  <c r="H15" i="12"/>
  <c r="G18" i="10"/>
  <c r="I15" i="12"/>
  <c r="J15" i="12"/>
  <c r="K15" i="12"/>
  <c r="L15" i="12"/>
  <c r="M15" i="12"/>
  <c r="N15" i="12"/>
  <c r="O15" i="12"/>
  <c r="P15" i="12"/>
  <c r="Q15" i="12"/>
  <c r="R15" i="12"/>
  <c r="S15" i="12"/>
  <c r="T15" i="12"/>
  <c r="U15" i="12"/>
  <c r="V15" i="12"/>
  <c r="W15" i="12"/>
  <c r="X15" i="12"/>
  <c r="Y15" i="12"/>
  <c r="D37" i="10"/>
  <c r="F16" i="12"/>
  <c r="G16" i="12"/>
  <c r="F37" i="10"/>
  <c r="H16" i="12"/>
  <c r="G37" i="10"/>
  <c r="I16" i="12"/>
  <c r="J16" i="12"/>
  <c r="K16" i="12"/>
  <c r="L16" i="12"/>
  <c r="M16" i="12"/>
  <c r="N16" i="12"/>
  <c r="O16" i="12"/>
  <c r="P16" i="12"/>
  <c r="Q16" i="12"/>
  <c r="R16" i="12"/>
  <c r="S16" i="12"/>
  <c r="T16" i="12"/>
  <c r="U16" i="12"/>
  <c r="V16" i="12"/>
  <c r="W16" i="12"/>
  <c r="X16" i="12"/>
  <c r="Y16" i="12"/>
  <c r="F17" i="12"/>
  <c r="G17" i="12"/>
  <c r="F21" i="10"/>
  <c r="H17" i="12"/>
  <c r="I17" i="12"/>
  <c r="J17" i="12"/>
  <c r="K17" i="12"/>
  <c r="L17" i="12"/>
  <c r="M17" i="12"/>
  <c r="N17" i="12"/>
  <c r="O17" i="12"/>
  <c r="P17" i="12"/>
  <c r="Q17" i="12"/>
  <c r="R17" i="12"/>
  <c r="S17" i="12"/>
  <c r="T17" i="12"/>
  <c r="U17" i="12"/>
  <c r="V17" i="12"/>
  <c r="W17" i="12"/>
  <c r="X17" i="12"/>
  <c r="Y17" i="12"/>
  <c r="F18" i="12"/>
  <c r="G18" i="12"/>
  <c r="H18" i="12"/>
  <c r="I18" i="12"/>
  <c r="J18" i="12"/>
  <c r="K18" i="12"/>
  <c r="L18" i="12"/>
  <c r="M18" i="12"/>
  <c r="N18" i="12"/>
  <c r="O18" i="12"/>
  <c r="P18" i="12"/>
  <c r="Q18" i="12"/>
  <c r="R18" i="12"/>
  <c r="S18" i="12"/>
  <c r="T18" i="12"/>
  <c r="U18" i="12"/>
  <c r="V18" i="12"/>
  <c r="W18" i="12"/>
  <c r="X18" i="12"/>
  <c r="Y18" i="12"/>
  <c r="F19" i="12"/>
  <c r="G19" i="12"/>
  <c r="H19" i="12"/>
  <c r="I19" i="12"/>
  <c r="J19" i="12"/>
  <c r="K19" i="12"/>
  <c r="L19" i="12"/>
  <c r="M19" i="12"/>
  <c r="N19" i="12"/>
  <c r="O19" i="12"/>
  <c r="P19" i="12"/>
  <c r="Q19" i="12"/>
  <c r="R19" i="12"/>
  <c r="S19" i="12"/>
  <c r="T19" i="12"/>
  <c r="U19" i="12"/>
  <c r="V19" i="12"/>
  <c r="W19" i="12"/>
  <c r="X19" i="12"/>
  <c r="Y19" i="12"/>
  <c r="F20" i="12"/>
  <c r="G20" i="12"/>
  <c r="H20" i="12"/>
  <c r="I20" i="12"/>
  <c r="J20" i="12"/>
  <c r="K20" i="12"/>
  <c r="L20" i="12"/>
  <c r="M20" i="12"/>
  <c r="N20" i="12"/>
  <c r="O20" i="12"/>
  <c r="P20" i="12"/>
  <c r="Q20" i="12"/>
  <c r="R20" i="12"/>
  <c r="S20" i="12"/>
  <c r="T20" i="12"/>
  <c r="U20" i="12"/>
  <c r="V20" i="12"/>
  <c r="W20" i="12"/>
  <c r="X20" i="12"/>
  <c r="Y20" i="12"/>
  <c r="F4" i="15"/>
  <c r="G4" i="15"/>
  <c r="H4" i="15"/>
  <c r="I4" i="15"/>
  <c r="J4" i="15"/>
  <c r="K4" i="15"/>
  <c r="L4" i="15"/>
  <c r="M4" i="15"/>
  <c r="N4" i="15"/>
  <c r="O4" i="15"/>
  <c r="P4" i="15"/>
  <c r="Q4" i="15"/>
  <c r="R4" i="15"/>
  <c r="S4" i="15"/>
  <c r="T4" i="15"/>
  <c r="U4" i="15"/>
  <c r="V4" i="15"/>
  <c r="W4" i="15"/>
  <c r="X4" i="15"/>
  <c r="Y4" i="15"/>
  <c r="F5" i="15"/>
  <c r="G5" i="15"/>
  <c r="H5" i="15"/>
  <c r="I5" i="15"/>
  <c r="J5" i="15"/>
  <c r="K5" i="15"/>
  <c r="L5" i="15"/>
  <c r="M5" i="15"/>
  <c r="N5" i="15"/>
  <c r="O5" i="15"/>
  <c r="P5" i="15"/>
  <c r="Q5" i="15"/>
  <c r="R5" i="15"/>
  <c r="S5" i="15"/>
  <c r="T5" i="15"/>
  <c r="U5" i="15"/>
  <c r="V5" i="15"/>
  <c r="W5" i="15"/>
  <c r="X5" i="15"/>
  <c r="Y5" i="15"/>
  <c r="F6" i="15"/>
  <c r="G6" i="15"/>
  <c r="H6" i="15"/>
  <c r="I6" i="15"/>
  <c r="J6" i="15"/>
  <c r="K6" i="15"/>
  <c r="L6" i="15"/>
  <c r="M6" i="15"/>
  <c r="N6" i="15"/>
  <c r="O6" i="15"/>
  <c r="P6" i="15"/>
  <c r="Q6" i="15"/>
  <c r="R6" i="15"/>
  <c r="S6" i="15"/>
  <c r="T6" i="15"/>
  <c r="U6" i="15"/>
  <c r="V6" i="15"/>
  <c r="W6" i="15"/>
  <c r="X6" i="15"/>
  <c r="Y6" i="15"/>
  <c r="D42" i="10"/>
  <c r="F7" i="15"/>
  <c r="E42" i="10"/>
  <c r="G7" i="15"/>
  <c r="F42" i="10"/>
  <c r="H7" i="15"/>
  <c r="I7" i="15"/>
  <c r="J7" i="15"/>
  <c r="K7" i="15"/>
  <c r="L7" i="15"/>
  <c r="M7" i="15"/>
  <c r="N7" i="15"/>
  <c r="O7" i="15"/>
  <c r="P7" i="15"/>
  <c r="Q7" i="15"/>
  <c r="R7" i="15"/>
  <c r="S7" i="15"/>
  <c r="T7" i="15"/>
  <c r="U7" i="15"/>
  <c r="V7" i="15"/>
  <c r="W7" i="15"/>
  <c r="X7" i="15"/>
  <c r="Y7" i="15"/>
  <c r="F8" i="15"/>
  <c r="G8" i="15"/>
  <c r="H8" i="15"/>
  <c r="I8" i="15"/>
  <c r="J8" i="15"/>
  <c r="K8" i="15"/>
  <c r="L8" i="15"/>
  <c r="M8" i="15"/>
  <c r="N8" i="15"/>
  <c r="O8" i="15"/>
  <c r="P8" i="15"/>
  <c r="Q8" i="15"/>
  <c r="R8" i="15"/>
  <c r="S8" i="15"/>
  <c r="T8" i="15"/>
  <c r="U8" i="15"/>
  <c r="V8" i="15"/>
  <c r="W8" i="15"/>
  <c r="X8" i="15"/>
  <c r="Y8" i="15"/>
  <c r="F9" i="15"/>
  <c r="G9" i="15"/>
  <c r="H9" i="15"/>
  <c r="I9" i="15"/>
  <c r="J9" i="15"/>
  <c r="K9" i="15"/>
  <c r="L9" i="15"/>
  <c r="M9" i="15"/>
  <c r="N9" i="15"/>
  <c r="O9" i="15"/>
  <c r="P9" i="15"/>
  <c r="Q9" i="15"/>
  <c r="R9" i="15"/>
  <c r="S9" i="15"/>
  <c r="T9" i="15"/>
  <c r="U9" i="15"/>
  <c r="V9" i="15"/>
  <c r="W9" i="15"/>
  <c r="X9" i="15"/>
  <c r="Y9" i="15"/>
  <c r="F10" i="15"/>
  <c r="G10" i="15"/>
  <c r="H10" i="15"/>
  <c r="I10" i="15"/>
  <c r="J10" i="15"/>
  <c r="K10" i="15"/>
  <c r="L10" i="15"/>
  <c r="M10" i="15"/>
  <c r="N10" i="15"/>
  <c r="O10" i="15"/>
  <c r="P10" i="15"/>
  <c r="Q10" i="15"/>
  <c r="R10" i="15"/>
  <c r="S10" i="15"/>
  <c r="T10" i="15"/>
  <c r="U10" i="15"/>
  <c r="V10" i="15"/>
  <c r="W10" i="15"/>
  <c r="X10" i="15"/>
  <c r="Y10" i="15"/>
  <c r="F11" i="15"/>
  <c r="G11" i="15"/>
  <c r="H11" i="15"/>
  <c r="I11" i="15"/>
  <c r="J11" i="15"/>
  <c r="K11" i="15"/>
  <c r="L11" i="15"/>
  <c r="M11" i="15"/>
  <c r="N11" i="15"/>
  <c r="O11" i="15"/>
  <c r="P11" i="15"/>
  <c r="Q11" i="15"/>
  <c r="R11" i="15"/>
  <c r="S11" i="15"/>
  <c r="T11" i="15"/>
  <c r="U11" i="15"/>
  <c r="V11" i="15"/>
  <c r="W11" i="15"/>
  <c r="X11" i="15"/>
  <c r="Y11" i="15"/>
  <c r="F12" i="15"/>
  <c r="G12" i="15"/>
  <c r="H12" i="15"/>
  <c r="I12" i="15"/>
  <c r="J12" i="15"/>
  <c r="K12" i="15"/>
  <c r="L12" i="15"/>
  <c r="M12" i="15"/>
  <c r="N12" i="15"/>
  <c r="O12" i="15"/>
  <c r="P12" i="15"/>
  <c r="Q12" i="15"/>
  <c r="R12" i="15"/>
  <c r="S12" i="15"/>
  <c r="T12" i="15"/>
  <c r="U12" i="15"/>
  <c r="V12" i="15"/>
  <c r="W12" i="15"/>
  <c r="X12" i="15"/>
  <c r="Y12" i="15"/>
  <c r="F13" i="15"/>
  <c r="G13" i="15"/>
  <c r="H13" i="15"/>
  <c r="I13" i="15"/>
  <c r="J13" i="15"/>
  <c r="K13" i="15"/>
  <c r="L13" i="15"/>
  <c r="M13" i="15"/>
  <c r="N13" i="15"/>
  <c r="O13" i="15"/>
  <c r="P13" i="15"/>
  <c r="Q13" i="15"/>
  <c r="R13" i="15"/>
  <c r="S13" i="15"/>
  <c r="T13" i="15"/>
  <c r="U13" i="15"/>
  <c r="V13" i="15"/>
  <c r="W13" i="15"/>
  <c r="X13" i="15"/>
  <c r="Y13" i="15"/>
  <c r="F14" i="15"/>
  <c r="G14" i="15"/>
  <c r="H14" i="15"/>
  <c r="I14" i="15"/>
  <c r="J14" i="15"/>
  <c r="K14" i="15"/>
  <c r="L14" i="15"/>
  <c r="M14" i="15"/>
  <c r="N14" i="15"/>
  <c r="O14" i="15"/>
  <c r="P14" i="15"/>
  <c r="Q14" i="15"/>
  <c r="R14" i="15"/>
  <c r="S14" i="15"/>
  <c r="T14" i="15"/>
  <c r="U14" i="15"/>
  <c r="V14" i="15"/>
  <c r="W14" i="15"/>
  <c r="X14" i="15"/>
  <c r="Y14" i="15"/>
  <c r="F15" i="15"/>
  <c r="G15" i="15"/>
  <c r="H15" i="15"/>
  <c r="I15" i="15"/>
  <c r="J15" i="15"/>
  <c r="K15" i="15"/>
  <c r="L15" i="15"/>
  <c r="M15" i="15"/>
  <c r="N15" i="15"/>
  <c r="O15" i="15"/>
  <c r="P15" i="15"/>
  <c r="Q15" i="15"/>
  <c r="R15" i="15"/>
  <c r="S15" i="15"/>
  <c r="T15" i="15"/>
  <c r="U15" i="15"/>
  <c r="V15" i="15"/>
  <c r="W15" i="15"/>
  <c r="X15" i="15"/>
  <c r="Y15" i="15"/>
  <c r="F16" i="15"/>
  <c r="G16" i="15"/>
  <c r="H16" i="15"/>
  <c r="I16" i="15"/>
  <c r="J16" i="15"/>
  <c r="K16" i="15"/>
  <c r="L16" i="15"/>
  <c r="M16" i="15"/>
  <c r="N16" i="15"/>
  <c r="O16" i="15"/>
  <c r="P16" i="15"/>
  <c r="Q16" i="15"/>
  <c r="R16" i="15"/>
  <c r="S16" i="15"/>
  <c r="T16" i="15"/>
  <c r="U16" i="15"/>
  <c r="V16" i="15"/>
  <c r="W16" i="15"/>
  <c r="X16" i="15"/>
  <c r="Y16" i="15"/>
  <c r="F17" i="15"/>
  <c r="G17" i="15"/>
  <c r="H17" i="15"/>
  <c r="I17" i="15"/>
  <c r="J17" i="15"/>
  <c r="L17" i="15"/>
  <c r="M17" i="15"/>
  <c r="N17" i="15"/>
  <c r="O17" i="15"/>
  <c r="P17" i="15"/>
  <c r="Q17" i="15"/>
  <c r="R17" i="15"/>
  <c r="S17" i="15"/>
  <c r="T17" i="15"/>
  <c r="U17" i="15"/>
  <c r="V17" i="15"/>
  <c r="W17" i="15"/>
  <c r="X17" i="15"/>
  <c r="Y17" i="15"/>
  <c r="F18" i="15"/>
  <c r="G18" i="15"/>
  <c r="H18" i="15"/>
  <c r="I18" i="15"/>
  <c r="J18" i="15"/>
  <c r="K18" i="15"/>
  <c r="L18" i="15"/>
  <c r="M18" i="15"/>
  <c r="N18" i="15"/>
  <c r="O18" i="15"/>
  <c r="P18" i="15"/>
  <c r="Q18" i="15"/>
  <c r="R18" i="15"/>
  <c r="S18" i="15"/>
  <c r="T18" i="15"/>
  <c r="U18" i="15"/>
  <c r="V18" i="15"/>
  <c r="W18" i="15"/>
  <c r="X18" i="15"/>
  <c r="Y18" i="15"/>
  <c r="F19" i="15"/>
  <c r="G19" i="15"/>
  <c r="H19" i="15"/>
  <c r="I19" i="15"/>
  <c r="J19" i="15"/>
  <c r="K19" i="15"/>
  <c r="L19" i="15"/>
  <c r="M19" i="15"/>
  <c r="N19" i="15"/>
  <c r="O19" i="15"/>
  <c r="P19" i="15"/>
  <c r="Q19" i="15"/>
  <c r="R19" i="15"/>
  <c r="S19" i="15"/>
  <c r="T19" i="15"/>
  <c r="U19" i="15"/>
  <c r="V19" i="15"/>
  <c r="W19" i="15"/>
  <c r="X19" i="15"/>
  <c r="Y19" i="15"/>
  <c r="F20" i="15"/>
  <c r="G20" i="15"/>
  <c r="H20" i="15"/>
  <c r="I20" i="15"/>
  <c r="J20" i="15"/>
  <c r="K20" i="15"/>
  <c r="L20" i="15"/>
  <c r="M20" i="15"/>
  <c r="N20" i="15"/>
  <c r="O20" i="15"/>
  <c r="P20" i="15"/>
  <c r="Q20" i="15"/>
  <c r="R20" i="15"/>
  <c r="S20" i="15"/>
  <c r="T20" i="15"/>
  <c r="U20" i="15"/>
  <c r="V20" i="15"/>
  <c r="W20" i="15"/>
  <c r="X20" i="15"/>
  <c r="Y20" i="15"/>
  <c r="F4" i="25"/>
  <c r="G4" i="25"/>
  <c r="H4" i="25"/>
  <c r="I4" i="25"/>
  <c r="J4" i="25"/>
  <c r="K4" i="25"/>
  <c r="L4" i="25"/>
  <c r="M4" i="25"/>
  <c r="N4" i="25"/>
  <c r="O4" i="25"/>
  <c r="P4" i="25"/>
  <c r="Q4" i="25"/>
  <c r="R4" i="25"/>
  <c r="S4" i="25"/>
  <c r="T4" i="25"/>
  <c r="U4" i="25"/>
  <c r="V4" i="25"/>
  <c r="W4" i="25"/>
  <c r="X4" i="25"/>
  <c r="Y4" i="25"/>
  <c r="F5" i="25"/>
  <c r="G5" i="25"/>
  <c r="H5" i="25"/>
  <c r="I5" i="25"/>
  <c r="J5" i="25"/>
  <c r="K5" i="25"/>
  <c r="L5" i="25"/>
  <c r="M5" i="25"/>
  <c r="N5" i="25"/>
  <c r="O5" i="25"/>
  <c r="P5" i="25"/>
  <c r="Q5" i="25"/>
  <c r="R5" i="25"/>
  <c r="S5" i="25"/>
  <c r="T5" i="25"/>
  <c r="U5" i="25"/>
  <c r="V5" i="25"/>
  <c r="W5" i="25"/>
  <c r="X5" i="25"/>
  <c r="Y5" i="25"/>
  <c r="F6" i="25"/>
  <c r="G6" i="25"/>
  <c r="H6" i="25"/>
  <c r="I6" i="25"/>
  <c r="J6" i="25"/>
  <c r="K6" i="25"/>
  <c r="L6" i="25"/>
  <c r="M6" i="25"/>
  <c r="N6" i="25"/>
  <c r="O6" i="25"/>
  <c r="P6" i="25"/>
  <c r="Q6" i="25"/>
  <c r="R6" i="25"/>
  <c r="S6" i="25"/>
  <c r="T6" i="25"/>
  <c r="U6" i="25"/>
  <c r="V6" i="25"/>
  <c r="W6" i="25"/>
  <c r="X6" i="25"/>
  <c r="Y6" i="25"/>
  <c r="F7" i="25"/>
  <c r="G7" i="25"/>
  <c r="H7" i="25"/>
  <c r="I7" i="25"/>
  <c r="J7" i="25"/>
  <c r="K7" i="25"/>
  <c r="L7" i="25"/>
  <c r="M7" i="25"/>
  <c r="N7" i="25"/>
  <c r="O7" i="25"/>
  <c r="P7" i="25"/>
  <c r="Q7" i="25"/>
  <c r="R7" i="25"/>
  <c r="S7" i="25"/>
  <c r="T7" i="25"/>
  <c r="U7" i="25"/>
  <c r="V7" i="25"/>
  <c r="W7" i="25"/>
  <c r="X7" i="25"/>
  <c r="Y7" i="25"/>
  <c r="F8" i="25"/>
  <c r="G8" i="25"/>
  <c r="H8" i="25"/>
  <c r="I8" i="25"/>
  <c r="J8" i="25"/>
  <c r="K8" i="25"/>
  <c r="L8" i="25"/>
  <c r="M8" i="25"/>
  <c r="N8" i="25"/>
  <c r="O8" i="25"/>
  <c r="P8" i="25"/>
  <c r="Q8" i="25"/>
  <c r="R8" i="25"/>
  <c r="S8" i="25"/>
  <c r="T8" i="25"/>
  <c r="U8" i="25"/>
  <c r="V8" i="25"/>
  <c r="W8" i="25"/>
  <c r="X8" i="25"/>
  <c r="Y8" i="25"/>
  <c r="F9" i="25"/>
  <c r="G9" i="25"/>
  <c r="H9" i="25"/>
  <c r="I9" i="25"/>
  <c r="J9" i="25"/>
  <c r="K9" i="25"/>
  <c r="L9" i="25"/>
  <c r="M9" i="25"/>
  <c r="N9" i="25"/>
  <c r="O9" i="25"/>
  <c r="P9" i="25"/>
  <c r="Q9" i="25"/>
  <c r="R9" i="25"/>
  <c r="S9" i="25"/>
  <c r="T9" i="25"/>
  <c r="U9" i="25"/>
  <c r="V9" i="25"/>
  <c r="W9" i="25"/>
  <c r="X9" i="25"/>
  <c r="Y9" i="25"/>
  <c r="F10" i="25"/>
  <c r="G10" i="25"/>
  <c r="H10" i="25"/>
  <c r="I10" i="25"/>
  <c r="J10" i="25"/>
  <c r="K10" i="25"/>
  <c r="L10" i="25"/>
  <c r="M10" i="25"/>
  <c r="N10" i="25"/>
  <c r="O10" i="25"/>
  <c r="P10" i="25"/>
  <c r="Q10" i="25"/>
  <c r="R10" i="25"/>
  <c r="S10" i="25"/>
  <c r="T10" i="25"/>
  <c r="U10" i="25"/>
  <c r="V10" i="25"/>
  <c r="W10" i="25"/>
  <c r="X10" i="25"/>
  <c r="Y10" i="25"/>
  <c r="F11" i="25"/>
  <c r="G11" i="25"/>
  <c r="H11" i="25"/>
  <c r="I11" i="25"/>
  <c r="J11" i="25"/>
  <c r="K11" i="25"/>
  <c r="L11" i="25"/>
  <c r="M11" i="25"/>
  <c r="N11" i="25"/>
  <c r="O11" i="25"/>
  <c r="P11" i="25"/>
  <c r="Q11" i="25"/>
  <c r="R11" i="25"/>
  <c r="S11" i="25"/>
  <c r="T11" i="25"/>
  <c r="U11" i="25"/>
  <c r="V11" i="25"/>
  <c r="W11" i="25"/>
  <c r="X11" i="25"/>
  <c r="Y11" i="25"/>
  <c r="F12" i="25"/>
  <c r="G12" i="25"/>
  <c r="H12" i="25"/>
  <c r="I12" i="25"/>
  <c r="J12" i="25"/>
  <c r="K12" i="25"/>
  <c r="L12" i="25"/>
  <c r="M12" i="25"/>
  <c r="N12" i="25"/>
  <c r="O12" i="25"/>
  <c r="P12" i="25"/>
  <c r="Q12" i="25"/>
  <c r="R12" i="25"/>
  <c r="S12" i="25"/>
  <c r="T12" i="25"/>
  <c r="U12" i="25"/>
  <c r="V12" i="25"/>
  <c r="W12" i="25"/>
  <c r="X12" i="25"/>
  <c r="Y12" i="25"/>
  <c r="F13" i="25"/>
  <c r="G13" i="25"/>
  <c r="H13" i="25"/>
  <c r="I13" i="25"/>
  <c r="J13" i="25"/>
  <c r="K13" i="25"/>
  <c r="L13" i="25"/>
  <c r="M13" i="25"/>
  <c r="N13" i="25"/>
  <c r="O13" i="25"/>
  <c r="P13" i="25"/>
  <c r="Q13" i="25"/>
  <c r="R13" i="25"/>
  <c r="S13" i="25"/>
  <c r="T13" i="25"/>
  <c r="U13" i="25"/>
  <c r="V13" i="25"/>
  <c r="W13" i="25"/>
  <c r="X13" i="25"/>
  <c r="Y13" i="25"/>
  <c r="F14" i="25"/>
  <c r="G14" i="25"/>
  <c r="H14" i="25"/>
  <c r="I14" i="25"/>
  <c r="J14" i="25"/>
  <c r="K14" i="25"/>
  <c r="L14" i="25"/>
  <c r="M14" i="25"/>
  <c r="N14" i="25"/>
  <c r="O14" i="25"/>
  <c r="P14" i="25"/>
  <c r="Q14" i="25"/>
  <c r="R14" i="25"/>
  <c r="S14" i="25"/>
  <c r="T14" i="25"/>
  <c r="U14" i="25"/>
  <c r="V14" i="25"/>
  <c r="W14" i="25"/>
  <c r="X14" i="25"/>
  <c r="Y14" i="25"/>
  <c r="F15" i="25"/>
  <c r="G15" i="25"/>
  <c r="H15" i="25"/>
  <c r="I15" i="25"/>
  <c r="J15" i="25"/>
  <c r="K15" i="25"/>
  <c r="L15" i="25"/>
  <c r="M15" i="25"/>
  <c r="N15" i="25"/>
  <c r="O15" i="25"/>
  <c r="P15" i="25"/>
  <c r="Q15" i="25"/>
  <c r="R15" i="25"/>
  <c r="S15" i="25"/>
  <c r="T15" i="25"/>
  <c r="U15" i="25"/>
  <c r="V15" i="25"/>
  <c r="W15" i="25"/>
  <c r="X15" i="25"/>
  <c r="Y15" i="25"/>
  <c r="F16" i="25"/>
  <c r="G16" i="25"/>
  <c r="H16" i="25"/>
  <c r="I16" i="25"/>
  <c r="J16" i="25"/>
  <c r="K16" i="25"/>
  <c r="L16" i="25"/>
  <c r="M16" i="25"/>
  <c r="N16" i="25"/>
  <c r="O16" i="25"/>
  <c r="P16" i="25"/>
  <c r="Q16" i="25"/>
  <c r="R16" i="25"/>
  <c r="S16" i="25"/>
  <c r="T16" i="25"/>
  <c r="U16" i="25"/>
  <c r="V16" i="25"/>
  <c r="W16" i="25"/>
  <c r="X16" i="25"/>
  <c r="Y16" i="25"/>
  <c r="F17" i="25"/>
  <c r="G17" i="25"/>
  <c r="H17" i="25"/>
  <c r="I17" i="25"/>
  <c r="J17" i="25"/>
  <c r="K17" i="25"/>
  <c r="L17" i="25"/>
  <c r="M17" i="25"/>
  <c r="N17" i="25"/>
  <c r="O17" i="25"/>
  <c r="P17" i="25"/>
  <c r="Q17" i="25"/>
  <c r="R17" i="25"/>
  <c r="S17" i="25"/>
  <c r="T17" i="25"/>
  <c r="U17" i="25"/>
  <c r="V17" i="25"/>
  <c r="W17" i="25"/>
  <c r="X17" i="25"/>
  <c r="Y17" i="25"/>
  <c r="F18" i="25"/>
  <c r="G18" i="25"/>
  <c r="H18" i="25"/>
  <c r="I18" i="25"/>
  <c r="J18" i="25"/>
  <c r="K18" i="25"/>
  <c r="L18" i="25"/>
  <c r="M18" i="25"/>
  <c r="N18" i="25"/>
  <c r="O18" i="25"/>
  <c r="P18" i="25"/>
  <c r="Q18" i="25"/>
  <c r="R18" i="25"/>
  <c r="S18" i="25"/>
  <c r="T18" i="25"/>
  <c r="U18" i="25"/>
  <c r="V18" i="25"/>
  <c r="W18" i="25"/>
  <c r="X18" i="25"/>
  <c r="Y18" i="25"/>
  <c r="F19" i="25"/>
  <c r="G19" i="25"/>
  <c r="H19" i="25"/>
  <c r="I19" i="25"/>
  <c r="J19" i="25"/>
  <c r="K19" i="25"/>
  <c r="L19" i="25"/>
  <c r="M19" i="25"/>
  <c r="N19" i="25"/>
  <c r="O19" i="25"/>
  <c r="P19" i="25"/>
  <c r="Q19" i="25"/>
  <c r="R19" i="25"/>
  <c r="S19" i="25"/>
  <c r="T19" i="25"/>
  <c r="U19" i="25"/>
  <c r="V19" i="25"/>
  <c r="W19" i="25"/>
  <c r="X19" i="25"/>
  <c r="Y19" i="25"/>
  <c r="F20" i="25"/>
  <c r="G20" i="25"/>
  <c r="H20" i="25"/>
  <c r="I20" i="25"/>
  <c r="J20" i="25"/>
  <c r="K20" i="25"/>
  <c r="L20" i="25"/>
  <c r="M20" i="25"/>
  <c r="N20" i="25"/>
  <c r="O20" i="25"/>
  <c r="P20" i="25"/>
  <c r="Q20" i="25"/>
  <c r="R20" i="25"/>
  <c r="S20" i="25"/>
  <c r="T20" i="25"/>
  <c r="U20" i="25"/>
  <c r="V20" i="25"/>
  <c r="W20" i="25"/>
  <c r="X20" i="25"/>
  <c r="Y20" i="25"/>
  <c r="F4" i="45"/>
  <c r="G4" i="45"/>
  <c r="H4" i="45"/>
  <c r="I4" i="45"/>
  <c r="J4" i="45"/>
  <c r="K4" i="45"/>
  <c r="L4" i="45"/>
  <c r="M4" i="45"/>
  <c r="N4" i="45"/>
  <c r="O4" i="45"/>
  <c r="P4" i="45"/>
  <c r="Q4" i="45"/>
  <c r="R4" i="45"/>
  <c r="S4" i="45"/>
  <c r="T4" i="45"/>
  <c r="U4" i="45"/>
  <c r="V4" i="45"/>
  <c r="W4" i="45"/>
  <c r="X4" i="45"/>
  <c r="Y4" i="45"/>
  <c r="F5" i="45"/>
  <c r="G5" i="45"/>
  <c r="H5" i="45"/>
  <c r="I5" i="45"/>
  <c r="J5" i="45"/>
  <c r="K5" i="45"/>
  <c r="L5" i="45"/>
  <c r="M5" i="45"/>
  <c r="N5" i="45"/>
  <c r="O5" i="45"/>
  <c r="P5" i="45"/>
  <c r="Q5" i="45"/>
  <c r="R5" i="45"/>
  <c r="S5" i="45"/>
  <c r="T5" i="45"/>
  <c r="U5" i="45"/>
  <c r="V5" i="45"/>
  <c r="W5" i="45"/>
  <c r="X5" i="45"/>
  <c r="Y5" i="45"/>
  <c r="F6" i="45"/>
  <c r="G6" i="45"/>
  <c r="H6" i="45"/>
  <c r="I6" i="45"/>
  <c r="J6" i="45"/>
  <c r="K6" i="45"/>
  <c r="L6" i="45"/>
  <c r="M6" i="45"/>
  <c r="N6" i="45"/>
  <c r="O6" i="45"/>
  <c r="P6" i="45"/>
  <c r="Q6" i="45"/>
  <c r="R6" i="45"/>
  <c r="S6" i="45"/>
  <c r="T6" i="45"/>
  <c r="U6" i="45"/>
  <c r="V6" i="45"/>
  <c r="W6" i="45"/>
  <c r="X6" i="45"/>
  <c r="Y6" i="45"/>
  <c r="F7" i="45"/>
  <c r="G7" i="45"/>
  <c r="H7" i="45"/>
  <c r="I7" i="45"/>
  <c r="J7" i="45"/>
  <c r="K7" i="45"/>
  <c r="L7" i="45"/>
  <c r="M7" i="45"/>
  <c r="N7" i="45"/>
  <c r="O7" i="45"/>
  <c r="P7" i="45"/>
  <c r="Q7" i="45"/>
  <c r="R7" i="45"/>
  <c r="S7" i="45"/>
  <c r="T7" i="45"/>
  <c r="U7" i="45"/>
  <c r="V7" i="45"/>
  <c r="W7" i="45"/>
  <c r="X7" i="45"/>
  <c r="Y7" i="45"/>
  <c r="F8" i="45"/>
  <c r="G8" i="45"/>
  <c r="H8" i="45"/>
  <c r="I8" i="45"/>
  <c r="J8" i="45"/>
  <c r="K8" i="45"/>
  <c r="L8" i="45"/>
  <c r="M8" i="45"/>
  <c r="N8" i="45"/>
  <c r="O8" i="45"/>
  <c r="P8" i="45"/>
  <c r="Q8" i="45"/>
  <c r="R8" i="45"/>
  <c r="S8" i="45"/>
  <c r="T8" i="45"/>
  <c r="U8" i="45"/>
  <c r="V8" i="45"/>
  <c r="W8" i="45"/>
  <c r="X8" i="45"/>
  <c r="Y8" i="45"/>
  <c r="F9" i="45"/>
  <c r="G9" i="45"/>
  <c r="H9" i="45"/>
  <c r="I9" i="45"/>
  <c r="J9" i="45"/>
  <c r="K9" i="45"/>
  <c r="L9" i="45"/>
  <c r="M9" i="45"/>
  <c r="N9" i="45"/>
  <c r="O9" i="45"/>
  <c r="P9" i="45"/>
  <c r="Q9" i="45"/>
  <c r="R9" i="45"/>
  <c r="S9" i="45"/>
  <c r="T9" i="45"/>
  <c r="U9" i="45"/>
  <c r="V9" i="45"/>
  <c r="W9" i="45"/>
  <c r="X9" i="45"/>
  <c r="Y9" i="45"/>
  <c r="F10" i="45"/>
  <c r="G10" i="45"/>
  <c r="H10" i="45"/>
  <c r="I10" i="45"/>
  <c r="J10" i="45"/>
  <c r="K10" i="45"/>
  <c r="L10" i="45"/>
  <c r="M10" i="45"/>
  <c r="N10" i="45"/>
  <c r="O10" i="45"/>
  <c r="P10" i="45"/>
  <c r="Q10" i="45"/>
  <c r="R10" i="45"/>
  <c r="S10" i="45"/>
  <c r="T10" i="45"/>
  <c r="U10" i="45"/>
  <c r="V10" i="45"/>
  <c r="W10" i="45"/>
  <c r="X10" i="45"/>
  <c r="Y10" i="45"/>
  <c r="F11" i="45"/>
  <c r="G11" i="45"/>
  <c r="H11" i="45"/>
  <c r="I11" i="45"/>
  <c r="J11" i="45"/>
  <c r="K11" i="45"/>
  <c r="L11" i="45"/>
  <c r="M11" i="45"/>
  <c r="N11" i="45"/>
  <c r="O11" i="45"/>
  <c r="P11" i="45"/>
  <c r="Q11" i="45"/>
  <c r="R11" i="45"/>
  <c r="S11" i="45"/>
  <c r="T11" i="45"/>
  <c r="U11" i="45"/>
  <c r="V11" i="45"/>
  <c r="W11" i="45"/>
  <c r="X11" i="45"/>
  <c r="Y11" i="45"/>
  <c r="F12" i="45"/>
  <c r="G12" i="45"/>
  <c r="H12" i="45"/>
  <c r="I12" i="45"/>
  <c r="J12" i="45"/>
  <c r="K12" i="45"/>
  <c r="L12" i="45"/>
  <c r="M12" i="45"/>
  <c r="N12" i="45"/>
  <c r="O12" i="45"/>
  <c r="P12" i="45"/>
  <c r="Q12" i="45"/>
  <c r="R12" i="45"/>
  <c r="S12" i="45"/>
  <c r="T12" i="45"/>
  <c r="U12" i="45"/>
  <c r="V12" i="45"/>
  <c r="W12" i="45"/>
  <c r="X12" i="45"/>
  <c r="Y12" i="45"/>
  <c r="F13" i="45"/>
  <c r="G13" i="45"/>
  <c r="H13" i="45"/>
  <c r="I13" i="45"/>
  <c r="J13" i="45"/>
  <c r="K13" i="45"/>
  <c r="L13" i="45"/>
  <c r="M13" i="45"/>
  <c r="N13" i="45"/>
  <c r="O13" i="45"/>
  <c r="P13" i="45"/>
  <c r="Q13" i="45"/>
  <c r="R13" i="45"/>
  <c r="S13" i="45"/>
  <c r="T13" i="45"/>
  <c r="U13" i="45"/>
  <c r="V13" i="45"/>
  <c r="W13" i="45"/>
  <c r="X13" i="45"/>
  <c r="Y13" i="45"/>
  <c r="F14" i="45"/>
  <c r="G14" i="45"/>
  <c r="H14" i="45"/>
  <c r="I14" i="45"/>
  <c r="J14" i="45"/>
  <c r="K14" i="45"/>
  <c r="L14" i="45"/>
  <c r="M14" i="45"/>
  <c r="N14" i="45"/>
  <c r="O14" i="45"/>
  <c r="P14" i="45"/>
  <c r="Q14" i="45"/>
  <c r="R14" i="45"/>
  <c r="S14" i="45"/>
  <c r="T14" i="45"/>
  <c r="U14" i="45"/>
  <c r="V14" i="45"/>
  <c r="W14" i="45"/>
  <c r="X14" i="45"/>
  <c r="Y14" i="45"/>
  <c r="F15" i="45"/>
  <c r="G15" i="45"/>
  <c r="H15" i="45"/>
  <c r="I15" i="45"/>
  <c r="J15" i="45"/>
  <c r="K15" i="45"/>
  <c r="L15" i="45"/>
  <c r="M15" i="45"/>
  <c r="N15" i="45"/>
  <c r="O15" i="45"/>
  <c r="P15" i="45"/>
  <c r="Q15" i="45"/>
  <c r="R15" i="45"/>
  <c r="S15" i="45"/>
  <c r="T15" i="45"/>
  <c r="U15" i="45"/>
  <c r="V15" i="45"/>
  <c r="W15" i="45"/>
  <c r="X15" i="45"/>
  <c r="Y15" i="45"/>
  <c r="F16" i="45"/>
  <c r="G16" i="45"/>
  <c r="H16" i="45"/>
  <c r="I16" i="45"/>
  <c r="J16" i="45"/>
  <c r="K16" i="45"/>
  <c r="L16" i="45"/>
  <c r="M16" i="45"/>
  <c r="N16" i="45"/>
  <c r="O16" i="45"/>
  <c r="P16" i="45"/>
  <c r="Q16" i="45"/>
  <c r="R16" i="45"/>
  <c r="S16" i="45"/>
  <c r="T16" i="45"/>
  <c r="U16" i="45"/>
  <c r="V16" i="45"/>
  <c r="W16" i="45"/>
  <c r="X16" i="45"/>
  <c r="Y16" i="45"/>
  <c r="F17" i="45"/>
  <c r="G17" i="45"/>
  <c r="H17" i="45"/>
  <c r="I17" i="45"/>
  <c r="J17" i="45"/>
  <c r="K17" i="45"/>
  <c r="L17" i="45"/>
  <c r="M17" i="45"/>
  <c r="N17" i="45"/>
  <c r="O17" i="45"/>
  <c r="P17" i="45"/>
  <c r="Q17" i="45"/>
  <c r="R17" i="45"/>
  <c r="S17" i="45"/>
  <c r="T17" i="45"/>
  <c r="U17" i="45"/>
  <c r="V17" i="45"/>
  <c r="W17" i="45"/>
  <c r="X17" i="45"/>
  <c r="Y17" i="45"/>
  <c r="F18" i="45"/>
  <c r="G18" i="45"/>
  <c r="H18" i="45"/>
  <c r="I18" i="45"/>
  <c r="J18" i="45"/>
  <c r="K18" i="45"/>
  <c r="L18" i="45"/>
  <c r="M18" i="45"/>
  <c r="N18" i="45"/>
  <c r="O18" i="45"/>
  <c r="P18" i="45"/>
  <c r="Q18" i="45"/>
  <c r="R18" i="45"/>
  <c r="S18" i="45"/>
  <c r="T18" i="45"/>
  <c r="U18" i="45"/>
  <c r="V18" i="45"/>
  <c r="W18" i="45"/>
  <c r="X18" i="45"/>
  <c r="Y18" i="45"/>
  <c r="F19" i="45"/>
  <c r="G19" i="45"/>
  <c r="H19" i="45"/>
  <c r="I19" i="45"/>
  <c r="J19" i="45"/>
  <c r="K19" i="45"/>
  <c r="L19" i="45"/>
  <c r="M19" i="45"/>
  <c r="N19" i="45"/>
  <c r="O19" i="45"/>
  <c r="P19" i="45"/>
  <c r="Q19" i="45"/>
  <c r="R19" i="45"/>
  <c r="S19" i="45"/>
  <c r="T19" i="45"/>
  <c r="U19" i="45"/>
  <c r="V19" i="45"/>
  <c r="W19" i="45"/>
  <c r="X19" i="45"/>
  <c r="Y19" i="45"/>
  <c r="F20" i="45"/>
  <c r="G20" i="45"/>
  <c r="H20" i="45"/>
  <c r="I20" i="45"/>
  <c r="J20" i="45"/>
  <c r="K20" i="45"/>
  <c r="L20" i="45"/>
  <c r="M20" i="45"/>
  <c r="N20" i="45"/>
  <c r="O20" i="45"/>
  <c r="P20" i="45"/>
  <c r="Q20" i="45"/>
  <c r="R20" i="45"/>
  <c r="S20" i="45"/>
  <c r="T20" i="45"/>
  <c r="U20" i="45"/>
  <c r="V20" i="45"/>
  <c r="W20" i="45"/>
  <c r="X20" i="45"/>
  <c r="Y20" i="45"/>
  <c r="F4" i="35"/>
  <c r="G4" i="35"/>
  <c r="H4" i="35"/>
  <c r="I4" i="35"/>
  <c r="J4" i="35"/>
  <c r="K4" i="35"/>
  <c r="L4" i="35"/>
  <c r="M4" i="35"/>
  <c r="N4" i="35"/>
  <c r="O4" i="35"/>
  <c r="P4" i="35"/>
  <c r="Q4" i="35"/>
  <c r="R4" i="35"/>
  <c r="S4" i="35"/>
  <c r="T4" i="35"/>
  <c r="U4" i="35"/>
  <c r="V4" i="35"/>
  <c r="W4" i="35"/>
  <c r="X4" i="35"/>
  <c r="Y4" i="35"/>
  <c r="F5" i="35"/>
  <c r="G5" i="35"/>
  <c r="H5" i="35"/>
  <c r="I5" i="35"/>
  <c r="J5" i="35"/>
  <c r="L5" i="35"/>
  <c r="M5" i="35"/>
  <c r="N5" i="35"/>
  <c r="O5" i="35"/>
  <c r="P5" i="35"/>
  <c r="Q5" i="35"/>
  <c r="R5" i="35"/>
  <c r="S5" i="35"/>
  <c r="T5" i="35"/>
  <c r="U5" i="35"/>
  <c r="V5" i="35"/>
  <c r="W5" i="35"/>
  <c r="X5" i="35"/>
  <c r="Y5" i="35"/>
  <c r="F6" i="35"/>
  <c r="G6" i="35"/>
  <c r="H6" i="35"/>
  <c r="I6" i="35"/>
  <c r="J6" i="35"/>
  <c r="K6" i="35"/>
  <c r="L6" i="35"/>
  <c r="M6" i="35"/>
  <c r="N6" i="35"/>
  <c r="O6" i="35"/>
  <c r="P6" i="35"/>
  <c r="Q6" i="35"/>
  <c r="R6" i="35"/>
  <c r="S6" i="35"/>
  <c r="T6" i="35"/>
  <c r="U6" i="35"/>
  <c r="V6" i="35"/>
  <c r="W6" i="35"/>
  <c r="X6" i="35"/>
  <c r="Y6" i="35"/>
  <c r="F7" i="35"/>
  <c r="G7" i="35"/>
  <c r="H7" i="35"/>
  <c r="I7" i="35"/>
  <c r="J7" i="35"/>
  <c r="K7" i="35"/>
  <c r="L7" i="35"/>
  <c r="M7" i="35"/>
  <c r="N7" i="35"/>
  <c r="O7" i="35"/>
  <c r="P7" i="35"/>
  <c r="Q7" i="35"/>
  <c r="R7" i="35"/>
  <c r="S7" i="35"/>
  <c r="T7" i="35"/>
  <c r="U7" i="35"/>
  <c r="V7" i="35"/>
  <c r="W7" i="35"/>
  <c r="X7" i="35"/>
  <c r="Y7" i="35"/>
  <c r="F8" i="35"/>
  <c r="G8" i="35"/>
  <c r="H8" i="35"/>
  <c r="I8" i="35"/>
  <c r="J8" i="35"/>
  <c r="K8" i="35"/>
  <c r="L8" i="35"/>
  <c r="M8" i="35"/>
  <c r="N8" i="35"/>
  <c r="O8" i="35"/>
  <c r="P8" i="35"/>
  <c r="Q8" i="35"/>
  <c r="R8" i="35"/>
  <c r="S8" i="35"/>
  <c r="T8" i="35"/>
  <c r="U8" i="35"/>
  <c r="V8" i="35"/>
  <c r="W8" i="35"/>
  <c r="X8" i="35"/>
  <c r="Y8" i="35"/>
  <c r="F9" i="35"/>
  <c r="G9" i="35"/>
  <c r="H9" i="35"/>
  <c r="I9" i="35"/>
  <c r="J9" i="35"/>
  <c r="K9" i="35"/>
  <c r="L9" i="35"/>
  <c r="M9" i="35"/>
  <c r="N9" i="35"/>
  <c r="O9" i="35"/>
  <c r="P9" i="35"/>
  <c r="Q9" i="35"/>
  <c r="R9" i="35"/>
  <c r="S9" i="35"/>
  <c r="T9" i="35"/>
  <c r="U9" i="35"/>
  <c r="V9" i="35"/>
  <c r="W9" i="35"/>
  <c r="X9" i="35"/>
  <c r="Y9" i="35"/>
  <c r="F10" i="35"/>
  <c r="G10" i="35"/>
  <c r="H10" i="35"/>
  <c r="I10" i="35"/>
  <c r="J10" i="35"/>
  <c r="K10" i="35"/>
  <c r="L10" i="35"/>
  <c r="M10" i="35"/>
  <c r="N10" i="35"/>
  <c r="O10" i="35"/>
  <c r="P10" i="35"/>
  <c r="Q10" i="35"/>
  <c r="R10" i="35"/>
  <c r="S10" i="35"/>
  <c r="T10" i="35"/>
  <c r="U10" i="35"/>
  <c r="V10" i="35"/>
  <c r="W10" i="35"/>
  <c r="X10" i="35"/>
  <c r="Y10" i="35"/>
  <c r="F11" i="35"/>
  <c r="G11" i="35"/>
  <c r="H11" i="35"/>
  <c r="I11" i="35"/>
  <c r="J11" i="35"/>
  <c r="K11" i="35"/>
  <c r="L11" i="35"/>
  <c r="M11" i="35"/>
  <c r="N11" i="35"/>
  <c r="O11" i="35"/>
  <c r="P11" i="35"/>
  <c r="Q11" i="35"/>
  <c r="R11" i="35"/>
  <c r="S11" i="35"/>
  <c r="T11" i="35"/>
  <c r="U11" i="35"/>
  <c r="V11" i="35"/>
  <c r="W11" i="35"/>
  <c r="X11" i="35"/>
  <c r="Y11" i="35"/>
  <c r="F12" i="35"/>
  <c r="G12" i="35"/>
  <c r="H12" i="35"/>
  <c r="I12" i="35"/>
  <c r="J12" i="35"/>
  <c r="K12" i="35"/>
  <c r="L12" i="35"/>
  <c r="M12" i="35"/>
  <c r="N12" i="35"/>
  <c r="O12" i="35"/>
  <c r="P12" i="35"/>
  <c r="Q12" i="35"/>
  <c r="R12" i="35"/>
  <c r="S12" i="35"/>
  <c r="T12" i="35"/>
  <c r="U12" i="35"/>
  <c r="V12" i="35"/>
  <c r="W12" i="35"/>
  <c r="X12" i="35"/>
  <c r="Y12" i="35"/>
  <c r="F13" i="35"/>
  <c r="G13" i="35"/>
  <c r="H13" i="35"/>
  <c r="I13" i="35"/>
  <c r="J13" i="35"/>
  <c r="K13" i="35"/>
  <c r="L13" i="35"/>
  <c r="M13" i="35"/>
  <c r="N13" i="35"/>
  <c r="O13" i="35"/>
  <c r="P13" i="35"/>
  <c r="Q13" i="35"/>
  <c r="R13" i="35"/>
  <c r="S13" i="35"/>
  <c r="T13" i="35"/>
  <c r="U13" i="35"/>
  <c r="V13" i="35"/>
  <c r="W13" i="35"/>
  <c r="X13" i="35"/>
  <c r="Y13" i="35"/>
  <c r="F14" i="35"/>
  <c r="G14" i="35"/>
  <c r="H14" i="35"/>
  <c r="I14" i="35"/>
  <c r="J14" i="35"/>
  <c r="K14" i="35"/>
  <c r="L14" i="35"/>
  <c r="M14" i="35"/>
  <c r="N14" i="35"/>
  <c r="O14" i="35"/>
  <c r="P14" i="35"/>
  <c r="Q14" i="35"/>
  <c r="R14" i="35"/>
  <c r="S14" i="35"/>
  <c r="T14" i="35"/>
  <c r="U14" i="35"/>
  <c r="V14" i="35"/>
  <c r="W14" i="35"/>
  <c r="X14" i="35"/>
  <c r="Y14" i="35"/>
  <c r="F15" i="35"/>
  <c r="G15" i="35"/>
  <c r="H15" i="35"/>
  <c r="I15" i="35"/>
  <c r="J15" i="35"/>
  <c r="K15" i="35"/>
  <c r="L15" i="35"/>
  <c r="M15" i="35"/>
  <c r="N15" i="35"/>
  <c r="O15" i="35"/>
  <c r="P15" i="35"/>
  <c r="Q15" i="35"/>
  <c r="R15" i="35"/>
  <c r="S15" i="35"/>
  <c r="T15" i="35"/>
  <c r="U15" i="35"/>
  <c r="V15" i="35"/>
  <c r="W15" i="35"/>
  <c r="X15" i="35"/>
  <c r="Y15" i="35"/>
  <c r="F16" i="35"/>
  <c r="G16" i="35"/>
  <c r="H16" i="35"/>
  <c r="I16" i="35"/>
  <c r="J16" i="35"/>
  <c r="K16" i="35"/>
  <c r="L16" i="35"/>
  <c r="M16" i="35"/>
  <c r="N16" i="35"/>
  <c r="O16" i="35"/>
  <c r="P16" i="35"/>
  <c r="Q16" i="35"/>
  <c r="R16" i="35"/>
  <c r="S16" i="35"/>
  <c r="T16" i="35"/>
  <c r="U16" i="35"/>
  <c r="V16" i="35"/>
  <c r="W16" i="35"/>
  <c r="X16" i="35"/>
  <c r="Y16" i="35"/>
  <c r="F17" i="35"/>
  <c r="G17" i="35"/>
  <c r="H17" i="35"/>
  <c r="I17" i="35"/>
  <c r="J17" i="35"/>
  <c r="K17" i="35"/>
  <c r="L17" i="35"/>
  <c r="M17" i="35"/>
  <c r="N17" i="35"/>
  <c r="O17" i="35"/>
  <c r="P17" i="35"/>
  <c r="Q17" i="35"/>
  <c r="R17" i="35"/>
  <c r="S17" i="35"/>
  <c r="T17" i="35"/>
  <c r="U17" i="35"/>
  <c r="V17" i="35"/>
  <c r="W17" i="35"/>
  <c r="X17" i="35"/>
  <c r="Y17" i="35"/>
  <c r="F18" i="35"/>
  <c r="G18" i="35"/>
  <c r="H18" i="35"/>
  <c r="I18" i="35"/>
  <c r="J18" i="35"/>
  <c r="K18" i="35"/>
  <c r="L18" i="35"/>
  <c r="M18" i="35"/>
  <c r="N18" i="35"/>
  <c r="O18" i="35"/>
  <c r="P18" i="35"/>
  <c r="Q18" i="35"/>
  <c r="R18" i="35"/>
  <c r="S18" i="35"/>
  <c r="T18" i="35"/>
  <c r="U18" i="35"/>
  <c r="V18" i="35"/>
  <c r="W18" i="35"/>
  <c r="X18" i="35"/>
  <c r="Y18" i="35"/>
  <c r="F19" i="35"/>
  <c r="G19" i="35"/>
  <c r="H19" i="35"/>
  <c r="I19" i="35"/>
  <c r="J19" i="35"/>
  <c r="K19" i="35"/>
  <c r="L19" i="35"/>
  <c r="M19" i="35"/>
  <c r="N19" i="35"/>
  <c r="O19" i="35"/>
  <c r="P19" i="35"/>
  <c r="Q19" i="35"/>
  <c r="R19" i="35"/>
  <c r="S19" i="35"/>
  <c r="T19" i="35"/>
  <c r="U19" i="35"/>
  <c r="V19" i="35"/>
  <c r="W19" i="35"/>
  <c r="X19" i="35"/>
  <c r="Y19" i="35"/>
  <c r="F20" i="35"/>
  <c r="G20" i="35"/>
  <c r="H20" i="35"/>
  <c r="I20" i="35"/>
  <c r="J20" i="35"/>
  <c r="K20" i="35"/>
  <c r="L20" i="35"/>
  <c r="M20" i="35"/>
  <c r="N20" i="35"/>
  <c r="O20" i="35"/>
  <c r="P20" i="35"/>
  <c r="Q20" i="35"/>
  <c r="R20" i="35"/>
  <c r="S20" i="35"/>
  <c r="T20" i="35"/>
  <c r="U20" i="35"/>
  <c r="V20" i="35"/>
  <c r="W20" i="35"/>
  <c r="X20" i="35"/>
  <c r="Y20" i="35"/>
  <c r="F4" i="21"/>
  <c r="G4" i="21"/>
  <c r="H4" i="21"/>
  <c r="I4" i="21"/>
  <c r="J4" i="21"/>
  <c r="K4" i="21"/>
  <c r="L4" i="21"/>
  <c r="M4" i="21"/>
  <c r="N4" i="21"/>
  <c r="O4" i="21"/>
  <c r="P4" i="21"/>
  <c r="Q4" i="21"/>
  <c r="R4" i="21"/>
  <c r="S4" i="21"/>
  <c r="T4" i="21"/>
  <c r="U4" i="21"/>
  <c r="V4" i="21"/>
  <c r="W4" i="21"/>
  <c r="X4" i="21"/>
  <c r="Y4" i="21"/>
  <c r="F5" i="21"/>
  <c r="G5" i="21"/>
  <c r="H5" i="21"/>
  <c r="I5" i="21"/>
  <c r="J5" i="21"/>
  <c r="K5" i="21"/>
  <c r="L5" i="21"/>
  <c r="M5" i="21"/>
  <c r="N5" i="21"/>
  <c r="O5" i="21"/>
  <c r="P5" i="21"/>
  <c r="Q5" i="21"/>
  <c r="R5" i="21"/>
  <c r="S5" i="21"/>
  <c r="T5" i="21"/>
  <c r="U5" i="21"/>
  <c r="V5" i="21"/>
  <c r="W5" i="21"/>
  <c r="X5" i="21"/>
  <c r="Y5" i="21"/>
  <c r="F6" i="21"/>
  <c r="E38" i="10"/>
  <c r="G6" i="21"/>
  <c r="F38" i="10"/>
  <c r="H6" i="21"/>
  <c r="G38" i="10"/>
  <c r="I6" i="21"/>
  <c r="J6" i="21"/>
  <c r="K6" i="21"/>
  <c r="L6" i="21"/>
  <c r="M6" i="21"/>
  <c r="N6" i="21"/>
  <c r="O6" i="21"/>
  <c r="P6" i="21"/>
  <c r="Q6" i="21"/>
  <c r="R6" i="21"/>
  <c r="S6" i="21"/>
  <c r="T6" i="21"/>
  <c r="U6" i="21"/>
  <c r="V6" i="21"/>
  <c r="W6" i="21"/>
  <c r="X6" i="21"/>
  <c r="Y6" i="21"/>
  <c r="F7" i="21"/>
  <c r="G7" i="21"/>
  <c r="H7" i="21"/>
  <c r="I7" i="21"/>
  <c r="J7" i="21"/>
  <c r="K7" i="21"/>
  <c r="L7" i="21"/>
  <c r="M7" i="21"/>
  <c r="N7" i="21"/>
  <c r="O7" i="21"/>
  <c r="P7" i="21"/>
  <c r="Q7" i="21"/>
  <c r="R7" i="21"/>
  <c r="S7" i="21"/>
  <c r="T7" i="21"/>
  <c r="U7" i="21"/>
  <c r="V7" i="21"/>
  <c r="W7" i="21"/>
  <c r="X7" i="21"/>
  <c r="Y7" i="21"/>
  <c r="F8" i="21"/>
  <c r="G8" i="21"/>
  <c r="H8" i="21"/>
  <c r="I8" i="21"/>
  <c r="J8" i="21"/>
  <c r="K8" i="21"/>
  <c r="L8" i="21"/>
  <c r="M8" i="21"/>
  <c r="N8" i="21"/>
  <c r="O8" i="21"/>
  <c r="P8" i="21"/>
  <c r="Q8" i="21"/>
  <c r="R8" i="21"/>
  <c r="S8" i="21"/>
  <c r="T8" i="21"/>
  <c r="U8" i="21"/>
  <c r="V8" i="21"/>
  <c r="W8" i="21"/>
  <c r="X8" i="21"/>
  <c r="Y8" i="21"/>
  <c r="F9" i="21"/>
  <c r="G9" i="21"/>
  <c r="H9" i="21"/>
  <c r="I9" i="21"/>
  <c r="J9" i="21"/>
  <c r="K9" i="21"/>
  <c r="L9" i="21"/>
  <c r="M9" i="21"/>
  <c r="N9" i="21"/>
  <c r="O9" i="21"/>
  <c r="P9" i="21"/>
  <c r="Q9" i="21"/>
  <c r="R9" i="21"/>
  <c r="S9" i="21"/>
  <c r="T9" i="21"/>
  <c r="U9" i="21"/>
  <c r="V9" i="21"/>
  <c r="W9" i="21"/>
  <c r="X9" i="21"/>
  <c r="Y9" i="21"/>
  <c r="F10" i="21"/>
  <c r="G10" i="21"/>
  <c r="H10" i="21"/>
  <c r="I10" i="21"/>
  <c r="J10" i="21"/>
  <c r="K10" i="21"/>
  <c r="L10" i="21"/>
  <c r="M10" i="21"/>
  <c r="N10" i="21"/>
  <c r="O10" i="21"/>
  <c r="P10" i="21"/>
  <c r="Q10" i="21"/>
  <c r="R10" i="21"/>
  <c r="S10" i="21"/>
  <c r="T10" i="21"/>
  <c r="U10" i="21"/>
  <c r="V10" i="21"/>
  <c r="W10" i="21"/>
  <c r="X10" i="21"/>
  <c r="Y10" i="21"/>
  <c r="F11" i="21"/>
  <c r="G11" i="21"/>
  <c r="H11" i="21"/>
  <c r="I11" i="21"/>
  <c r="J11" i="21"/>
  <c r="K11" i="21"/>
  <c r="L11" i="21"/>
  <c r="M11" i="21"/>
  <c r="N11" i="21"/>
  <c r="O11" i="21"/>
  <c r="P11" i="21"/>
  <c r="Q11" i="21"/>
  <c r="R11" i="21"/>
  <c r="S11" i="21"/>
  <c r="T11" i="21"/>
  <c r="U11" i="21"/>
  <c r="V11" i="21"/>
  <c r="W11" i="21"/>
  <c r="X11" i="21"/>
  <c r="Y11" i="21"/>
  <c r="F12" i="21"/>
  <c r="G12" i="21"/>
  <c r="H12" i="21"/>
  <c r="I12" i="21"/>
  <c r="J12" i="21"/>
  <c r="K12" i="21"/>
  <c r="L12" i="21"/>
  <c r="M12" i="21"/>
  <c r="N12" i="21"/>
  <c r="O12" i="21"/>
  <c r="P12" i="21"/>
  <c r="Q12" i="21"/>
  <c r="R12" i="21"/>
  <c r="S12" i="21"/>
  <c r="T12" i="21"/>
  <c r="U12" i="21"/>
  <c r="V12" i="21"/>
  <c r="W12" i="21"/>
  <c r="X12" i="21"/>
  <c r="Y12" i="21"/>
  <c r="F13" i="21"/>
  <c r="G13" i="21"/>
  <c r="H13" i="21"/>
  <c r="I13" i="21"/>
  <c r="J13" i="21"/>
  <c r="K13" i="21"/>
  <c r="L13" i="21"/>
  <c r="M13" i="21"/>
  <c r="N13" i="21"/>
  <c r="O13" i="21"/>
  <c r="P13" i="21"/>
  <c r="Q13" i="21"/>
  <c r="R13" i="21"/>
  <c r="S13" i="21"/>
  <c r="T13" i="21"/>
  <c r="U13" i="21"/>
  <c r="V13" i="21"/>
  <c r="W13" i="21"/>
  <c r="X13" i="21"/>
  <c r="Y13" i="21"/>
  <c r="F14" i="21"/>
  <c r="G14" i="21"/>
  <c r="H14" i="21"/>
  <c r="I14" i="21"/>
  <c r="J14" i="21"/>
  <c r="K14" i="21"/>
  <c r="L14" i="21"/>
  <c r="M14" i="21"/>
  <c r="N14" i="21"/>
  <c r="O14" i="21"/>
  <c r="P14" i="21"/>
  <c r="Q14" i="21"/>
  <c r="R14" i="21"/>
  <c r="S14" i="21"/>
  <c r="T14" i="21"/>
  <c r="U14" i="21"/>
  <c r="V14" i="21"/>
  <c r="W14" i="21"/>
  <c r="X14" i="21"/>
  <c r="Y14" i="21"/>
  <c r="F15" i="21"/>
  <c r="G15" i="21"/>
  <c r="H15" i="21"/>
  <c r="I15" i="21"/>
  <c r="J15" i="21"/>
  <c r="K15" i="21"/>
  <c r="L15" i="21"/>
  <c r="M15" i="21"/>
  <c r="N15" i="21"/>
  <c r="O15" i="21"/>
  <c r="P15" i="21"/>
  <c r="Q15" i="21"/>
  <c r="R15" i="21"/>
  <c r="S15" i="21"/>
  <c r="T15" i="21"/>
  <c r="U15" i="21"/>
  <c r="V15" i="21"/>
  <c r="W15" i="21"/>
  <c r="X15" i="21"/>
  <c r="Y15" i="21"/>
  <c r="F16" i="21"/>
  <c r="G16" i="21"/>
  <c r="H16" i="21"/>
  <c r="I16" i="21"/>
  <c r="J16" i="21"/>
  <c r="K16" i="21"/>
  <c r="L16" i="21"/>
  <c r="M16" i="21"/>
  <c r="N16" i="21"/>
  <c r="O16" i="21"/>
  <c r="P16" i="21"/>
  <c r="Q16" i="21"/>
  <c r="R16" i="21"/>
  <c r="S16" i="21"/>
  <c r="T16" i="21"/>
  <c r="U16" i="21"/>
  <c r="V16" i="21"/>
  <c r="W16" i="21"/>
  <c r="X16" i="21"/>
  <c r="Y16" i="21"/>
  <c r="F17" i="21"/>
  <c r="G17" i="21"/>
  <c r="H17" i="21"/>
  <c r="I17" i="21"/>
  <c r="J17" i="21"/>
  <c r="K17" i="21"/>
  <c r="L17" i="21"/>
  <c r="M17" i="21"/>
  <c r="N17" i="21"/>
  <c r="O17" i="21"/>
  <c r="P17" i="21"/>
  <c r="Q17" i="21"/>
  <c r="R17" i="21"/>
  <c r="S17" i="21"/>
  <c r="T17" i="21"/>
  <c r="U17" i="21"/>
  <c r="V17" i="21"/>
  <c r="W17" i="21"/>
  <c r="X17" i="21"/>
  <c r="Y17" i="21"/>
  <c r="F18" i="21"/>
  <c r="G18" i="21"/>
  <c r="H18" i="21"/>
  <c r="I18" i="21"/>
  <c r="J18" i="21"/>
  <c r="K18" i="21"/>
  <c r="L18" i="21"/>
  <c r="M18" i="21"/>
  <c r="N18" i="21"/>
  <c r="O18" i="21"/>
  <c r="P18" i="21"/>
  <c r="Q18" i="21"/>
  <c r="R18" i="21"/>
  <c r="S18" i="21"/>
  <c r="T18" i="21"/>
  <c r="U18" i="21"/>
  <c r="V18" i="21"/>
  <c r="W18" i="21"/>
  <c r="X18" i="21"/>
  <c r="Y18" i="21"/>
  <c r="F19" i="21"/>
  <c r="G19" i="21"/>
  <c r="H19" i="21"/>
  <c r="I19" i="21"/>
  <c r="J19" i="21"/>
  <c r="K19" i="21"/>
  <c r="L19" i="21"/>
  <c r="M19" i="21"/>
  <c r="N19" i="21"/>
  <c r="O19" i="21"/>
  <c r="P19" i="21"/>
  <c r="Q19" i="21"/>
  <c r="R19" i="21"/>
  <c r="S19" i="21"/>
  <c r="T19" i="21"/>
  <c r="U19" i="21"/>
  <c r="V19" i="21"/>
  <c r="W19" i="21"/>
  <c r="X19" i="21"/>
  <c r="Y19" i="21"/>
  <c r="F20" i="21"/>
  <c r="G20" i="21"/>
  <c r="H20" i="21"/>
  <c r="I20" i="21"/>
  <c r="J20" i="21"/>
  <c r="K20" i="21"/>
  <c r="L20" i="21"/>
  <c r="M20" i="21"/>
  <c r="N20" i="21"/>
  <c r="O20" i="21"/>
  <c r="P20" i="21"/>
  <c r="Q20" i="21"/>
  <c r="R20" i="21"/>
  <c r="S20" i="21"/>
  <c r="T20" i="21"/>
  <c r="U20" i="21"/>
  <c r="V20" i="21"/>
  <c r="W20" i="21"/>
  <c r="X20" i="21"/>
  <c r="Y20" i="21"/>
  <c r="F4" i="28"/>
  <c r="G4" i="28"/>
  <c r="H4" i="28"/>
  <c r="I4" i="28"/>
  <c r="J4" i="28"/>
  <c r="K4" i="28"/>
  <c r="L4" i="28"/>
  <c r="M4" i="28"/>
  <c r="N4" i="28"/>
  <c r="O4" i="28"/>
  <c r="P4" i="28"/>
  <c r="Q4" i="28"/>
  <c r="R4" i="28"/>
  <c r="S4" i="28"/>
  <c r="T4" i="28"/>
  <c r="U4" i="28"/>
  <c r="V4" i="28"/>
  <c r="W4" i="28"/>
  <c r="X4" i="28"/>
  <c r="Y4" i="28"/>
  <c r="F5" i="28"/>
  <c r="G5" i="28"/>
  <c r="H5" i="28"/>
  <c r="I5" i="28"/>
  <c r="J5" i="28"/>
  <c r="K5" i="28"/>
  <c r="L5" i="28"/>
  <c r="M5" i="28"/>
  <c r="N5" i="28"/>
  <c r="O5" i="28"/>
  <c r="P5" i="28"/>
  <c r="Q5" i="28"/>
  <c r="R5" i="28"/>
  <c r="S5" i="28"/>
  <c r="T5" i="28"/>
  <c r="U5" i="28"/>
  <c r="V5" i="28"/>
  <c r="W5" i="28"/>
  <c r="X5" i="28"/>
  <c r="Y5" i="28"/>
  <c r="F6" i="28"/>
  <c r="G6" i="28"/>
  <c r="H6" i="28"/>
  <c r="I6" i="28"/>
  <c r="J6" i="28"/>
  <c r="K6" i="28"/>
  <c r="L6" i="28"/>
  <c r="M6" i="28"/>
  <c r="N6" i="28"/>
  <c r="O6" i="28"/>
  <c r="P6" i="28"/>
  <c r="Q6" i="28"/>
  <c r="R6" i="28"/>
  <c r="S6" i="28"/>
  <c r="T6" i="28"/>
  <c r="U6" i="28"/>
  <c r="V6" i="28"/>
  <c r="W6" i="28"/>
  <c r="X6" i="28"/>
  <c r="Y6" i="28"/>
  <c r="F7" i="28"/>
  <c r="G7" i="28"/>
  <c r="H7" i="28"/>
  <c r="I7" i="28"/>
  <c r="J7" i="28"/>
  <c r="K7" i="28"/>
  <c r="L7" i="28"/>
  <c r="M7" i="28"/>
  <c r="N7" i="28"/>
  <c r="O7" i="28"/>
  <c r="P7" i="28"/>
  <c r="Q7" i="28"/>
  <c r="R7" i="28"/>
  <c r="S7" i="28"/>
  <c r="T7" i="28"/>
  <c r="U7" i="28"/>
  <c r="V7" i="28"/>
  <c r="W7" i="28"/>
  <c r="X7" i="28"/>
  <c r="Y7" i="28"/>
  <c r="F8" i="28"/>
  <c r="G8" i="28"/>
  <c r="H8" i="28"/>
  <c r="I8" i="28"/>
  <c r="J8" i="28"/>
  <c r="K8" i="28"/>
  <c r="L8" i="28"/>
  <c r="M8" i="28"/>
  <c r="N8" i="28"/>
  <c r="O8" i="28"/>
  <c r="P8" i="28"/>
  <c r="Q8" i="28"/>
  <c r="R8" i="28"/>
  <c r="S8" i="28"/>
  <c r="T8" i="28"/>
  <c r="U8" i="28"/>
  <c r="V8" i="28"/>
  <c r="W8" i="28"/>
  <c r="X8" i="28"/>
  <c r="Y8" i="28"/>
  <c r="F9" i="28"/>
  <c r="G9" i="28"/>
  <c r="H9" i="28"/>
  <c r="I9" i="28"/>
  <c r="J9" i="28"/>
  <c r="K9" i="28"/>
  <c r="L9" i="28"/>
  <c r="M9" i="28"/>
  <c r="N9" i="28"/>
  <c r="O9" i="28"/>
  <c r="P9" i="28"/>
  <c r="Q9" i="28"/>
  <c r="R9" i="28"/>
  <c r="S9" i="28"/>
  <c r="T9" i="28"/>
  <c r="U9" i="28"/>
  <c r="V9" i="28"/>
  <c r="W9" i="28"/>
  <c r="X9" i="28"/>
  <c r="Y9" i="28"/>
  <c r="F10" i="28"/>
  <c r="G10" i="28"/>
  <c r="H10" i="28"/>
  <c r="I10" i="28"/>
  <c r="J10" i="28"/>
  <c r="K10" i="28"/>
  <c r="L10" i="28"/>
  <c r="M10" i="28"/>
  <c r="N10" i="28"/>
  <c r="O10" i="28"/>
  <c r="P10" i="28"/>
  <c r="Q10" i="28"/>
  <c r="R10" i="28"/>
  <c r="S10" i="28"/>
  <c r="T10" i="28"/>
  <c r="U10" i="28"/>
  <c r="V10" i="28"/>
  <c r="W10" i="28"/>
  <c r="X10" i="28"/>
  <c r="Y10" i="28"/>
  <c r="F11" i="28"/>
  <c r="G11" i="28"/>
  <c r="H11" i="28"/>
  <c r="I11" i="28"/>
  <c r="J11" i="28"/>
  <c r="K11" i="28"/>
  <c r="L11" i="28"/>
  <c r="M11" i="28"/>
  <c r="N11" i="28"/>
  <c r="O11" i="28"/>
  <c r="P11" i="28"/>
  <c r="Q11" i="28"/>
  <c r="R11" i="28"/>
  <c r="S11" i="28"/>
  <c r="T11" i="28"/>
  <c r="U11" i="28"/>
  <c r="V11" i="28"/>
  <c r="W11" i="28"/>
  <c r="X11" i="28"/>
  <c r="Y11" i="28"/>
  <c r="F12" i="28"/>
  <c r="G12" i="28"/>
  <c r="H12" i="28"/>
  <c r="I12" i="28"/>
  <c r="J12" i="28"/>
  <c r="K12" i="28"/>
  <c r="L12" i="28"/>
  <c r="M12" i="28"/>
  <c r="N12" i="28"/>
  <c r="O12" i="28"/>
  <c r="P12" i="28"/>
  <c r="Q12" i="28"/>
  <c r="R12" i="28"/>
  <c r="S12" i="28"/>
  <c r="T12" i="28"/>
  <c r="U12" i="28"/>
  <c r="V12" i="28"/>
  <c r="W12" i="28"/>
  <c r="X12" i="28"/>
  <c r="Y12" i="28"/>
  <c r="F13" i="28"/>
  <c r="G13" i="28"/>
  <c r="H13" i="28"/>
  <c r="I13" i="28"/>
  <c r="J13" i="28"/>
  <c r="K13" i="28"/>
  <c r="L13" i="28"/>
  <c r="M13" i="28"/>
  <c r="N13" i="28"/>
  <c r="O13" i="28"/>
  <c r="P13" i="28"/>
  <c r="Q13" i="28"/>
  <c r="R13" i="28"/>
  <c r="S13" i="28"/>
  <c r="T13" i="28"/>
  <c r="U13" i="28"/>
  <c r="V13" i="28"/>
  <c r="W13" i="28"/>
  <c r="X13" i="28"/>
  <c r="Y13" i="28"/>
  <c r="F14" i="28"/>
  <c r="G14" i="28"/>
  <c r="H14" i="28"/>
  <c r="I14" i="28"/>
  <c r="J14" i="28"/>
  <c r="K14" i="28"/>
  <c r="L14" i="28"/>
  <c r="M14" i="28"/>
  <c r="N14" i="28"/>
  <c r="O14" i="28"/>
  <c r="P14" i="28"/>
  <c r="Q14" i="28"/>
  <c r="R14" i="28"/>
  <c r="S14" i="28"/>
  <c r="T14" i="28"/>
  <c r="U14" i="28"/>
  <c r="V14" i="28"/>
  <c r="W14" i="28"/>
  <c r="X14" i="28"/>
  <c r="Y14" i="28"/>
  <c r="F15" i="28"/>
  <c r="G15" i="28"/>
  <c r="H15" i="28"/>
  <c r="I15" i="28"/>
  <c r="J15" i="28"/>
  <c r="K15" i="28"/>
  <c r="L15" i="28"/>
  <c r="M15" i="28"/>
  <c r="N15" i="28"/>
  <c r="O15" i="28"/>
  <c r="P15" i="28"/>
  <c r="Q15" i="28"/>
  <c r="R15" i="28"/>
  <c r="S15" i="28"/>
  <c r="T15" i="28"/>
  <c r="U15" i="28"/>
  <c r="V15" i="28"/>
  <c r="W15" i="28"/>
  <c r="X15" i="28"/>
  <c r="Y15" i="28"/>
  <c r="F16" i="28"/>
  <c r="G16" i="28"/>
  <c r="H16" i="28"/>
  <c r="I16" i="28"/>
  <c r="J16" i="28"/>
  <c r="K16" i="28"/>
  <c r="L16" i="28"/>
  <c r="M16" i="28"/>
  <c r="N16" i="28"/>
  <c r="O16" i="28"/>
  <c r="P16" i="28"/>
  <c r="Q16" i="28"/>
  <c r="R16" i="28"/>
  <c r="S16" i="28"/>
  <c r="T16" i="28"/>
  <c r="U16" i="28"/>
  <c r="V16" i="28"/>
  <c r="W16" i="28"/>
  <c r="X16" i="28"/>
  <c r="Y16" i="28"/>
  <c r="F17" i="28"/>
  <c r="G17" i="28"/>
  <c r="H17" i="28"/>
  <c r="I17" i="28"/>
  <c r="J17" i="28"/>
  <c r="K17" i="28"/>
  <c r="L17" i="28"/>
  <c r="M17" i="28"/>
  <c r="N17" i="28"/>
  <c r="O17" i="28"/>
  <c r="P17" i="28"/>
  <c r="Q17" i="28"/>
  <c r="R17" i="28"/>
  <c r="S17" i="28"/>
  <c r="T17" i="28"/>
  <c r="U17" i="28"/>
  <c r="V17" i="28"/>
  <c r="W17" i="28"/>
  <c r="X17" i="28"/>
  <c r="Y17" i="28"/>
  <c r="F18" i="28"/>
  <c r="G18" i="28"/>
  <c r="H18" i="28"/>
  <c r="I18" i="28"/>
  <c r="J18" i="28"/>
  <c r="K18" i="28"/>
  <c r="L18" i="28"/>
  <c r="M18" i="28"/>
  <c r="N18" i="28"/>
  <c r="O18" i="28"/>
  <c r="P18" i="28"/>
  <c r="Q18" i="28"/>
  <c r="R18" i="28"/>
  <c r="S18" i="28"/>
  <c r="T18" i="28"/>
  <c r="U18" i="28"/>
  <c r="V18" i="28"/>
  <c r="W18" i="28"/>
  <c r="X18" i="28"/>
  <c r="Y18" i="28"/>
  <c r="F19" i="28"/>
  <c r="G19" i="28"/>
  <c r="H19" i="28"/>
  <c r="I19" i="28"/>
  <c r="J19" i="28"/>
  <c r="K19" i="28"/>
  <c r="L19" i="28"/>
  <c r="M19" i="28"/>
  <c r="N19" i="28"/>
  <c r="O19" i="28"/>
  <c r="P19" i="28"/>
  <c r="Q19" i="28"/>
  <c r="R19" i="28"/>
  <c r="S19" i="28"/>
  <c r="T19" i="28"/>
  <c r="U19" i="28"/>
  <c r="V19" i="28"/>
  <c r="W19" i="28"/>
  <c r="X19" i="28"/>
  <c r="Y19" i="28"/>
  <c r="F20" i="28"/>
  <c r="G20" i="28"/>
  <c r="H20" i="28"/>
  <c r="I20" i="28"/>
  <c r="J20" i="28"/>
  <c r="K20" i="28"/>
  <c r="L20" i="28"/>
  <c r="M20" i="28"/>
  <c r="N20" i="28"/>
  <c r="O20" i="28"/>
  <c r="P20" i="28"/>
  <c r="Q20" i="28"/>
  <c r="R20" i="28"/>
  <c r="S20" i="28"/>
  <c r="T20" i="28"/>
  <c r="U20" i="28"/>
  <c r="V20" i="28"/>
  <c r="W20" i="28"/>
  <c r="X20" i="28"/>
  <c r="Y20" i="28"/>
  <c r="F4" i="37"/>
  <c r="G4" i="37"/>
  <c r="H4" i="37"/>
  <c r="I4" i="37"/>
  <c r="J4" i="37"/>
  <c r="K4" i="37"/>
  <c r="L4" i="37"/>
  <c r="M4" i="37"/>
  <c r="N4" i="37"/>
  <c r="O4" i="37"/>
  <c r="P4" i="37"/>
  <c r="Q4" i="37"/>
  <c r="R4" i="37"/>
  <c r="S4" i="37"/>
  <c r="T4" i="37"/>
  <c r="U4" i="37"/>
  <c r="V4" i="37"/>
  <c r="W4" i="37"/>
  <c r="X4" i="37"/>
  <c r="Y4" i="37"/>
  <c r="F5" i="37"/>
  <c r="G5" i="37"/>
  <c r="H5" i="37"/>
  <c r="I5" i="37"/>
  <c r="J5" i="37"/>
  <c r="K5" i="37"/>
  <c r="L5" i="37"/>
  <c r="M5" i="37"/>
  <c r="N5" i="37"/>
  <c r="O5" i="37"/>
  <c r="P5" i="37"/>
  <c r="Q5" i="37"/>
  <c r="R5" i="37"/>
  <c r="S5" i="37"/>
  <c r="T5" i="37"/>
  <c r="U5" i="37"/>
  <c r="V5" i="37"/>
  <c r="W5" i="37"/>
  <c r="X5" i="37"/>
  <c r="Y5" i="37"/>
  <c r="F6" i="37"/>
  <c r="G6" i="37"/>
  <c r="H6" i="37"/>
  <c r="I6" i="37"/>
  <c r="J6" i="37"/>
  <c r="K6" i="37"/>
  <c r="L6" i="37"/>
  <c r="M6" i="37"/>
  <c r="N6" i="37"/>
  <c r="O6" i="37"/>
  <c r="P6" i="37"/>
  <c r="Q6" i="37"/>
  <c r="R6" i="37"/>
  <c r="S6" i="37"/>
  <c r="T6" i="37"/>
  <c r="U6" i="37"/>
  <c r="V6" i="37"/>
  <c r="W6" i="37"/>
  <c r="X6" i="37"/>
  <c r="Y6" i="37"/>
  <c r="F7" i="37"/>
  <c r="G7" i="37"/>
  <c r="H7" i="37"/>
  <c r="I7" i="37"/>
  <c r="J7" i="37"/>
  <c r="K7" i="37"/>
  <c r="L7" i="37"/>
  <c r="M7" i="37"/>
  <c r="N7" i="37"/>
  <c r="O7" i="37"/>
  <c r="P7" i="37"/>
  <c r="Q7" i="37"/>
  <c r="R7" i="37"/>
  <c r="S7" i="37"/>
  <c r="T7" i="37"/>
  <c r="U7" i="37"/>
  <c r="V7" i="37"/>
  <c r="W7" i="37"/>
  <c r="X7" i="37"/>
  <c r="Y7" i="37"/>
  <c r="F8" i="37"/>
  <c r="G8" i="37"/>
  <c r="H8" i="37"/>
  <c r="I8" i="37"/>
  <c r="J8" i="37"/>
  <c r="K8" i="37"/>
  <c r="L8" i="37"/>
  <c r="M8" i="37"/>
  <c r="N8" i="37"/>
  <c r="O8" i="37"/>
  <c r="P8" i="37"/>
  <c r="Q8" i="37"/>
  <c r="R8" i="37"/>
  <c r="S8" i="37"/>
  <c r="T8" i="37"/>
  <c r="U8" i="37"/>
  <c r="V8" i="37"/>
  <c r="W8" i="37"/>
  <c r="X8" i="37"/>
  <c r="Y8" i="37"/>
  <c r="F9" i="37"/>
  <c r="G9" i="37"/>
  <c r="H9" i="37"/>
  <c r="I9" i="37"/>
  <c r="J9" i="37"/>
  <c r="K9" i="37"/>
  <c r="L9" i="37"/>
  <c r="M9" i="37"/>
  <c r="N9" i="37"/>
  <c r="O9" i="37"/>
  <c r="P9" i="37"/>
  <c r="Q9" i="37"/>
  <c r="R9" i="37"/>
  <c r="S9" i="37"/>
  <c r="T9" i="37"/>
  <c r="U9" i="37"/>
  <c r="V9" i="37"/>
  <c r="W9" i="37"/>
  <c r="X9" i="37"/>
  <c r="Y9" i="37"/>
  <c r="F10" i="37"/>
  <c r="G10" i="37"/>
  <c r="H10" i="37"/>
  <c r="I10" i="37"/>
  <c r="J10" i="37"/>
  <c r="K10" i="37"/>
  <c r="L10" i="37"/>
  <c r="M10" i="37"/>
  <c r="N10" i="37"/>
  <c r="O10" i="37"/>
  <c r="P10" i="37"/>
  <c r="Q10" i="37"/>
  <c r="R10" i="37"/>
  <c r="S10" i="37"/>
  <c r="T10" i="37"/>
  <c r="U10" i="37"/>
  <c r="V10" i="37"/>
  <c r="W10" i="37"/>
  <c r="X10" i="37"/>
  <c r="Y10" i="37"/>
  <c r="F11" i="37"/>
  <c r="G11" i="37"/>
  <c r="H11" i="37"/>
  <c r="I11" i="37"/>
  <c r="J11" i="37"/>
  <c r="L11" i="37"/>
  <c r="M11" i="37"/>
  <c r="N11" i="37"/>
  <c r="O11" i="37"/>
  <c r="P11" i="37"/>
  <c r="Q11" i="37"/>
  <c r="R11" i="37"/>
  <c r="S11" i="37"/>
  <c r="T11" i="37"/>
  <c r="U11" i="37"/>
  <c r="V11" i="37"/>
  <c r="W11" i="37"/>
  <c r="X11" i="37"/>
  <c r="Y11" i="37"/>
  <c r="F12" i="37"/>
  <c r="G12" i="37"/>
  <c r="H12" i="37"/>
  <c r="I12" i="37"/>
  <c r="J12" i="37"/>
  <c r="K12" i="37"/>
  <c r="L12" i="37"/>
  <c r="M12" i="37"/>
  <c r="N12" i="37"/>
  <c r="O12" i="37"/>
  <c r="P12" i="37"/>
  <c r="Q12" i="37"/>
  <c r="R12" i="37"/>
  <c r="S12" i="37"/>
  <c r="T12" i="37"/>
  <c r="U12" i="37"/>
  <c r="V12" i="37"/>
  <c r="W12" i="37"/>
  <c r="X12" i="37"/>
  <c r="Y12" i="37"/>
  <c r="F13" i="37"/>
  <c r="G13" i="37"/>
  <c r="H13" i="37"/>
  <c r="I13" i="37"/>
  <c r="J13" i="37"/>
  <c r="K13" i="37"/>
  <c r="L13" i="37"/>
  <c r="M13" i="37"/>
  <c r="N13" i="37"/>
  <c r="O13" i="37"/>
  <c r="P13" i="37"/>
  <c r="Q13" i="37"/>
  <c r="R13" i="37"/>
  <c r="S13" i="37"/>
  <c r="T13" i="37"/>
  <c r="U13" i="37"/>
  <c r="V13" i="37"/>
  <c r="W13" i="37"/>
  <c r="X13" i="37"/>
  <c r="Y13" i="37"/>
  <c r="F14" i="37"/>
  <c r="G14" i="37"/>
  <c r="H14" i="37"/>
  <c r="I14" i="37"/>
  <c r="J14" i="37"/>
  <c r="K14" i="37"/>
  <c r="L14" i="37"/>
  <c r="M14" i="37"/>
  <c r="N14" i="37"/>
  <c r="O14" i="37"/>
  <c r="P14" i="37"/>
  <c r="Q14" i="37"/>
  <c r="R14" i="37"/>
  <c r="S14" i="37"/>
  <c r="T14" i="37"/>
  <c r="U14" i="37"/>
  <c r="V14" i="37"/>
  <c r="W14" i="37"/>
  <c r="X14" i="37"/>
  <c r="Y14" i="37"/>
  <c r="F15" i="37"/>
  <c r="G15" i="37"/>
  <c r="H15" i="37"/>
  <c r="I15" i="37"/>
  <c r="J15" i="37"/>
  <c r="K15" i="37"/>
  <c r="L15" i="37"/>
  <c r="M15" i="37"/>
  <c r="N15" i="37"/>
  <c r="O15" i="37"/>
  <c r="P15" i="37"/>
  <c r="Q15" i="37"/>
  <c r="R15" i="37"/>
  <c r="S15" i="37"/>
  <c r="T15" i="37"/>
  <c r="U15" i="37"/>
  <c r="V15" i="37"/>
  <c r="W15" i="37"/>
  <c r="X15" i="37"/>
  <c r="Y15" i="37"/>
  <c r="F16" i="37"/>
  <c r="G16" i="37"/>
  <c r="H16" i="37"/>
  <c r="I16" i="37"/>
  <c r="J16" i="37"/>
  <c r="K16" i="37"/>
  <c r="L16" i="37"/>
  <c r="M16" i="37"/>
  <c r="N16" i="37"/>
  <c r="O16" i="37"/>
  <c r="P16" i="37"/>
  <c r="Q16" i="37"/>
  <c r="R16" i="37"/>
  <c r="S16" i="37"/>
  <c r="T16" i="37"/>
  <c r="U16" i="37"/>
  <c r="V16" i="37"/>
  <c r="W16" i="37"/>
  <c r="X16" i="37"/>
  <c r="Y16" i="37"/>
  <c r="F17" i="37"/>
  <c r="G17" i="37"/>
  <c r="H17" i="37"/>
  <c r="I17" i="37"/>
  <c r="J17" i="37"/>
  <c r="K17" i="37"/>
  <c r="L17" i="37"/>
  <c r="M17" i="37"/>
  <c r="N17" i="37"/>
  <c r="O17" i="37"/>
  <c r="P17" i="37"/>
  <c r="Q17" i="37"/>
  <c r="R17" i="37"/>
  <c r="S17" i="37"/>
  <c r="T17" i="37"/>
  <c r="U17" i="37"/>
  <c r="V17" i="37"/>
  <c r="W17" i="37"/>
  <c r="X17" i="37"/>
  <c r="Y17" i="37"/>
  <c r="F18" i="37"/>
  <c r="G18" i="37"/>
  <c r="H18" i="37"/>
  <c r="I18" i="37"/>
  <c r="J18" i="37"/>
  <c r="K18" i="37"/>
  <c r="L18" i="37"/>
  <c r="M18" i="37"/>
  <c r="N18" i="37"/>
  <c r="O18" i="37"/>
  <c r="P18" i="37"/>
  <c r="Q18" i="37"/>
  <c r="R18" i="37"/>
  <c r="S18" i="37"/>
  <c r="T18" i="37"/>
  <c r="U18" i="37"/>
  <c r="V18" i="37"/>
  <c r="W18" i="37"/>
  <c r="X18" i="37"/>
  <c r="Y18" i="37"/>
  <c r="F19" i="37"/>
  <c r="G19" i="37"/>
  <c r="H19" i="37"/>
  <c r="I19" i="37"/>
  <c r="J19" i="37"/>
  <c r="K19" i="37"/>
  <c r="L19" i="37"/>
  <c r="M19" i="37"/>
  <c r="N19" i="37"/>
  <c r="O19" i="37"/>
  <c r="P19" i="37"/>
  <c r="Q19" i="37"/>
  <c r="R19" i="37"/>
  <c r="S19" i="37"/>
  <c r="T19" i="37"/>
  <c r="U19" i="37"/>
  <c r="V19" i="37"/>
  <c r="W19" i="37"/>
  <c r="X19" i="37"/>
  <c r="Y19" i="37"/>
  <c r="F20" i="37"/>
  <c r="G20" i="37"/>
  <c r="H20" i="37"/>
  <c r="I20" i="37"/>
  <c r="J20" i="37"/>
  <c r="K20" i="37"/>
  <c r="L20" i="37"/>
  <c r="M20" i="37"/>
  <c r="N20" i="37"/>
  <c r="O20" i="37"/>
  <c r="P20" i="37"/>
  <c r="Q20" i="37"/>
  <c r="R20" i="37"/>
  <c r="S20" i="37"/>
  <c r="T20" i="37"/>
  <c r="U20" i="37"/>
  <c r="V20" i="37"/>
  <c r="W20" i="37"/>
  <c r="X20" i="37"/>
  <c r="Y20" i="37"/>
  <c r="F4" i="36"/>
  <c r="G4" i="36"/>
  <c r="H4" i="36"/>
  <c r="I4" i="36"/>
  <c r="J4" i="36"/>
  <c r="K4" i="36"/>
  <c r="L4" i="36"/>
  <c r="M4" i="36"/>
  <c r="N4" i="36"/>
  <c r="O4" i="36"/>
  <c r="P4" i="36"/>
  <c r="Q4" i="36"/>
  <c r="R4" i="36"/>
  <c r="S4" i="36"/>
  <c r="T4" i="36"/>
  <c r="U4" i="36"/>
  <c r="V4" i="36"/>
  <c r="W4" i="36"/>
  <c r="X4" i="36"/>
  <c r="Y4" i="36"/>
  <c r="F5" i="36"/>
  <c r="G5" i="36"/>
  <c r="H5" i="36"/>
  <c r="I5" i="36"/>
  <c r="J5" i="36"/>
  <c r="K5" i="36"/>
  <c r="L5" i="36"/>
  <c r="M5" i="36"/>
  <c r="N5" i="36"/>
  <c r="O5" i="36"/>
  <c r="P5" i="36"/>
  <c r="Q5" i="36"/>
  <c r="R5" i="36"/>
  <c r="S5" i="36"/>
  <c r="T5" i="36"/>
  <c r="U5" i="36"/>
  <c r="V5" i="36"/>
  <c r="W5" i="36"/>
  <c r="X5" i="36"/>
  <c r="Y5" i="36"/>
  <c r="F6" i="36"/>
  <c r="G6" i="36"/>
  <c r="H6" i="36"/>
  <c r="I6" i="36"/>
  <c r="J6" i="36"/>
  <c r="K6" i="36"/>
  <c r="L6" i="36"/>
  <c r="M6" i="36"/>
  <c r="N6" i="36"/>
  <c r="O6" i="36"/>
  <c r="P6" i="36"/>
  <c r="Q6" i="36"/>
  <c r="R6" i="36"/>
  <c r="S6" i="36"/>
  <c r="T6" i="36"/>
  <c r="U6" i="36"/>
  <c r="V6" i="36"/>
  <c r="W6" i="36"/>
  <c r="X6" i="36"/>
  <c r="Y6" i="36"/>
  <c r="F7" i="36"/>
  <c r="G7" i="36"/>
  <c r="H7" i="36"/>
  <c r="I7" i="36"/>
  <c r="J7" i="36"/>
  <c r="K7" i="36"/>
  <c r="L7" i="36"/>
  <c r="M7" i="36"/>
  <c r="N7" i="36"/>
  <c r="O7" i="36"/>
  <c r="P7" i="36"/>
  <c r="Q7" i="36"/>
  <c r="R7" i="36"/>
  <c r="S7" i="36"/>
  <c r="T7" i="36"/>
  <c r="U7" i="36"/>
  <c r="V7" i="36"/>
  <c r="W7" i="36"/>
  <c r="X7" i="36"/>
  <c r="Y7" i="36"/>
  <c r="F8" i="36"/>
  <c r="G8" i="36"/>
  <c r="H8" i="36"/>
  <c r="I8" i="36"/>
  <c r="J8" i="36"/>
  <c r="K8" i="36"/>
  <c r="L8" i="36"/>
  <c r="M8" i="36"/>
  <c r="N8" i="36"/>
  <c r="O8" i="36"/>
  <c r="P8" i="36"/>
  <c r="Q8" i="36"/>
  <c r="R8" i="36"/>
  <c r="S8" i="36"/>
  <c r="T8" i="36"/>
  <c r="U8" i="36"/>
  <c r="V8" i="36"/>
  <c r="W8" i="36"/>
  <c r="X8" i="36"/>
  <c r="Y8" i="36"/>
  <c r="F9" i="36"/>
  <c r="G9" i="36"/>
  <c r="H9" i="36"/>
  <c r="I9" i="36"/>
  <c r="J9" i="36"/>
  <c r="K9" i="36"/>
  <c r="L9" i="36"/>
  <c r="M9" i="36"/>
  <c r="N9" i="36"/>
  <c r="O9" i="36"/>
  <c r="P9" i="36"/>
  <c r="Q9" i="36"/>
  <c r="R9" i="36"/>
  <c r="S9" i="36"/>
  <c r="T9" i="36"/>
  <c r="U9" i="36"/>
  <c r="V9" i="36"/>
  <c r="W9" i="36"/>
  <c r="X9" i="36"/>
  <c r="Y9" i="36"/>
  <c r="F10" i="36"/>
  <c r="G10" i="36"/>
  <c r="H10" i="36"/>
  <c r="I10" i="36"/>
  <c r="J10" i="36"/>
  <c r="K10" i="36"/>
  <c r="L10" i="36"/>
  <c r="M10" i="36"/>
  <c r="N10" i="36"/>
  <c r="O10" i="36"/>
  <c r="P10" i="36"/>
  <c r="Q10" i="36"/>
  <c r="R10" i="36"/>
  <c r="S10" i="36"/>
  <c r="T10" i="36"/>
  <c r="U10" i="36"/>
  <c r="V10" i="36"/>
  <c r="W10" i="36"/>
  <c r="X10" i="36"/>
  <c r="Y10" i="36"/>
  <c r="F11" i="36"/>
  <c r="G11" i="36"/>
  <c r="H11" i="36"/>
  <c r="I11" i="36"/>
  <c r="J11" i="36"/>
  <c r="K11" i="36"/>
  <c r="L11" i="36"/>
  <c r="M11" i="36"/>
  <c r="N11" i="36"/>
  <c r="O11" i="36"/>
  <c r="P11" i="36"/>
  <c r="Q11" i="36"/>
  <c r="R11" i="36"/>
  <c r="S11" i="36"/>
  <c r="T11" i="36"/>
  <c r="U11" i="36"/>
  <c r="V11" i="36"/>
  <c r="W11" i="36"/>
  <c r="X11" i="36"/>
  <c r="Y11" i="36"/>
  <c r="F12" i="36"/>
  <c r="G12" i="36"/>
  <c r="H12" i="36"/>
  <c r="I12" i="36"/>
  <c r="J12" i="36"/>
  <c r="K12" i="36"/>
  <c r="L12" i="36"/>
  <c r="M12" i="36"/>
  <c r="N12" i="36"/>
  <c r="O12" i="36"/>
  <c r="P12" i="36"/>
  <c r="Q12" i="36"/>
  <c r="R12" i="36"/>
  <c r="S12" i="36"/>
  <c r="T12" i="36"/>
  <c r="U12" i="36"/>
  <c r="V12" i="36"/>
  <c r="W12" i="36"/>
  <c r="X12" i="36"/>
  <c r="Y12" i="36"/>
  <c r="F13" i="36"/>
  <c r="G13" i="36"/>
  <c r="H13" i="36"/>
  <c r="I13" i="36"/>
  <c r="J13" i="36"/>
  <c r="K13" i="36"/>
  <c r="L13" i="36"/>
  <c r="M13" i="36"/>
  <c r="N13" i="36"/>
  <c r="O13" i="36"/>
  <c r="P13" i="36"/>
  <c r="Q13" i="36"/>
  <c r="R13" i="36"/>
  <c r="S13" i="36"/>
  <c r="T13" i="36"/>
  <c r="U13" i="36"/>
  <c r="V13" i="36"/>
  <c r="W13" i="36"/>
  <c r="X13" i="36"/>
  <c r="Y13" i="36"/>
  <c r="F14" i="36"/>
  <c r="G14" i="36"/>
  <c r="H14" i="36"/>
  <c r="I14" i="36"/>
  <c r="J14" i="36"/>
  <c r="K14" i="36"/>
  <c r="L14" i="36"/>
  <c r="M14" i="36"/>
  <c r="N14" i="36"/>
  <c r="O14" i="36"/>
  <c r="P14" i="36"/>
  <c r="Q14" i="36"/>
  <c r="R14" i="36"/>
  <c r="S14" i="36"/>
  <c r="T14" i="36"/>
  <c r="U14" i="36"/>
  <c r="V14" i="36"/>
  <c r="W14" i="36"/>
  <c r="X14" i="36"/>
  <c r="Y14" i="36"/>
  <c r="F15" i="36"/>
  <c r="G15" i="36"/>
  <c r="H15" i="36"/>
  <c r="I15" i="36"/>
  <c r="J15" i="36"/>
  <c r="K15" i="36"/>
  <c r="L15" i="36"/>
  <c r="M15" i="36"/>
  <c r="N15" i="36"/>
  <c r="O15" i="36"/>
  <c r="P15" i="36"/>
  <c r="Q15" i="36"/>
  <c r="R15" i="36"/>
  <c r="S15" i="36"/>
  <c r="T15" i="36"/>
  <c r="U15" i="36"/>
  <c r="V15" i="36"/>
  <c r="W15" i="36"/>
  <c r="X15" i="36"/>
  <c r="Y15" i="36"/>
  <c r="F16" i="36"/>
  <c r="G16" i="36"/>
  <c r="H16" i="36"/>
  <c r="I16" i="36"/>
  <c r="J16" i="36"/>
  <c r="K16" i="36"/>
  <c r="L16" i="36"/>
  <c r="M16" i="36"/>
  <c r="N16" i="36"/>
  <c r="O16" i="36"/>
  <c r="P16" i="36"/>
  <c r="Q16" i="36"/>
  <c r="R16" i="36"/>
  <c r="S16" i="36"/>
  <c r="T16" i="36"/>
  <c r="U16" i="36"/>
  <c r="V16" i="36"/>
  <c r="W16" i="36"/>
  <c r="X16" i="36"/>
  <c r="Y16" i="36"/>
  <c r="F17" i="36"/>
  <c r="G17" i="36"/>
  <c r="H17" i="36"/>
  <c r="I17" i="36"/>
  <c r="J17" i="36"/>
  <c r="K17" i="36"/>
  <c r="L17" i="36"/>
  <c r="M17" i="36"/>
  <c r="N17" i="36"/>
  <c r="O17" i="36"/>
  <c r="P17" i="36"/>
  <c r="Q17" i="36"/>
  <c r="R17" i="36"/>
  <c r="S17" i="36"/>
  <c r="T17" i="36"/>
  <c r="U17" i="36"/>
  <c r="V17" i="36"/>
  <c r="W17" i="36"/>
  <c r="X17" i="36"/>
  <c r="Y17" i="36"/>
  <c r="F18" i="36"/>
  <c r="G18" i="36"/>
  <c r="H18" i="36"/>
  <c r="I18" i="36"/>
  <c r="J18" i="36"/>
  <c r="K18" i="36"/>
  <c r="L18" i="36"/>
  <c r="M18" i="36"/>
  <c r="N18" i="36"/>
  <c r="O18" i="36"/>
  <c r="P18" i="36"/>
  <c r="Q18" i="36"/>
  <c r="R18" i="36"/>
  <c r="S18" i="36"/>
  <c r="T18" i="36"/>
  <c r="U18" i="36"/>
  <c r="V18" i="36"/>
  <c r="W18" i="36"/>
  <c r="X18" i="36"/>
  <c r="Y18" i="36"/>
  <c r="F19" i="36"/>
  <c r="G19" i="36"/>
  <c r="H19" i="36"/>
  <c r="I19" i="36"/>
  <c r="J19" i="36"/>
  <c r="K19" i="36"/>
  <c r="L19" i="36"/>
  <c r="M19" i="36"/>
  <c r="N19" i="36"/>
  <c r="O19" i="36"/>
  <c r="P19" i="36"/>
  <c r="Q19" i="36"/>
  <c r="R19" i="36"/>
  <c r="S19" i="36"/>
  <c r="T19" i="36"/>
  <c r="U19" i="36"/>
  <c r="V19" i="36"/>
  <c r="W19" i="36"/>
  <c r="X19" i="36"/>
  <c r="Y19" i="36"/>
  <c r="F20" i="36"/>
  <c r="G20" i="36"/>
  <c r="H20" i="36"/>
  <c r="I20" i="36"/>
  <c r="J20" i="36"/>
  <c r="K20" i="36"/>
  <c r="L20" i="36"/>
  <c r="M20" i="36"/>
  <c r="N20" i="36"/>
  <c r="O20" i="36"/>
  <c r="P20" i="36"/>
  <c r="Q20" i="36"/>
  <c r="R20" i="36"/>
  <c r="S20" i="36"/>
  <c r="T20" i="36"/>
  <c r="U20" i="36"/>
  <c r="V20" i="36"/>
  <c r="W20" i="36"/>
  <c r="X20" i="36"/>
  <c r="Y20" i="36"/>
  <c r="F4" i="33"/>
  <c r="G4" i="33"/>
  <c r="H4" i="33"/>
  <c r="I4" i="33"/>
  <c r="J4" i="33"/>
  <c r="K4" i="33"/>
  <c r="L4" i="33"/>
  <c r="M4" i="33"/>
  <c r="N4" i="33"/>
  <c r="O4" i="33"/>
  <c r="P4" i="33"/>
  <c r="Q4" i="33"/>
  <c r="R4" i="33"/>
  <c r="S4" i="33"/>
  <c r="T4" i="33"/>
  <c r="U4" i="33"/>
  <c r="V4" i="33"/>
  <c r="W4" i="33"/>
  <c r="X4" i="33"/>
  <c r="Y4" i="33"/>
  <c r="F5" i="33"/>
  <c r="G5" i="33"/>
  <c r="H5" i="33"/>
  <c r="I5" i="33"/>
  <c r="J5" i="33"/>
  <c r="K5" i="33"/>
  <c r="L5" i="33"/>
  <c r="M5" i="33"/>
  <c r="N5" i="33"/>
  <c r="O5" i="33"/>
  <c r="P5" i="33"/>
  <c r="Q5" i="33"/>
  <c r="R5" i="33"/>
  <c r="S5" i="33"/>
  <c r="T5" i="33"/>
  <c r="U5" i="33"/>
  <c r="V5" i="33"/>
  <c r="W5" i="33"/>
  <c r="X5" i="33"/>
  <c r="Y5" i="33"/>
  <c r="F6" i="33"/>
  <c r="G6" i="33"/>
  <c r="H6" i="33"/>
  <c r="I6" i="33"/>
  <c r="J6" i="33"/>
  <c r="K6" i="33"/>
  <c r="L6" i="33"/>
  <c r="M6" i="33"/>
  <c r="N6" i="33"/>
  <c r="O6" i="33"/>
  <c r="P6" i="33"/>
  <c r="Q6" i="33"/>
  <c r="R6" i="33"/>
  <c r="S6" i="33"/>
  <c r="T6" i="33"/>
  <c r="U6" i="33"/>
  <c r="V6" i="33"/>
  <c r="W6" i="33"/>
  <c r="X6" i="33"/>
  <c r="Y6" i="33"/>
  <c r="F7" i="33"/>
  <c r="G7" i="33"/>
  <c r="H7" i="33"/>
  <c r="I7" i="33"/>
  <c r="J7" i="33"/>
  <c r="K7" i="33"/>
  <c r="L7" i="33"/>
  <c r="M7" i="33"/>
  <c r="N7" i="33"/>
  <c r="O7" i="33"/>
  <c r="P7" i="33"/>
  <c r="Q7" i="33"/>
  <c r="R7" i="33"/>
  <c r="S7" i="33"/>
  <c r="T7" i="33"/>
  <c r="U7" i="33"/>
  <c r="V7" i="33"/>
  <c r="W7" i="33"/>
  <c r="X7" i="33"/>
  <c r="Y7" i="33"/>
  <c r="F8" i="33"/>
  <c r="G8" i="33"/>
  <c r="H8" i="33"/>
  <c r="I8" i="33"/>
  <c r="J8" i="33"/>
  <c r="K8" i="33"/>
  <c r="L8" i="33"/>
  <c r="M8" i="33"/>
  <c r="N8" i="33"/>
  <c r="O8" i="33"/>
  <c r="P8" i="33"/>
  <c r="Q8" i="33"/>
  <c r="R8" i="33"/>
  <c r="S8" i="33"/>
  <c r="T8" i="33"/>
  <c r="U8" i="33"/>
  <c r="V8" i="33"/>
  <c r="W8" i="33"/>
  <c r="X8" i="33"/>
  <c r="Y8" i="33"/>
  <c r="F9" i="33"/>
  <c r="G9" i="33"/>
  <c r="H9" i="33"/>
  <c r="I9" i="33"/>
  <c r="J9" i="33"/>
  <c r="K9" i="33"/>
  <c r="L9" i="33"/>
  <c r="M9" i="33"/>
  <c r="N9" i="33"/>
  <c r="O9" i="33"/>
  <c r="P9" i="33"/>
  <c r="Q9" i="33"/>
  <c r="R9" i="33"/>
  <c r="S9" i="33"/>
  <c r="T9" i="33"/>
  <c r="U9" i="33"/>
  <c r="V9" i="33"/>
  <c r="W9" i="33"/>
  <c r="X9" i="33"/>
  <c r="Y9" i="33"/>
  <c r="F10" i="33"/>
  <c r="G10" i="33"/>
  <c r="H10" i="33"/>
  <c r="I10" i="33"/>
  <c r="J10" i="33"/>
  <c r="K10" i="33"/>
  <c r="L10" i="33"/>
  <c r="M10" i="33"/>
  <c r="N10" i="33"/>
  <c r="O10" i="33"/>
  <c r="P10" i="33"/>
  <c r="Q10" i="33"/>
  <c r="R10" i="33"/>
  <c r="S10" i="33"/>
  <c r="T10" i="33"/>
  <c r="U10" i="33"/>
  <c r="V10" i="33"/>
  <c r="W10" i="33"/>
  <c r="X10" i="33"/>
  <c r="Y10" i="33"/>
  <c r="F11" i="33"/>
  <c r="G11" i="33"/>
  <c r="H11" i="33"/>
  <c r="I11" i="33"/>
  <c r="J11" i="33"/>
  <c r="K11" i="33"/>
  <c r="L11" i="33"/>
  <c r="M11" i="33"/>
  <c r="N11" i="33"/>
  <c r="O11" i="33"/>
  <c r="P11" i="33"/>
  <c r="Q11" i="33"/>
  <c r="R11" i="33"/>
  <c r="S11" i="33"/>
  <c r="T11" i="33"/>
  <c r="U11" i="33"/>
  <c r="V11" i="33"/>
  <c r="W11" i="33"/>
  <c r="X11" i="33"/>
  <c r="Y11" i="33"/>
  <c r="F12" i="33"/>
  <c r="G12" i="33"/>
  <c r="H12" i="33"/>
  <c r="I12" i="33"/>
  <c r="J12" i="33"/>
  <c r="K12" i="33"/>
  <c r="L12" i="33"/>
  <c r="M12" i="33"/>
  <c r="N12" i="33"/>
  <c r="O12" i="33"/>
  <c r="P12" i="33"/>
  <c r="Q12" i="33"/>
  <c r="R12" i="33"/>
  <c r="S12" i="33"/>
  <c r="T12" i="33"/>
  <c r="U12" i="33"/>
  <c r="V12" i="33"/>
  <c r="W12" i="33"/>
  <c r="X12" i="33"/>
  <c r="Y12" i="33"/>
  <c r="F13" i="33"/>
  <c r="G13" i="33"/>
  <c r="H13" i="33"/>
  <c r="I13" i="33"/>
  <c r="J13" i="33"/>
  <c r="K13" i="33"/>
  <c r="L13" i="33"/>
  <c r="M13" i="33"/>
  <c r="N13" i="33"/>
  <c r="O13" i="33"/>
  <c r="P13" i="33"/>
  <c r="Q13" i="33"/>
  <c r="R13" i="33"/>
  <c r="S13" i="33"/>
  <c r="T13" i="33"/>
  <c r="U13" i="33"/>
  <c r="V13" i="33"/>
  <c r="W13" i="33"/>
  <c r="X13" i="33"/>
  <c r="Y13" i="33"/>
  <c r="F14" i="33"/>
  <c r="G14" i="33"/>
  <c r="H14" i="33"/>
  <c r="I14" i="33"/>
  <c r="J14" i="33"/>
  <c r="K14" i="33"/>
  <c r="L14" i="33"/>
  <c r="M14" i="33"/>
  <c r="N14" i="33"/>
  <c r="O14" i="33"/>
  <c r="P14" i="33"/>
  <c r="Q14" i="33"/>
  <c r="R14" i="33"/>
  <c r="S14" i="33"/>
  <c r="T14" i="33"/>
  <c r="U14" i="33"/>
  <c r="V14" i="33"/>
  <c r="W14" i="33"/>
  <c r="X14" i="33"/>
  <c r="Y14" i="33"/>
  <c r="F15" i="33"/>
  <c r="G15" i="33"/>
  <c r="H15" i="33"/>
  <c r="I15" i="33"/>
  <c r="J15" i="33"/>
  <c r="K15" i="33"/>
  <c r="L15" i="33"/>
  <c r="M15" i="33"/>
  <c r="N15" i="33"/>
  <c r="O15" i="33"/>
  <c r="P15" i="33"/>
  <c r="Q15" i="33"/>
  <c r="R15" i="33"/>
  <c r="S15" i="33"/>
  <c r="T15" i="33"/>
  <c r="U15" i="33"/>
  <c r="V15" i="33"/>
  <c r="W15" i="33"/>
  <c r="X15" i="33"/>
  <c r="Y15" i="33"/>
  <c r="F16" i="33"/>
  <c r="G16" i="33"/>
  <c r="H16" i="33"/>
  <c r="I16" i="33"/>
  <c r="J16" i="33"/>
  <c r="K16" i="33"/>
  <c r="L16" i="33"/>
  <c r="M16" i="33"/>
  <c r="N16" i="33"/>
  <c r="O16" i="33"/>
  <c r="P16" i="33"/>
  <c r="Q16" i="33"/>
  <c r="R16" i="33"/>
  <c r="S16" i="33"/>
  <c r="T16" i="33"/>
  <c r="U16" i="33"/>
  <c r="V16" i="33"/>
  <c r="W16" i="33"/>
  <c r="X16" i="33"/>
  <c r="Y16" i="33"/>
  <c r="F17" i="33"/>
  <c r="G17" i="33"/>
  <c r="H17" i="33"/>
  <c r="I17" i="33"/>
  <c r="J17" i="33"/>
  <c r="K17" i="33"/>
  <c r="L17" i="33"/>
  <c r="M17" i="33"/>
  <c r="N17" i="33"/>
  <c r="O17" i="33"/>
  <c r="P17" i="33"/>
  <c r="Q17" i="33"/>
  <c r="R17" i="33"/>
  <c r="S17" i="33"/>
  <c r="T17" i="33"/>
  <c r="U17" i="33"/>
  <c r="V17" i="33"/>
  <c r="W17" i="33"/>
  <c r="X17" i="33"/>
  <c r="Y17" i="33"/>
  <c r="F18" i="33"/>
  <c r="G18" i="33"/>
  <c r="H18" i="33"/>
  <c r="I18" i="33"/>
  <c r="J18" i="33"/>
  <c r="K18" i="33"/>
  <c r="L18" i="33"/>
  <c r="M18" i="33"/>
  <c r="N18" i="33"/>
  <c r="O18" i="33"/>
  <c r="P18" i="33"/>
  <c r="Q18" i="33"/>
  <c r="R18" i="33"/>
  <c r="S18" i="33"/>
  <c r="T18" i="33"/>
  <c r="U18" i="33"/>
  <c r="V18" i="33"/>
  <c r="W18" i="33"/>
  <c r="X18" i="33"/>
  <c r="Y18" i="33"/>
  <c r="F19" i="33"/>
  <c r="G19" i="33"/>
  <c r="H19" i="33"/>
  <c r="I19" i="33"/>
  <c r="J19" i="33"/>
  <c r="K19" i="33"/>
  <c r="L19" i="33"/>
  <c r="M19" i="33"/>
  <c r="N19" i="33"/>
  <c r="O19" i="33"/>
  <c r="P19" i="33"/>
  <c r="Q19" i="33"/>
  <c r="R19" i="33"/>
  <c r="S19" i="33"/>
  <c r="T19" i="33"/>
  <c r="U19" i="33"/>
  <c r="V19" i="33"/>
  <c r="W19" i="33"/>
  <c r="X19" i="33"/>
  <c r="Y19" i="33"/>
  <c r="F20" i="33"/>
  <c r="G20" i="33"/>
  <c r="H20" i="33"/>
  <c r="I20" i="33"/>
  <c r="J20" i="33"/>
  <c r="K20" i="33"/>
  <c r="L20" i="33"/>
  <c r="M20" i="33"/>
  <c r="N20" i="33"/>
  <c r="O20" i="33"/>
  <c r="P20" i="33"/>
  <c r="Q20" i="33"/>
  <c r="R20" i="33"/>
  <c r="S20" i="33"/>
  <c r="T20" i="33"/>
  <c r="U20" i="33"/>
  <c r="V20" i="33"/>
  <c r="W20" i="33"/>
  <c r="X20" i="33"/>
  <c r="Y20" i="33"/>
  <c r="F4" i="16"/>
  <c r="G4" i="16"/>
  <c r="H4" i="16"/>
  <c r="I4" i="16"/>
  <c r="J4" i="16"/>
  <c r="K4" i="16"/>
  <c r="L4" i="16"/>
  <c r="M4" i="16"/>
  <c r="N4" i="16"/>
  <c r="O4" i="16"/>
  <c r="P4" i="16"/>
  <c r="Q4" i="16"/>
  <c r="R4" i="16"/>
  <c r="S4" i="16"/>
  <c r="T4" i="16"/>
  <c r="U4" i="16"/>
  <c r="V4" i="16"/>
  <c r="W4" i="16"/>
  <c r="X4" i="16"/>
  <c r="Y4" i="16"/>
  <c r="F5" i="16"/>
  <c r="G5" i="16"/>
  <c r="H5" i="16"/>
  <c r="I5" i="16"/>
  <c r="J5" i="16"/>
  <c r="L5" i="16"/>
  <c r="M5" i="16"/>
  <c r="N5" i="16"/>
  <c r="O5" i="16"/>
  <c r="P5" i="16"/>
  <c r="Q5" i="16"/>
  <c r="R5" i="16"/>
  <c r="S5" i="16"/>
  <c r="T5" i="16"/>
  <c r="U5" i="16"/>
  <c r="V5" i="16"/>
  <c r="W5" i="16"/>
  <c r="X5" i="16"/>
  <c r="Y5" i="16"/>
  <c r="F6" i="16"/>
  <c r="G6" i="16"/>
  <c r="H6" i="16"/>
  <c r="I6" i="16"/>
  <c r="J6" i="16"/>
  <c r="K6" i="16"/>
  <c r="L6" i="16"/>
  <c r="M6" i="16"/>
  <c r="N6" i="16"/>
  <c r="O6" i="16"/>
  <c r="P6" i="16"/>
  <c r="Q6" i="16"/>
  <c r="R6" i="16"/>
  <c r="S6" i="16"/>
  <c r="T6" i="16"/>
  <c r="U6" i="16"/>
  <c r="V6" i="16"/>
  <c r="W6" i="16"/>
  <c r="X6" i="16"/>
  <c r="Y6" i="16"/>
  <c r="F7" i="16"/>
  <c r="G7" i="16"/>
  <c r="H7" i="16"/>
  <c r="I7" i="16"/>
  <c r="J7" i="16"/>
  <c r="K7" i="16"/>
  <c r="L7" i="16"/>
  <c r="M7" i="16"/>
  <c r="N7" i="16"/>
  <c r="O7" i="16"/>
  <c r="P7" i="16"/>
  <c r="Q7" i="16"/>
  <c r="R7" i="16"/>
  <c r="S7" i="16"/>
  <c r="T7" i="16"/>
  <c r="U7" i="16"/>
  <c r="V7" i="16"/>
  <c r="W7" i="16"/>
  <c r="X7" i="16"/>
  <c r="Y7" i="16"/>
  <c r="F8" i="16"/>
  <c r="G8" i="16"/>
  <c r="H8" i="16"/>
  <c r="I8" i="16"/>
  <c r="J8" i="16"/>
  <c r="K8" i="16"/>
  <c r="L8" i="16"/>
  <c r="M8" i="16"/>
  <c r="N8" i="16"/>
  <c r="O8" i="16"/>
  <c r="P8" i="16"/>
  <c r="Q8" i="16"/>
  <c r="R8" i="16"/>
  <c r="S8" i="16"/>
  <c r="T8" i="16"/>
  <c r="U8" i="16"/>
  <c r="V8" i="16"/>
  <c r="W8" i="16"/>
  <c r="X8" i="16"/>
  <c r="Y8" i="16"/>
  <c r="F9" i="16"/>
  <c r="G9" i="16"/>
  <c r="H9" i="16"/>
  <c r="I9" i="16"/>
  <c r="J9" i="16"/>
  <c r="K9" i="16"/>
  <c r="L9" i="16"/>
  <c r="M9" i="16"/>
  <c r="N9" i="16"/>
  <c r="O9" i="16"/>
  <c r="P9" i="16"/>
  <c r="Q9" i="16"/>
  <c r="R9" i="16"/>
  <c r="S9" i="16"/>
  <c r="T9" i="16"/>
  <c r="U9" i="16"/>
  <c r="V9" i="16"/>
  <c r="W9" i="16"/>
  <c r="X9" i="16"/>
  <c r="Y9" i="16"/>
  <c r="F10" i="16"/>
  <c r="G10" i="16"/>
  <c r="H10" i="16"/>
  <c r="I10" i="16"/>
  <c r="J10" i="16"/>
  <c r="K10" i="16"/>
  <c r="L10" i="16"/>
  <c r="M10" i="16"/>
  <c r="N10" i="16"/>
  <c r="O10" i="16"/>
  <c r="P10" i="16"/>
  <c r="Q10" i="16"/>
  <c r="R10" i="16"/>
  <c r="S10" i="16"/>
  <c r="T10" i="16"/>
  <c r="U10" i="16"/>
  <c r="V10" i="16"/>
  <c r="W10" i="16"/>
  <c r="X10" i="16"/>
  <c r="Y10" i="16"/>
  <c r="F11" i="16"/>
  <c r="G11" i="16"/>
  <c r="H11" i="16"/>
  <c r="I11" i="16"/>
  <c r="J11" i="16"/>
  <c r="K11" i="16"/>
  <c r="L11" i="16"/>
  <c r="M11" i="16"/>
  <c r="N11" i="16"/>
  <c r="O11" i="16"/>
  <c r="P11" i="16"/>
  <c r="Q11" i="16"/>
  <c r="R11" i="16"/>
  <c r="S11" i="16"/>
  <c r="T11" i="16"/>
  <c r="U11" i="16"/>
  <c r="V11" i="16"/>
  <c r="W11" i="16"/>
  <c r="X11" i="16"/>
  <c r="Y11" i="16"/>
  <c r="F12" i="16"/>
  <c r="G12" i="16"/>
  <c r="H12" i="16"/>
  <c r="I12" i="16"/>
  <c r="J12" i="16"/>
  <c r="K12" i="16"/>
  <c r="L12" i="16"/>
  <c r="M12" i="16"/>
  <c r="N12" i="16"/>
  <c r="O12" i="16"/>
  <c r="P12" i="16"/>
  <c r="Q12" i="16"/>
  <c r="R12" i="16"/>
  <c r="S12" i="16"/>
  <c r="T12" i="16"/>
  <c r="U12" i="16"/>
  <c r="V12" i="16"/>
  <c r="W12" i="16"/>
  <c r="X12" i="16"/>
  <c r="Y12" i="16"/>
  <c r="F13" i="16"/>
  <c r="G13" i="16"/>
  <c r="H13" i="16"/>
  <c r="I13" i="16"/>
  <c r="J13" i="16"/>
  <c r="K13" i="16"/>
  <c r="L13" i="16"/>
  <c r="M13" i="16"/>
  <c r="N13" i="16"/>
  <c r="O13" i="16"/>
  <c r="P13" i="16"/>
  <c r="Q13" i="16"/>
  <c r="R13" i="16"/>
  <c r="S13" i="16"/>
  <c r="T13" i="16"/>
  <c r="U13" i="16"/>
  <c r="V13" i="16"/>
  <c r="W13" i="16"/>
  <c r="X13" i="16"/>
  <c r="Y13" i="16"/>
  <c r="F14" i="16"/>
  <c r="G14" i="16"/>
  <c r="H14" i="16"/>
  <c r="I14" i="16"/>
  <c r="J14" i="16"/>
  <c r="K14" i="16"/>
  <c r="L14" i="16"/>
  <c r="M14" i="16"/>
  <c r="N14" i="16"/>
  <c r="O14" i="16"/>
  <c r="P14" i="16"/>
  <c r="Q14" i="16"/>
  <c r="R14" i="16"/>
  <c r="S14" i="16"/>
  <c r="T14" i="16"/>
  <c r="U14" i="16"/>
  <c r="V14" i="16"/>
  <c r="W14" i="16"/>
  <c r="X14" i="16"/>
  <c r="Y14" i="16"/>
  <c r="F15" i="16"/>
  <c r="G15" i="16"/>
  <c r="H15" i="16"/>
  <c r="I15" i="16"/>
  <c r="J15" i="16"/>
  <c r="K15" i="16"/>
  <c r="L15" i="16"/>
  <c r="M15" i="16"/>
  <c r="N15" i="16"/>
  <c r="O15" i="16"/>
  <c r="P15" i="16"/>
  <c r="Q15" i="16"/>
  <c r="R15" i="16"/>
  <c r="S15" i="16"/>
  <c r="T15" i="16"/>
  <c r="U15" i="16"/>
  <c r="V15" i="16"/>
  <c r="W15" i="16"/>
  <c r="X15" i="16"/>
  <c r="Y15" i="16"/>
  <c r="F16" i="16"/>
  <c r="G16" i="16"/>
  <c r="H16" i="16"/>
  <c r="I16" i="16"/>
  <c r="J16" i="16"/>
  <c r="K16" i="16"/>
  <c r="L16" i="16"/>
  <c r="M16" i="16"/>
  <c r="N16" i="16"/>
  <c r="O16" i="16"/>
  <c r="P16" i="16"/>
  <c r="Q16" i="16"/>
  <c r="R16" i="16"/>
  <c r="S16" i="16"/>
  <c r="T16" i="16"/>
  <c r="U16" i="16"/>
  <c r="V16" i="16"/>
  <c r="W16" i="16"/>
  <c r="X16" i="16"/>
  <c r="Y16" i="16"/>
  <c r="F17" i="16"/>
  <c r="G17" i="16"/>
  <c r="H17" i="16"/>
  <c r="I17" i="16"/>
  <c r="J17" i="16"/>
  <c r="K17" i="16"/>
  <c r="L17" i="16"/>
  <c r="M17" i="16"/>
  <c r="N17" i="16"/>
  <c r="O17" i="16"/>
  <c r="P17" i="16"/>
  <c r="Q17" i="16"/>
  <c r="R17" i="16"/>
  <c r="S17" i="16"/>
  <c r="T17" i="16"/>
  <c r="U17" i="16"/>
  <c r="V17" i="16"/>
  <c r="W17" i="16"/>
  <c r="X17" i="16"/>
  <c r="Y17" i="16"/>
  <c r="F18" i="16"/>
  <c r="G18" i="16"/>
  <c r="H18" i="16"/>
  <c r="I18" i="16"/>
  <c r="J18" i="16"/>
  <c r="K18" i="16"/>
  <c r="L18" i="16"/>
  <c r="M18" i="16"/>
  <c r="N18" i="16"/>
  <c r="O18" i="16"/>
  <c r="P18" i="16"/>
  <c r="Q18" i="16"/>
  <c r="R18" i="16"/>
  <c r="S18" i="16"/>
  <c r="T18" i="16"/>
  <c r="U18" i="16"/>
  <c r="V18" i="16"/>
  <c r="W18" i="16"/>
  <c r="X18" i="16"/>
  <c r="Y18" i="16"/>
  <c r="F19" i="16"/>
  <c r="G19" i="16"/>
  <c r="H19" i="16"/>
  <c r="I19" i="16"/>
  <c r="J19" i="16"/>
  <c r="K19" i="16"/>
  <c r="L19" i="16"/>
  <c r="M19" i="16"/>
  <c r="N19" i="16"/>
  <c r="O19" i="16"/>
  <c r="P19" i="16"/>
  <c r="Q19" i="16"/>
  <c r="R19" i="16"/>
  <c r="S19" i="16"/>
  <c r="T19" i="16"/>
  <c r="U19" i="16"/>
  <c r="V19" i="16"/>
  <c r="W19" i="16"/>
  <c r="X19" i="16"/>
  <c r="Y19" i="16"/>
  <c r="F20" i="16"/>
  <c r="G20" i="16"/>
  <c r="H20" i="16"/>
  <c r="I20" i="16"/>
  <c r="J20" i="16"/>
  <c r="K20" i="16"/>
  <c r="L20" i="16"/>
  <c r="M20" i="16"/>
  <c r="N20" i="16"/>
  <c r="O20" i="16"/>
  <c r="P20" i="16"/>
  <c r="Q20" i="16"/>
  <c r="R20" i="16"/>
  <c r="S20" i="16"/>
  <c r="T20" i="16"/>
  <c r="U20" i="16"/>
  <c r="V20" i="16"/>
  <c r="W20" i="16"/>
  <c r="X20" i="16"/>
  <c r="Y20" i="16"/>
  <c r="F4" i="14"/>
  <c r="G4" i="14"/>
  <c r="H4" i="14"/>
  <c r="I4" i="14"/>
  <c r="L4" i="14"/>
  <c r="M4" i="14"/>
  <c r="N4" i="14"/>
  <c r="O4" i="14"/>
  <c r="P4" i="14"/>
  <c r="Q4" i="14"/>
  <c r="R4" i="14"/>
  <c r="S4" i="14"/>
  <c r="T4" i="14"/>
  <c r="U4" i="14"/>
  <c r="V4" i="14"/>
  <c r="W4" i="14"/>
  <c r="X4" i="14"/>
  <c r="Y4" i="14"/>
  <c r="F5" i="14"/>
  <c r="G5" i="14"/>
  <c r="H5" i="14"/>
  <c r="I5" i="14"/>
  <c r="J5" i="14"/>
  <c r="K5" i="14"/>
  <c r="L5" i="14"/>
  <c r="M5" i="14"/>
  <c r="N5" i="14"/>
  <c r="O5" i="14"/>
  <c r="P5" i="14"/>
  <c r="Q5" i="14"/>
  <c r="R5" i="14"/>
  <c r="S5" i="14"/>
  <c r="T5" i="14"/>
  <c r="U5" i="14"/>
  <c r="V5" i="14"/>
  <c r="W5" i="14"/>
  <c r="X5" i="14"/>
  <c r="Y5" i="14"/>
  <c r="F6" i="14"/>
  <c r="G6" i="14"/>
  <c r="H6" i="14"/>
  <c r="I6" i="14"/>
  <c r="J6" i="14"/>
  <c r="K6" i="14"/>
  <c r="L6" i="14"/>
  <c r="M6" i="14"/>
  <c r="N6" i="14"/>
  <c r="O6" i="14"/>
  <c r="P6" i="14"/>
  <c r="Q6" i="14"/>
  <c r="R6" i="14"/>
  <c r="S6" i="14"/>
  <c r="T6" i="14"/>
  <c r="U6" i="14"/>
  <c r="V6" i="14"/>
  <c r="W6" i="14"/>
  <c r="X6" i="14"/>
  <c r="Y6" i="14"/>
  <c r="F7" i="14"/>
  <c r="G7" i="14"/>
  <c r="H7" i="14"/>
  <c r="I7" i="14"/>
  <c r="J7" i="14"/>
  <c r="K7" i="14"/>
  <c r="L7" i="14"/>
  <c r="M7" i="14"/>
  <c r="N7" i="14"/>
  <c r="O7" i="14"/>
  <c r="P7" i="14"/>
  <c r="Q7" i="14"/>
  <c r="R7" i="14"/>
  <c r="S7" i="14"/>
  <c r="T7" i="14"/>
  <c r="U7" i="14"/>
  <c r="V7" i="14"/>
  <c r="W7" i="14"/>
  <c r="X7" i="14"/>
  <c r="Y7" i="14"/>
  <c r="F8" i="14"/>
  <c r="G8" i="14"/>
  <c r="H8" i="14"/>
  <c r="I8" i="14"/>
  <c r="J8" i="14"/>
  <c r="K8" i="14"/>
  <c r="L8" i="14"/>
  <c r="M8" i="14"/>
  <c r="N8" i="14"/>
  <c r="O8" i="14"/>
  <c r="P8" i="14"/>
  <c r="Q8" i="14"/>
  <c r="R8" i="14"/>
  <c r="S8" i="14"/>
  <c r="T8" i="14"/>
  <c r="U8" i="14"/>
  <c r="V8" i="14"/>
  <c r="W8" i="14"/>
  <c r="X8" i="14"/>
  <c r="Y8" i="14"/>
  <c r="F9" i="14"/>
  <c r="G9" i="14"/>
  <c r="H9" i="14"/>
  <c r="I9" i="14"/>
  <c r="J9" i="14"/>
  <c r="K9" i="14"/>
  <c r="L9" i="14"/>
  <c r="M9" i="14"/>
  <c r="N9" i="14"/>
  <c r="O9" i="14"/>
  <c r="P9" i="14"/>
  <c r="Q9" i="14"/>
  <c r="R9" i="14"/>
  <c r="S9" i="14"/>
  <c r="T9" i="14"/>
  <c r="U9" i="14"/>
  <c r="V9" i="14"/>
  <c r="W9" i="14"/>
  <c r="X9" i="14"/>
  <c r="Y9" i="14"/>
  <c r="F10" i="14"/>
  <c r="G10" i="14"/>
  <c r="H10" i="14"/>
  <c r="I10" i="14"/>
  <c r="J10" i="14"/>
  <c r="K10" i="14"/>
  <c r="L10" i="14"/>
  <c r="M10" i="14"/>
  <c r="N10" i="14"/>
  <c r="O10" i="14"/>
  <c r="P10" i="14"/>
  <c r="Q10" i="14"/>
  <c r="R10" i="14"/>
  <c r="S10" i="14"/>
  <c r="T10" i="14"/>
  <c r="U10" i="14"/>
  <c r="V10" i="14"/>
  <c r="W10" i="14"/>
  <c r="X10" i="14"/>
  <c r="Y10" i="14"/>
  <c r="D51" i="10"/>
  <c r="F11" i="14"/>
  <c r="G11" i="14"/>
  <c r="F51" i="10"/>
  <c r="H11" i="14"/>
  <c r="I11" i="14"/>
  <c r="J11" i="14"/>
  <c r="K11" i="14"/>
  <c r="L11" i="14"/>
  <c r="M11" i="14"/>
  <c r="N11" i="14"/>
  <c r="O11" i="14"/>
  <c r="P11" i="14"/>
  <c r="Q11" i="14"/>
  <c r="R11" i="14"/>
  <c r="S11" i="14"/>
  <c r="T11" i="14"/>
  <c r="U11" i="14"/>
  <c r="V11" i="14"/>
  <c r="W11" i="14"/>
  <c r="X11" i="14"/>
  <c r="Y11" i="14"/>
  <c r="F12" i="14"/>
  <c r="G12" i="14"/>
  <c r="H12" i="14"/>
  <c r="I12" i="14"/>
  <c r="J12" i="14"/>
  <c r="K12" i="14"/>
  <c r="L12" i="14"/>
  <c r="M12" i="14"/>
  <c r="N12" i="14"/>
  <c r="O12" i="14"/>
  <c r="P12" i="14"/>
  <c r="Q12" i="14"/>
  <c r="R12" i="14"/>
  <c r="S12" i="14"/>
  <c r="T12" i="14"/>
  <c r="U12" i="14"/>
  <c r="V12" i="14"/>
  <c r="W12" i="14"/>
  <c r="X12" i="14"/>
  <c r="Y12" i="14"/>
  <c r="F13" i="14"/>
  <c r="G13" i="14"/>
  <c r="H13" i="14"/>
  <c r="I13" i="14"/>
  <c r="J13" i="14"/>
  <c r="K13" i="14"/>
  <c r="L13" i="14"/>
  <c r="M13" i="14"/>
  <c r="N13" i="14"/>
  <c r="O13" i="14"/>
  <c r="P13" i="14"/>
  <c r="Q13" i="14"/>
  <c r="R13" i="14"/>
  <c r="S13" i="14"/>
  <c r="T13" i="14"/>
  <c r="U13" i="14"/>
  <c r="V13" i="14"/>
  <c r="W13" i="14"/>
  <c r="X13" i="14"/>
  <c r="Y13" i="14"/>
  <c r="F14" i="14"/>
  <c r="G14" i="14"/>
  <c r="H14" i="14"/>
  <c r="I14" i="14"/>
  <c r="J14" i="14"/>
  <c r="K14" i="14"/>
  <c r="L14" i="14"/>
  <c r="M14" i="14"/>
  <c r="N14" i="14"/>
  <c r="O14" i="14"/>
  <c r="P14" i="14"/>
  <c r="Q14" i="14"/>
  <c r="R14" i="14"/>
  <c r="S14" i="14"/>
  <c r="T14" i="14"/>
  <c r="U14" i="14"/>
  <c r="V14" i="14"/>
  <c r="W14" i="14"/>
  <c r="X14" i="14"/>
  <c r="Y14" i="14"/>
  <c r="F15" i="14"/>
  <c r="G15" i="14"/>
  <c r="H15" i="14"/>
  <c r="I15" i="14"/>
  <c r="J15" i="14"/>
  <c r="K15" i="14"/>
  <c r="L15" i="14"/>
  <c r="M15" i="14"/>
  <c r="N15" i="14"/>
  <c r="O15" i="14"/>
  <c r="P15" i="14"/>
  <c r="Q15" i="14"/>
  <c r="R15" i="14"/>
  <c r="S15" i="14"/>
  <c r="T15" i="14"/>
  <c r="U15" i="14"/>
  <c r="V15" i="14"/>
  <c r="W15" i="14"/>
  <c r="X15" i="14"/>
  <c r="Y15" i="14"/>
  <c r="F16" i="14"/>
  <c r="G16" i="14"/>
  <c r="H16" i="14"/>
  <c r="I16" i="14"/>
  <c r="J16" i="14"/>
  <c r="K16" i="14"/>
  <c r="L16" i="14"/>
  <c r="M16" i="14"/>
  <c r="N16" i="14"/>
  <c r="O16" i="14"/>
  <c r="P16" i="14"/>
  <c r="Q16" i="14"/>
  <c r="R16" i="14"/>
  <c r="S16" i="14"/>
  <c r="T16" i="14"/>
  <c r="U16" i="14"/>
  <c r="V16" i="14"/>
  <c r="W16" i="14"/>
  <c r="X16" i="14"/>
  <c r="Y16" i="14"/>
  <c r="F17" i="14"/>
  <c r="G17" i="14"/>
  <c r="H17" i="14"/>
  <c r="I17" i="14"/>
  <c r="J17" i="14"/>
  <c r="K17" i="14"/>
  <c r="L17" i="14"/>
  <c r="M17" i="14"/>
  <c r="N17" i="14"/>
  <c r="O17" i="14"/>
  <c r="P17" i="14"/>
  <c r="Q17" i="14"/>
  <c r="R17" i="14"/>
  <c r="S17" i="14"/>
  <c r="T17" i="14"/>
  <c r="U17" i="14"/>
  <c r="V17" i="14"/>
  <c r="W17" i="14"/>
  <c r="X17" i="14"/>
  <c r="Y17" i="14"/>
  <c r="F18" i="14"/>
  <c r="G18" i="14"/>
  <c r="H18" i="14"/>
  <c r="I18" i="14"/>
  <c r="J18" i="14"/>
  <c r="K18" i="14"/>
  <c r="L18" i="14"/>
  <c r="M18" i="14"/>
  <c r="N18" i="14"/>
  <c r="O18" i="14"/>
  <c r="P18" i="14"/>
  <c r="Q18" i="14"/>
  <c r="R18" i="14"/>
  <c r="S18" i="14"/>
  <c r="T18" i="14"/>
  <c r="U18" i="14"/>
  <c r="V18" i="14"/>
  <c r="W18" i="14"/>
  <c r="X18" i="14"/>
  <c r="Y18" i="14"/>
  <c r="F19" i="14"/>
  <c r="G19" i="14"/>
  <c r="H19" i="14"/>
  <c r="I19" i="14"/>
  <c r="J19" i="14"/>
  <c r="K19" i="14"/>
  <c r="L19" i="14"/>
  <c r="M19" i="14"/>
  <c r="N19" i="14"/>
  <c r="O19" i="14"/>
  <c r="P19" i="14"/>
  <c r="Q19" i="14"/>
  <c r="R19" i="14"/>
  <c r="S19" i="14"/>
  <c r="T19" i="14"/>
  <c r="U19" i="14"/>
  <c r="V19" i="14"/>
  <c r="W19" i="14"/>
  <c r="X19" i="14"/>
  <c r="Y19" i="14"/>
  <c r="F20" i="14"/>
  <c r="G20" i="14"/>
  <c r="H20" i="14"/>
  <c r="I20" i="14"/>
  <c r="J20" i="14"/>
  <c r="K20" i="14"/>
  <c r="L20" i="14"/>
  <c r="M20" i="14"/>
  <c r="N20" i="14"/>
  <c r="O20" i="14"/>
  <c r="P20" i="14"/>
  <c r="Q20" i="14"/>
  <c r="R20" i="14"/>
  <c r="S20" i="14"/>
  <c r="T20" i="14"/>
  <c r="U20" i="14"/>
  <c r="V20" i="14"/>
  <c r="W20" i="14"/>
  <c r="X20" i="14"/>
  <c r="Y20" i="14"/>
  <c r="C38" i="10"/>
  <c r="E31" i="10"/>
  <c r="D29" i="33"/>
  <c r="Z29" i="9"/>
  <c r="D28" i="33"/>
  <c r="D30" i="33"/>
  <c r="Z30" i="9"/>
  <c r="Z28" i="9"/>
  <c r="D30" i="15"/>
  <c r="X30" i="9"/>
  <c r="D29" i="15"/>
  <c r="X29" i="9"/>
  <c r="D28" i="15"/>
  <c r="X28" i="9"/>
  <c r="K4" i="14"/>
  <c r="K5" i="16"/>
  <c r="K11" i="37"/>
  <c r="K5" i="35"/>
  <c r="K17" i="15"/>
  <c r="C55" i="10"/>
  <c r="C45" i="10"/>
  <c r="C53" i="10"/>
  <c r="C34" i="10"/>
  <c r="C36" i="10"/>
  <c r="C50" i="10"/>
  <c r="C12" i="10"/>
  <c r="C49" i="10"/>
  <c r="U15" i="34"/>
  <c r="Y67" i="2"/>
  <c r="P4" i="34"/>
  <c r="P22" i="34" s="1"/>
  <c r="O15" i="34"/>
  <c r="N16" i="34"/>
  <c r="M26" i="35"/>
  <c r="N26" i="35"/>
  <c r="O26" i="35"/>
  <c r="P26" i="35"/>
  <c r="Q26" i="35"/>
  <c r="R26" i="35"/>
  <c r="S26" i="35"/>
  <c r="T26" i="35"/>
  <c r="U26" i="35"/>
  <c r="V26" i="35"/>
  <c r="W26" i="35"/>
  <c r="X26" i="35"/>
  <c r="Y26" i="35"/>
  <c r="Z26" i="35"/>
  <c r="M24" i="21"/>
  <c r="N24" i="21"/>
  <c r="O24" i="21"/>
  <c r="P24" i="21"/>
  <c r="Q24" i="21"/>
  <c r="R24" i="21"/>
  <c r="S24" i="21"/>
  <c r="U24" i="21"/>
  <c r="V24" i="21"/>
  <c r="W24" i="21"/>
  <c r="X24" i="21"/>
  <c r="Y24" i="21"/>
  <c r="Z24" i="21"/>
  <c r="K5" i="34"/>
  <c r="Z26" i="33"/>
  <c r="Y26" i="33"/>
  <c r="X26" i="33"/>
  <c r="W26" i="33"/>
  <c r="V26" i="33"/>
  <c r="U26" i="33"/>
  <c r="T26" i="33"/>
  <c r="S26" i="33"/>
  <c r="R26" i="33"/>
  <c r="Q26" i="33"/>
  <c r="P26" i="33"/>
  <c r="O26" i="33"/>
  <c r="N26" i="33"/>
  <c r="M26" i="33"/>
  <c r="L26" i="33"/>
  <c r="K26" i="33"/>
  <c r="J26" i="33"/>
  <c r="I26" i="33"/>
  <c r="H26" i="33"/>
  <c r="G26" i="33"/>
  <c r="F26" i="33"/>
  <c r="E26" i="33"/>
  <c r="Z25" i="33"/>
  <c r="Y25" i="33"/>
  <c r="X25" i="33"/>
  <c r="W25" i="33"/>
  <c r="V25" i="33"/>
  <c r="U25" i="33"/>
  <c r="T25" i="33"/>
  <c r="S25" i="33"/>
  <c r="R25" i="33"/>
  <c r="Q25" i="33"/>
  <c r="P25" i="33"/>
  <c r="O25" i="33"/>
  <c r="N25" i="33"/>
  <c r="M25" i="33"/>
  <c r="L25" i="33"/>
  <c r="K25" i="33"/>
  <c r="J25" i="33"/>
  <c r="I25" i="33"/>
  <c r="H25" i="33"/>
  <c r="G25" i="33"/>
  <c r="F25" i="33"/>
  <c r="E25" i="33"/>
  <c r="Z24" i="33"/>
  <c r="Y24" i="33"/>
  <c r="X24" i="33"/>
  <c r="W24" i="33"/>
  <c r="V24" i="33"/>
  <c r="U24" i="33"/>
  <c r="T24" i="33"/>
  <c r="S24" i="33"/>
  <c r="R24" i="33"/>
  <c r="Q24" i="33"/>
  <c r="P24" i="33"/>
  <c r="O24" i="33"/>
  <c r="N24" i="33"/>
  <c r="M24" i="33"/>
  <c r="L24" i="33"/>
  <c r="K24" i="33"/>
  <c r="J24" i="33"/>
  <c r="I24" i="33"/>
  <c r="H24" i="33"/>
  <c r="G24" i="33"/>
  <c r="E24" i="33"/>
  <c r="F24" i="33"/>
  <c r="E18" i="36"/>
  <c r="AB3" i="2"/>
  <c r="AB4" i="2"/>
  <c r="AB5" i="2"/>
  <c r="AB6" i="2"/>
  <c r="AB7" i="2"/>
  <c r="AB8" i="2"/>
  <c r="AB9" i="2"/>
  <c r="AB10" i="2"/>
  <c r="AB11" i="2"/>
  <c r="AB12" i="2"/>
  <c r="AB13" i="2"/>
  <c r="AB14" i="2"/>
  <c r="E20" i="33"/>
  <c r="E19" i="33"/>
  <c r="E18" i="33"/>
  <c r="E17" i="33"/>
  <c r="E16" i="33"/>
  <c r="E15" i="33"/>
  <c r="E14" i="33"/>
  <c r="E13" i="33"/>
  <c r="E12" i="33"/>
  <c r="E10" i="33"/>
  <c r="E9" i="33"/>
  <c r="E8" i="33"/>
  <c r="E7" i="33"/>
  <c r="E6" i="33"/>
  <c r="E5" i="33"/>
  <c r="Z4" i="33"/>
  <c r="E4" i="33"/>
  <c r="E20" i="36"/>
  <c r="E15" i="36"/>
  <c r="E14" i="36"/>
  <c r="E13" i="36"/>
  <c r="E12" i="36"/>
  <c r="E11" i="36"/>
  <c r="E10" i="36"/>
  <c r="E9" i="36"/>
  <c r="E8" i="36"/>
  <c r="E7" i="36"/>
  <c r="E6" i="36"/>
  <c r="E5" i="36"/>
  <c r="Z4" i="36"/>
  <c r="E4" i="36"/>
  <c r="Z20" i="34"/>
  <c r="Y20" i="34"/>
  <c r="X20" i="34"/>
  <c r="W20" i="34"/>
  <c r="V20" i="34"/>
  <c r="U20" i="34"/>
  <c r="T20" i="34"/>
  <c r="S20" i="34"/>
  <c r="R20" i="34"/>
  <c r="Q20" i="34"/>
  <c r="P20" i="34"/>
  <c r="N20" i="34"/>
  <c r="M20" i="34"/>
  <c r="L20" i="34"/>
  <c r="K20" i="34"/>
  <c r="J20" i="34"/>
  <c r="I20" i="34"/>
  <c r="H20" i="34"/>
  <c r="G20" i="34"/>
  <c r="F20" i="34"/>
  <c r="E20" i="34"/>
  <c r="AA20" i="34" s="1"/>
  <c r="Z19" i="34"/>
  <c r="Y19" i="34"/>
  <c r="X19" i="34"/>
  <c r="W19" i="34"/>
  <c r="V19" i="34"/>
  <c r="U19" i="34"/>
  <c r="T19" i="34"/>
  <c r="S19" i="34"/>
  <c r="R19" i="34"/>
  <c r="Q19" i="34"/>
  <c r="P19" i="34"/>
  <c r="O19" i="34"/>
  <c r="N19" i="34"/>
  <c r="M19" i="34"/>
  <c r="L19" i="34"/>
  <c r="K19" i="34"/>
  <c r="J19" i="34"/>
  <c r="H19" i="34"/>
  <c r="F19" i="34"/>
  <c r="E19" i="34"/>
  <c r="AA19" i="34" s="1"/>
  <c r="Z18" i="34"/>
  <c r="W18" i="34"/>
  <c r="V18" i="34"/>
  <c r="U18" i="34"/>
  <c r="T18" i="34"/>
  <c r="S18" i="34"/>
  <c r="R18" i="34"/>
  <c r="P18" i="34"/>
  <c r="O18" i="34"/>
  <c r="N18" i="34"/>
  <c r="M18" i="34"/>
  <c r="L18" i="34"/>
  <c r="J18" i="34"/>
  <c r="H18" i="34"/>
  <c r="G18" i="34"/>
  <c r="F18" i="34"/>
  <c r="E18" i="34"/>
  <c r="AA18" i="34" s="1"/>
  <c r="Z17" i="34"/>
  <c r="Y17" i="34"/>
  <c r="X17" i="34"/>
  <c r="W17" i="34"/>
  <c r="V17" i="34"/>
  <c r="U17" i="34"/>
  <c r="T17" i="34"/>
  <c r="S17" i="34"/>
  <c r="R17" i="34"/>
  <c r="Q17" i="34"/>
  <c r="P17" i="34"/>
  <c r="O17" i="34"/>
  <c r="N17" i="34"/>
  <c r="M17" i="34"/>
  <c r="L17" i="34"/>
  <c r="K17" i="34"/>
  <c r="J17" i="34"/>
  <c r="I17" i="34"/>
  <c r="H17" i="34"/>
  <c r="G17" i="34"/>
  <c r="F17" i="34"/>
  <c r="E17" i="34"/>
  <c r="AA17" i="34" s="1"/>
  <c r="Z16" i="34"/>
  <c r="Y16" i="34"/>
  <c r="X16" i="34"/>
  <c r="W16" i="34"/>
  <c r="V16" i="34"/>
  <c r="U16" i="34"/>
  <c r="T16" i="34"/>
  <c r="S16" i="34"/>
  <c r="R16" i="34"/>
  <c r="Q16" i="34"/>
  <c r="P16" i="34"/>
  <c r="O16" i="34"/>
  <c r="M16" i="34"/>
  <c r="L16" i="34"/>
  <c r="K16" i="34"/>
  <c r="I16" i="34"/>
  <c r="H16" i="34"/>
  <c r="G16" i="34"/>
  <c r="F16" i="34"/>
  <c r="E16" i="34"/>
  <c r="AA16" i="34" s="1"/>
  <c r="Z15" i="34"/>
  <c r="Y15" i="34"/>
  <c r="X15" i="34"/>
  <c r="W15" i="34"/>
  <c r="T15" i="34"/>
  <c r="S15" i="34"/>
  <c r="R15" i="34"/>
  <c r="Q15" i="34"/>
  <c r="P15" i="34"/>
  <c r="N15" i="34"/>
  <c r="M15" i="34"/>
  <c r="L15" i="34"/>
  <c r="K15" i="34"/>
  <c r="J15" i="34"/>
  <c r="I15" i="34"/>
  <c r="H15" i="34"/>
  <c r="G15" i="34"/>
  <c r="F15" i="34"/>
  <c r="E15" i="34"/>
  <c r="AA15" i="34" s="1"/>
  <c r="Z14" i="34"/>
  <c r="Y14" i="34"/>
  <c r="X14" i="34"/>
  <c r="W14" i="34"/>
  <c r="U14" i="34"/>
  <c r="T14" i="34"/>
  <c r="S14" i="34"/>
  <c r="Q14" i="34"/>
  <c r="P14" i="34"/>
  <c r="O14" i="34"/>
  <c r="N14" i="34"/>
  <c r="M14" i="34"/>
  <c r="L14" i="34"/>
  <c r="K14" i="34"/>
  <c r="J14" i="34"/>
  <c r="I14" i="34"/>
  <c r="H14" i="34"/>
  <c r="G14" i="34"/>
  <c r="F14" i="34"/>
  <c r="E14" i="34"/>
  <c r="AA14" i="34" s="1"/>
  <c r="Z13" i="34"/>
  <c r="Y13" i="34"/>
  <c r="X13" i="34"/>
  <c r="W13" i="34"/>
  <c r="V13" i="34"/>
  <c r="U13" i="34"/>
  <c r="T13" i="34"/>
  <c r="S13" i="34"/>
  <c r="R13" i="34"/>
  <c r="Q13" i="34"/>
  <c r="P13" i="34"/>
  <c r="O13" i="34"/>
  <c r="N13" i="34"/>
  <c r="M13" i="34"/>
  <c r="L13" i="34"/>
  <c r="K13" i="34"/>
  <c r="J13" i="34"/>
  <c r="I13" i="34"/>
  <c r="H13" i="34"/>
  <c r="G13" i="34"/>
  <c r="F13" i="34"/>
  <c r="E13" i="34"/>
  <c r="AA13" i="34" s="1"/>
  <c r="Z12" i="34"/>
  <c r="Y12" i="34"/>
  <c r="X12" i="34"/>
  <c r="W12" i="34"/>
  <c r="V12" i="34"/>
  <c r="U12" i="34"/>
  <c r="T12" i="34"/>
  <c r="S12" i="34"/>
  <c r="R12" i="34"/>
  <c r="Q12" i="34"/>
  <c r="P12" i="34"/>
  <c r="O12" i="34"/>
  <c r="N12" i="34"/>
  <c r="M12" i="34"/>
  <c r="L12" i="34"/>
  <c r="K12" i="34"/>
  <c r="J12" i="34"/>
  <c r="I12" i="34"/>
  <c r="H12" i="34"/>
  <c r="G12" i="34"/>
  <c r="F12" i="34"/>
  <c r="E12" i="34"/>
  <c r="AA12" i="34" s="1"/>
  <c r="Z11" i="34"/>
  <c r="Y11" i="34"/>
  <c r="X11" i="34"/>
  <c r="W11" i="34"/>
  <c r="U11" i="34"/>
  <c r="S11" i="34"/>
  <c r="R11" i="34"/>
  <c r="Q11" i="34"/>
  <c r="P11" i="34"/>
  <c r="O11" i="34"/>
  <c r="N11" i="34"/>
  <c r="K11" i="34"/>
  <c r="J11" i="34"/>
  <c r="I11" i="34"/>
  <c r="G11" i="34"/>
  <c r="Z10" i="34"/>
  <c r="Y10" i="34"/>
  <c r="X10" i="34"/>
  <c r="W10" i="34"/>
  <c r="V10" i="34"/>
  <c r="U10" i="34"/>
  <c r="T10" i="34"/>
  <c r="S10" i="34"/>
  <c r="R10" i="34"/>
  <c r="Q10" i="34"/>
  <c r="P10" i="34"/>
  <c r="O10" i="34"/>
  <c r="N10" i="34"/>
  <c r="M10" i="34"/>
  <c r="L10" i="34"/>
  <c r="K10" i="34"/>
  <c r="J10" i="34"/>
  <c r="I10" i="34"/>
  <c r="H10" i="34"/>
  <c r="G10" i="34"/>
  <c r="F10" i="34"/>
  <c r="E10" i="34"/>
  <c r="AA10" i="34" s="1"/>
  <c r="G9" i="34"/>
  <c r="F9" i="34"/>
  <c r="E9" i="34"/>
  <c r="AA9" i="34" s="1"/>
  <c r="Z8" i="34"/>
  <c r="Y8" i="34"/>
  <c r="X8" i="34"/>
  <c r="W8" i="34"/>
  <c r="V8" i="34"/>
  <c r="U8" i="34"/>
  <c r="T8" i="34"/>
  <c r="S8" i="34"/>
  <c r="R8" i="34"/>
  <c r="Q8" i="34"/>
  <c r="P8" i="34"/>
  <c r="O8" i="34"/>
  <c r="N8" i="34"/>
  <c r="M8" i="34"/>
  <c r="L8" i="34"/>
  <c r="K8" i="34"/>
  <c r="J8" i="34"/>
  <c r="I8" i="34"/>
  <c r="H8" i="34"/>
  <c r="G8" i="34"/>
  <c r="F8" i="34"/>
  <c r="E8" i="34"/>
  <c r="AA8" i="34" s="1"/>
  <c r="Z7" i="34"/>
  <c r="Y7" i="34"/>
  <c r="X7" i="34"/>
  <c r="W7" i="34"/>
  <c r="V7" i="34"/>
  <c r="U7" i="34"/>
  <c r="T7" i="34"/>
  <c r="S7" i="34"/>
  <c r="R7" i="34"/>
  <c r="Q7" i="34"/>
  <c r="P7" i="34"/>
  <c r="O7" i="34"/>
  <c r="N7" i="34"/>
  <c r="M7" i="34"/>
  <c r="L7" i="34"/>
  <c r="K7" i="34"/>
  <c r="J7" i="34"/>
  <c r="I7" i="34"/>
  <c r="H7" i="34"/>
  <c r="G7" i="34"/>
  <c r="F7" i="34"/>
  <c r="E7" i="34"/>
  <c r="AA7" i="34" s="1"/>
  <c r="Z6" i="34"/>
  <c r="Y6" i="34"/>
  <c r="X6" i="34"/>
  <c r="W6" i="34"/>
  <c r="V6" i="34"/>
  <c r="S6" i="34"/>
  <c r="R6" i="34"/>
  <c r="Q6" i="34"/>
  <c r="P6" i="34"/>
  <c r="N6" i="34"/>
  <c r="K6" i="34"/>
  <c r="J6" i="34"/>
  <c r="I6" i="34"/>
  <c r="H6" i="34"/>
  <c r="F6" i="34"/>
  <c r="E6" i="34"/>
  <c r="AA6" i="34" s="1"/>
  <c r="Z5" i="34"/>
  <c r="Y5" i="34"/>
  <c r="X5" i="34"/>
  <c r="W5" i="34"/>
  <c r="V5" i="34"/>
  <c r="U5" i="34"/>
  <c r="T5" i="34"/>
  <c r="S5" i="34"/>
  <c r="R5" i="34"/>
  <c r="Q5" i="34"/>
  <c r="P5" i="34"/>
  <c r="O5" i="34"/>
  <c r="N5" i="34"/>
  <c r="M5" i="34"/>
  <c r="L5" i="34"/>
  <c r="J5" i="34"/>
  <c r="I5" i="34"/>
  <c r="H5" i="34"/>
  <c r="G5" i="34"/>
  <c r="F5" i="34"/>
  <c r="E5" i="34"/>
  <c r="AA5" i="34" s="1"/>
  <c r="Z4" i="34"/>
  <c r="Z22" i="34" s="1"/>
  <c r="Y4" i="34"/>
  <c r="Y22" i="34" s="1"/>
  <c r="X4" i="34"/>
  <c r="X22" i="34" s="1"/>
  <c r="W4" i="34"/>
  <c r="W22" i="34" s="1"/>
  <c r="V4" i="34"/>
  <c r="V22" i="34" s="1"/>
  <c r="U4" i="34"/>
  <c r="U22" i="34" s="1"/>
  <c r="T4" i="34"/>
  <c r="T22" i="34" s="1"/>
  <c r="R4" i="34"/>
  <c r="R22" i="34" s="1"/>
  <c r="Q4" i="34"/>
  <c r="Q22" i="34" s="1"/>
  <c r="O4" i="34"/>
  <c r="O22" i="34" s="1"/>
  <c r="N4" i="34"/>
  <c r="N22" i="34" s="1"/>
  <c r="M4" i="34"/>
  <c r="M22" i="34" s="1"/>
  <c r="L4" i="34"/>
  <c r="L22" i="34" s="1"/>
  <c r="K4" i="34"/>
  <c r="K22" i="34" s="1"/>
  <c r="J4" i="34"/>
  <c r="J22" i="34" s="1"/>
  <c r="I4" i="34"/>
  <c r="I22" i="34" s="1"/>
  <c r="H4" i="34"/>
  <c r="H22" i="34" s="1"/>
  <c r="G4" i="34"/>
  <c r="G22" i="34" s="1"/>
  <c r="F4" i="34"/>
  <c r="F22" i="34" s="1"/>
  <c r="E4" i="34"/>
  <c r="E16" i="36"/>
  <c r="E19" i="36"/>
  <c r="Y2" i="9"/>
  <c r="Y3" i="9"/>
  <c r="Y4" i="9"/>
  <c r="Y5" i="9"/>
  <c r="Y6" i="9"/>
  <c r="Y7" i="9"/>
  <c r="Y8" i="9"/>
  <c r="Y9" i="9"/>
  <c r="Y10" i="9"/>
  <c r="Y11" i="9"/>
  <c r="Y12" i="9"/>
  <c r="Y13" i="9"/>
  <c r="Y14" i="9"/>
  <c r="Y15" i="9"/>
  <c r="Y16" i="9"/>
  <c r="Y17" i="9"/>
  <c r="Y18" i="9"/>
  <c r="Y19" i="9"/>
  <c r="Y20" i="9"/>
  <c r="Y21" i="9"/>
  <c r="Y22" i="9"/>
  <c r="Y24" i="9"/>
  <c r="Y25" i="9"/>
  <c r="Y26" i="9"/>
  <c r="Y1" i="9"/>
  <c r="W2" i="9"/>
  <c r="W3" i="9"/>
  <c r="W4" i="9"/>
  <c r="W5" i="9"/>
  <c r="W6" i="9"/>
  <c r="W7" i="9"/>
  <c r="W8" i="9"/>
  <c r="W9" i="9"/>
  <c r="W10" i="9"/>
  <c r="W11" i="9"/>
  <c r="W12" i="9"/>
  <c r="W13" i="9"/>
  <c r="W14" i="9"/>
  <c r="W15" i="9"/>
  <c r="W16" i="9"/>
  <c r="W17" i="9"/>
  <c r="W18" i="9"/>
  <c r="W19" i="9"/>
  <c r="W20" i="9"/>
  <c r="W21" i="9"/>
  <c r="W22" i="9"/>
  <c r="W24" i="9"/>
  <c r="W25" i="9"/>
  <c r="W26" i="9"/>
  <c r="W1" i="9"/>
  <c r="X11" i="10"/>
  <c r="H20" i="9" s="1"/>
  <c r="Z26" i="15"/>
  <c r="Y26" i="15"/>
  <c r="X26" i="15"/>
  <c r="W26" i="15"/>
  <c r="V26" i="15"/>
  <c r="U26" i="15"/>
  <c r="T26" i="15"/>
  <c r="S26" i="15"/>
  <c r="R26" i="15"/>
  <c r="Q26" i="15"/>
  <c r="P26" i="15"/>
  <c r="O26" i="15"/>
  <c r="N26" i="15"/>
  <c r="M26" i="15"/>
  <c r="L26" i="15"/>
  <c r="K26" i="15"/>
  <c r="J26" i="15"/>
  <c r="I26" i="15"/>
  <c r="H26" i="15"/>
  <c r="G26" i="15"/>
  <c r="F26" i="15"/>
  <c r="E26" i="15"/>
  <c r="Z25" i="15"/>
  <c r="Y25" i="15"/>
  <c r="X25" i="15"/>
  <c r="W25" i="15"/>
  <c r="V25" i="15"/>
  <c r="U25" i="15"/>
  <c r="T25" i="15"/>
  <c r="S25" i="15"/>
  <c r="R25" i="15"/>
  <c r="Q25" i="15"/>
  <c r="P25" i="15"/>
  <c r="O25" i="15"/>
  <c r="N25" i="15"/>
  <c r="M25" i="15"/>
  <c r="L25" i="15"/>
  <c r="K25" i="15"/>
  <c r="J25" i="15"/>
  <c r="I25" i="15"/>
  <c r="H25" i="15"/>
  <c r="G25" i="15"/>
  <c r="F25" i="15"/>
  <c r="E25" i="15"/>
  <c r="Z24" i="15"/>
  <c r="Y24" i="15"/>
  <c r="X24" i="15"/>
  <c r="W24" i="15"/>
  <c r="V24" i="15"/>
  <c r="U24" i="15"/>
  <c r="T24" i="15"/>
  <c r="S24" i="15"/>
  <c r="R24" i="15"/>
  <c r="Q24" i="15"/>
  <c r="P24" i="15"/>
  <c r="O24" i="15"/>
  <c r="N24" i="15"/>
  <c r="M24" i="15"/>
  <c r="L24" i="15"/>
  <c r="K24" i="15"/>
  <c r="J24" i="15"/>
  <c r="I24" i="15"/>
  <c r="H24" i="15"/>
  <c r="G24" i="15"/>
  <c r="F24" i="15"/>
  <c r="E24" i="15"/>
  <c r="AB20" i="15"/>
  <c r="E20" i="15"/>
  <c r="AB19" i="15"/>
  <c r="E19" i="15"/>
  <c r="AB18" i="15"/>
  <c r="E18" i="15"/>
  <c r="AB17" i="15"/>
  <c r="E17" i="15"/>
  <c r="AB16" i="15"/>
  <c r="E16" i="15"/>
  <c r="AB15" i="15"/>
  <c r="E15" i="15"/>
  <c r="AB14" i="15"/>
  <c r="E14" i="15"/>
  <c r="AB13" i="15"/>
  <c r="E13" i="15"/>
  <c r="AB12" i="15"/>
  <c r="E12" i="15"/>
  <c r="AB11" i="15"/>
  <c r="E11" i="15"/>
  <c r="AB10" i="15"/>
  <c r="E10" i="15"/>
  <c r="AB9" i="15"/>
  <c r="E9" i="15"/>
  <c r="AB8" i="15"/>
  <c r="E8" i="15"/>
  <c r="AB7" i="15"/>
  <c r="E7" i="15"/>
  <c r="AB6" i="15"/>
  <c r="E6" i="15"/>
  <c r="AB5" i="15"/>
  <c r="E5" i="15"/>
  <c r="AB4" i="15"/>
  <c r="Z4" i="15"/>
  <c r="E4" i="15"/>
  <c r="X55" i="10"/>
  <c r="Z55" i="10" s="1"/>
  <c r="O25" i="19" s="1"/>
  <c r="X54" i="10"/>
  <c r="P9" i="9" s="1"/>
  <c r="Z4" i="21"/>
  <c r="Z4" i="14"/>
  <c r="Z4" i="37"/>
  <c r="Z4" i="28"/>
  <c r="Z4" i="16"/>
  <c r="Z4" i="12"/>
  <c r="Z4" i="35"/>
  <c r="Z4" i="25"/>
  <c r="E17" i="36"/>
  <c r="E11" i="34"/>
  <c r="AA11" i="34" s="1"/>
  <c r="E11" i="33"/>
  <c r="Y18" i="34"/>
  <c r="O20" i="34"/>
  <c r="I18" i="34"/>
  <c r="S4" i="34"/>
  <c r="S22" i="34" s="1"/>
  <c r="T24" i="21"/>
  <c r="T11" i="34"/>
  <c r="J16" i="34"/>
  <c r="K18" i="34"/>
  <c r="O6" i="34"/>
  <c r="G6" i="34"/>
  <c r="X12" i="10"/>
  <c r="L11" i="34"/>
  <c r="T6" i="34"/>
  <c r="M6" i="34"/>
  <c r="R14" i="34"/>
  <c r="V14" i="34"/>
  <c r="F11" i="34"/>
  <c r="M11" i="34"/>
  <c r="L6" i="34"/>
  <c r="H11" i="34"/>
  <c r="V11" i="34"/>
  <c r="Q18" i="34"/>
  <c r="U6" i="34"/>
  <c r="V15" i="34"/>
  <c r="X18" i="34"/>
  <c r="I19" i="34"/>
  <c r="G19" i="34"/>
  <c r="Q24" i="12"/>
  <c r="Q25" i="28"/>
  <c r="V25" i="25"/>
  <c r="W24" i="25"/>
  <c r="X26" i="25"/>
  <c r="L26" i="12"/>
  <c r="K25" i="12"/>
  <c r="K26" i="21"/>
  <c r="K26" i="37"/>
  <c r="I25" i="14"/>
  <c r="K24" i="35"/>
  <c r="H24" i="36"/>
  <c r="H25" i="34"/>
  <c r="E4" i="25"/>
  <c r="E5" i="25"/>
  <c r="E6" i="25"/>
  <c r="E7" i="25"/>
  <c r="E8" i="25"/>
  <c r="E9" i="25"/>
  <c r="E10" i="25"/>
  <c r="E11" i="25"/>
  <c r="E12" i="25"/>
  <c r="E13" i="25"/>
  <c r="E14" i="25"/>
  <c r="E15" i="25"/>
  <c r="E16" i="25"/>
  <c r="E17" i="25"/>
  <c r="E18" i="25"/>
  <c r="E19" i="25"/>
  <c r="E20" i="25"/>
  <c r="E4" i="14"/>
  <c r="E5" i="14"/>
  <c r="E6" i="14"/>
  <c r="E7" i="14"/>
  <c r="E8" i="14"/>
  <c r="E9" i="14"/>
  <c r="E10" i="14"/>
  <c r="E11" i="14"/>
  <c r="E12" i="14"/>
  <c r="E13" i="14"/>
  <c r="E14" i="14"/>
  <c r="E15" i="14"/>
  <c r="E16" i="14"/>
  <c r="E17" i="14"/>
  <c r="E18" i="14"/>
  <c r="E19" i="14"/>
  <c r="E20" i="14"/>
  <c r="E4" i="16"/>
  <c r="E5" i="16"/>
  <c r="E6" i="16"/>
  <c r="E7" i="16"/>
  <c r="E8" i="16"/>
  <c r="E9" i="16"/>
  <c r="E10" i="16"/>
  <c r="E11" i="16"/>
  <c r="E12" i="16"/>
  <c r="E13" i="16"/>
  <c r="E14" i="16"/>
  <c r="E15" i="16"/>
  <c r="E16" i="16"/>
  <c r="E17" i="16"/>
  <c r="E18" i="16"/>
  <c r="E19" i="16"/>
  <c r="E20" i="16"/>
  <c r="E4" i="35"/>
  <c r="E5" i="35"/>
  <c r="E6" i="35"/>
  <c r="E7" i="35"/>
  <c r="E8" i="35"/>
  <c r="E9" i="35"/>
  <c r="E10" i="35"/>
  <c r="E11" i="35"/>
  <c r="E12" i="35"/>
  <c r="E13" i="35"/>
  <c r="E14" i="35"/>
  <c r="E15" i="35"/>
  <c r="E16" i="35"/>
  <c r="E17" i="35"/>
  <c r="E18" i="35"/>
  <c r="E19" i="35"/>
  <c r="E20" i="35"/>
  <c r="E4" i="12"/>
  <c r="E5" i="12"/>
  <c r="E6" i="12"/>
  <c r="E7" i="12"/>
  <c r="E8" i="12"/>
  <c r="E9" i="12"/>
  <c r="E10" i="12"/>
  <c r="E11" i="12"/>
  <c r="E12" i="12"/>
  <c r="E13" i="12"/>
  <c r="E14" i="12"/>
  <c r="E15" i="12"/>
  <c r="E16" i="12"/>
  <c r="E17" i="12"/>
  <c r="E18" i="12"/>
  <c r="E19" i="12"/>
  <c r="E20" i="12"/>
  <c r="E4" i="28"/>
  <c r="E5" i="28"/>
  <c r="E6" i="28"/>
  <c r="E7" i="28"/>
  <c r="E8" i="28"/>
  <c r="E9" i="28"/>
  <c r="E10" i="28"/>
  <c r="E11" i="28"/>
  <c r="E12" i="28"/>
  <c r="E13" i="28"/>
  <c r="E14" i="28"/>
  <c r="E15" i="28"/>
  <c r="E16" i="28"/>
  <c r="E17" i="28"/>
  <c r="E18" i="28"/>
  <c r="E19" i="28"/>
  <c r="E20" i="28"/>
  <c r="E4" i="21"/>
  <c r="E5" i="21"/>
  <c r="E6" i="21"/>
  <c r="E7" i="21"/>
  <c r="E8" i="21"/>
  <c r="E9" i="21"/>
  <c r="E10" i="21"/>
  <c r="E11" i="21"/>
  <c r="E12" i="21"/>
  <c r="E13" i="21"/>
  <c r="E14" i="21"/>
  <c r="E15" i="21"/>
  <c r="E16" i="21"/>
  <c r="E17" i="21"/>
  <c r="E18" i="21"/>
  <c r="E19" i="21"/>
  <c r="E20" i="21"/>
  <c r="E4" i="37"/>
  <c r="E5" i="37"/>
  <c r="E6" i="37"/>
  <c r="E7" i="37"/>
  <c r="E8" i="37"/>
  <c r="E9" i="37"/>
  <c r="E10" i="37"/>
  <c r="E11" i="37"/>
  <c r="E12" i="37"/>
  <c r="E13" i="37"/>
  <c r="E14" i="37"/>
  <c r="E15" i="37"/>
  <c r="E16" i="37"/>
  <c r="E17" i="37"/>
  <c r="E18" i="37"/>
  <c r="E19" i="37"/>
  <c r="E20" i="37"/>
  <c r="L24" i="35"/>
  <c r="L25" i="35"/>
  <c r="F26" i="34"/>
  <c r="E25" i="34"/>
  <c r="AA25" i="34" s="1"/>
  <c r="D30" i="34"/>
  <c r="T30" i="9"/>
  <c r="D29" i="34"/>
  <c r="T29" i="9"/>
  <c r="D28" i="34"/>
  <c r="T28" i="9"/>
  <c r="Z26" i="34"/>
  <c r="Y26" i="34"/>
  <c r="X26" i="34"/>
  <c r="W26" i="34"/>
  <c r="V26" i="34"/>
  <c r="U26" i="34"/>
  <c r="T26" i="34"/>
  <c r="S26" i="34"/>
  <c r="R26" i="34"/>
  <c r="Q26" i="34"/>
  <c r="P26" i="34"/>
  <c r="O26" i="34"/>
  <c r="N26" i="34"/>
  <c r="M26" i="34"/>
  <c r="L26" i="34"/>
  <c r="K26" i="34"/>
  <c r="J26" i="34"/>
  <c r="I26" i="34"/>
  <c r="H26" i="34"/>
  <c r="G26" i="34"/>
  <c r="E26" i="34"/>
  <c r="AA26" i="34" s="1"/>
  <c r="Z25" i="34"/>
  <c r="Y25" i="34"/>
  <c r="X25" i="34"/>
  <c r="W25" i="34"/>
  <c r="V25" i="34"/>
  <c r="U25" i="34"/>
  <c r="T25" i="34"/>
  <c r="S25" i="34"/>
  <c r="R25" i="34"/>
  <c r="Q25" i="34"/>
  <c r="P25" i="34"/>
  <c r="O25" i="34"/>
  <c r="N25" i="34"/>
  <c r="M25" i="34"/>
  <c r="L25" i="34"/>
  <c r="K25" i="34"/>
  <c r="J25" i="34"/>
  <c r="I25" i="34"/>
  <c r="G25" i="34"/>
  <c r="F25" i="34"/>
  <c r="Z24" i="34"/>
  <c r="Y24" i="34"/>
  <c r="X24" i="34"/>
  <c r="W24" i="34"/>
  <c r="V24" i="34"/>
  <c r="U24" i="34"/>
  <c r="T24" i="34"/>
  <c r="S24" i="34"/>
  <c r="R24" i="34"/>
  <c r="Q24" i="34"/>
  <c r="P24" i="34"/>
  <c r="O24" i="34"/>
  <c r="N24" i="34"/>
  <c r="M24" i="34"/>
  <c r="L24" i="34"/>
  <c r="K24" i="34"/>
  <c r="J24" i="34"/>
  <c r="I24" i="34"/>
  <c r="H24" i="34"/>
  <c r="G24" i="34"/>
  <c r="F24" i="34"/>
  <c r="E24" i="34"/>
  <c r="AA24" i="34" s="1"/>
  <c r="C5" i="9"/>
  <c r="C6" i="9"/>
  <c r="C7" i="9"/>
  <c r="C8" i="9"/>
  <c r="C9" i="9"/>
  <c r="C10" i="9"/>
  <c r="C11" i="9"/>
  <c r="C12" i="9"/>
  <c r="C13" i="9"/>
  <c r="S27" i="9"/>
  <c r="S26" i="9"/>
  <c r="S25" i="9"/>
  <c r="S24" i="9"/>
  <c r="S22" i="9"/>
  <c r="S21" i="9"/>
  <c r="I22" i="9"/>
  <c r="K22" i="9"/>
  <c r="M22" i="9"/>
  <c r="O22" i="9"/>
  <c r="Q22" i="9"/>
  <c r="U22" i="9"/>
  <c r="S20" i="9"/>
  <c r="S19" i="9"/>
  <c r="S18" i="9"/>
  <c r="S17" i="9"/>
  <c r="S16" i="9"/>
  <c r="S15" i="9"/>
  <c r="S14" i="9"/>
  <c r="S13" i="9"/>
  <c r="S12" i="9"/>
  <c r="S11" i="9"/>
  <c r="S10" i="9"/>
  <c r="S9" i="9"/>
  <c r="S8" i="9"/>
  <c r="S7" i="9"/>
  <c r="S6" i="9"/>
  <c r="S5" i="9"/>
  <c r="S4" i="9"/>
  <c r="S3" i="9"/>
  <c r="S2" i="9"/>
  <c r="S1" i="9"/>
  <c r="X35" i="10"/>
  <c r="F12" i="9" s="1"/>
  <c r="M8" i="9"/>
  <c r="Q5" i="9"/>
  <c r="A20" i="9"/>
  <c r="K6" i="9"/>
  <c r="U24" i="36"/>
  <c r="T24" i="36"/>
  <c r="E25" i="36"/>
  <c r="F25" i="36"/>
  <c r="G25" i="36"/>
  <c r="H25" i="36"/>
  <c r="I25" i="36"/>
  <c r="J25" i="36"/>
  <c r="K25" i="36"/>
  <c r="L25" i="36"/>
  <c r="M25" i="36"/>
  <c r="N25" i="36"/>
  <c r="O25" i="36"/>
  <c r="P25" i="36"/>
  <c r="Q25" i="36"/>
  <c r="R25" i="36"/>
  <c r="S25" i="36"/>
  <c r="T25" i="36"/>
  <c r="U25" i="36"/>
  <c r="V25" i="36"/>
  <c r="W25" i="36"/>
  <c r="X25" i="36"/>
  <c r="Y25" i="36"/>
  <c r="Z25" i="36"/>
  <c r="E26" i="36"/>
  <c r="F26" i="36"/>
  <c r="G26" i="36"/>
  <c r="H26" i="36"/>
  <c r="I26" i="36"/>
  <c r="J26" i="36"/>
  <c r="K26" i="36"/>
  <c r="L26" i="36"/>
  <c r="M26" i="36"/>
  <c r="N26" i="36"/>
  <c r="O26" i="36"/>
  <c r="P26" i="36"/>
  <c r="Q26" i="36"/>
  <c r="R26" i="36"/>
  <c r="S26" i="36"/>
  <c r="T26" i="36"/>
  <c r="U26" i="36"/>
  <c r="V26" i="36"/>
  <c r="W26" i="36"/>
  <c r="X26" i="36"/>
  <c r="Y26" i="36"/>
  <c r="Z26" i="36"/>
  <c r="Z24" i="36"/>
  <c r="Y24" i="36"/>
  <c r="X24" i="36"/>
  <c r="W24" i="36"/>
  <c r="V24" i="36"/>
  <c r="S24" i="36"/>
  <c r="R24" i="36"/>
  <c r="Q24" i="36"/>
  <c r="P24" i="36"/>
  <c r="O24" i="36"/>
  <c r="N24" i="36"/>
  <c r="M24" i="36"/>
  <c r="L24" i="36"/>
  <c r="K24" i="36"/>
  <c r="J24" i="36"/>
  <c r="I24" i="36"/>
  <c r="G24" i="36"/>
  <c r="F24" i="36"/>
  <c r="E24" i="36"/>
  <c r="U1" i="9"/>
  <c r="U2" i="9"/>
  <c r="U3" i="9"/>
  <c r="U4" i="9"/>
  <c r="U5" i="9"/>
  <c r="U6" i="9"/>
  <c r="U7" i="9"/>
  <c r="U8" i="9"/>
  <c r="U9" i="9"/>
  <c r="U10" i="9"/>
  <c r="U11" i="9"/>
  <c r="U12" i="9"/>
  <c r="U13" i="9"/>
  <c r="U14" i="9"/>
  <c r="U15" i="9"/>
  <c r="U16" i="9"/>
  <c r="U17" i="9"/>
  <c r="U18" i="9"/>
  <c r="U19" i="9"/>
  <c r="U20" i="9"/>
  <c r="U21" i="9"/>
  <c r="U24" i="9"/>
  <c r="U25" i="9"/>
  <c r="U26" i="9"/>
  <c r="C27" i="9"/>
  <c r="D30" i="40"/>
  <c r="D29" i="40"/>
  <c r="D28" i="40"/>
  <c r="D30" i="14"/>
  <c r="L30" i="9"/>
  <c r="D29" i="14"/>
  <c r="L29" i="9"/>
  <c r="D28" i="14"/>
  <c r="L28" i="9"/>
  <c r="D30" i="25"/>
  <c r="P30" i="9"/>
  <c r="D29" i="25"/>
  <c r="P29" i="9"/>
  <c r="D28" i="25"/>
  <c r="P28" i="9"/>
  <c r="D30" i="45"/>
  <c r="V30" i="9"/>
  <c r="D29" i="45"/>
  <c r="V29" i="9"/>
  <c r="D28" i="45"/>
  <c r="V28" i="9"/>
  <c r="D30" i="12"/>
  <c r="J30" i="9"/>
  <c r="D29" i="12"/>
  <c r="J29" i="9"/>
  <c r="D28" i="12"/>
  <c r="J28" i="9"/>
  <c r="D30" i="16"/>
  <c r="F30" i="9"/>
  <c r="D29" i="16"/>
  <c r="F29" i="9"/>
  <c r="D28" i="16"/>
  <c r="F28" i="9"/>
  <c r="D30" i="35"/>
  <c r="N30" i="9"/>
  <c r="D29" i="35"/>
  <c r="N29" i="9"/>
  <c r="D28" i="35"/>
  <c r="N28" i="9"/>
  <c r="D30" i="37"/>
  <c r="H30" i="9"/>
  <c r="D29" i="37"/>
  <c r="H29" i="9"/>
  <c r="D28" i="37"/>
  <c r="H28" i="9"/>
  <c r="D30" i="36"/>
  <c r="R30" i="9"/>
  <c r="D29" i="36"/>
  <c r="R29" i="9"/>
  <c r="D28" i="36"/>
  <c r="R28" i="9"/>
  <c r="D30" i="28"/>
  <c r="B30" i="9"/>
  <c r="D29" i="28"/>
  <c r="B29" i="9"/>
  <c r="D28" i="28"/>
  <c r="B28" i="9"/>
  <c r="D30" i="21"/>
  <c r="D30" i="9"/>
  <c r="D29" i="21"/>
  <c r="D29" i="9"/>
  <c r="D28" i="21"/>
  <c r="D28" i="9"/>
  <c r="X53" i="10"/>
  <c r="P5" i="9" s="1"/>
  <c r="X34" i="10"/>
  <c r="D11" i="9" s="1"/>
  <c r="Q10" i="9"/>
  <c r="A24" i="9"/>
  <c r="I14" i="9"/>
  <c r="Q26" i="9"/>
  <c r="Q25" i="9"/>
  <c r="Q24" i="9"/>
  <c r="Q21" i="9"/>
  <c r="Q20" i="9"/>
  <c r="Q19" i="9"/>
  <c r="Q18" i="9"/>
  <c r="Q17" i="9"/>
  <c r="Q16" i="9"/>
  <c r="Q15" i="9"/>
  <c r="Q14" i="9"/>
  <c r="Q13" i="9"/>
  <c r="Q12" i="9"/>
  <c r="Q11" i="9"/>
  <c r="Q9" i="9"/>
  <c r="Q8" i="9"/>
  <c r="Q7" i="9"/>
  <c r="Q6" i="9"/>
  <c r="Q4" i="9"/>
  <c r="Q1" i="9"/>
  <c r="Q3" i="9"/>
  <c r="X42" i="10"/>
  <c r="X7" i="9" s="1"/>
  <c r="M24" i="9"/>
  <c r="X41" i="10"/>
  <c r="Z25" i="9" s="1"/>
  <c r="X40" i="10"/>
  <c r="Z40" i="10" s="1"/>
  <c r="X39" i="10"/>
  <c r="F19" i="9" s="1"/>
  <c r="K24" i="9"/>
  <c r="I26" i="9"/>
  <c r="B65" i="19"/>
  <c r="Z24" i="40"/>
  <c r="Z25" i="40"/>
  <c r="Z26" i="40"/>
  <c r="X25" i="10"/>
  <c r="Z25" i="10" s="1"/>
  <c r="O27" i="19" s="1"/>
  <c r="X49" i="10"/>
  <c r="Z49" i="10" s="1"/>
  <c r="O53" i="19" s="1"/>
  <c r="O4" i="9"/>
  <c r="Z26" i="12"/>
  <c r="Z24" i="12"/>
  <c r="Z25" i="35"/>
  <c r="Z24" i="35"/>
  <c r="Z26" i="37"/>
  <c r="Z25" i="37"/>
  <c r="Z24" i="37"/>
  <c r="Z26" i="25"/>
  <c r="Z25" i="25"/>
  <c r="Z24" i="25"/>
  <c r="Z26" i="14"/>
  <c r="Z25" i="14"/>
  <c r="Z24" i="14"/>
  <c r="Z26" i="28"/>
  <c r="Z25" i="28"/>
  <c r="Z24" i="28"/>
  <c r="Z26" i="16"/>
  <c r="Z25" i="16"/>
  <c r="Z24" i="16"/>
  <c r="Z26" i="45"/>
  <c r="Z25" i="45"/>
  <c r="Z24" i="45"/>
  <c r="Z26" i="30"/>
  <c r="Z25" i="30"/>
  <c r="Z24" i="30"/>
  <c r="Z26" i="21"/>
  <c r="Z25" i="21"/>
  <c r="X52" i="10"/>
  <c r="Z52" i="10" s="1"/>
  <c r="O21" i="19" s="1"/>
  <c r="X51" i="10"/>
  <c r="X50" i="10"/>
  <c r="D4" i="9" s="1"/>
  <c r="X48" i="10"/>
  <c r="N17" i="9" s="1"/>
  <c r="M17" i="9"/>
  <c r="X47" i="10"/>
  <c r="J8" i="9" s="1"/>
  <c r="X46" i="10"/>
  <c r="Z46" i="10" s="1"/>
  <c r="O20" i="19" s="1"/>
  <c r="X45" i="10"/>
  <c r="Z45" i="10" s="1"/>
  <c r="O19" i="19" s="1"/>
  <c r="X44" i="10"/>
  <c r="G26" i="9"/>
  <c r="A6" i="9"/>
  <c r="K14" i="9"/>
  <c r="X43" i="10"/>
  <c r="Z43" i="10" s="1"/>
  <c r="X38" i="10"/>
  <c r="Z38" i="10" s="1"/>
  <c r="O15" i="19" s="1"/>
  <c r="X37" i="10"/>
  <c r="Z37" i="10" s="1"/>
  <c r="A7" i="9"/>
  <c r="G13" i="9"/>
  <c r="C24" i="9"/>
  <c r="X36" i="10"/>
  <c r="M18" i="9"/>
  <c r="I5" i="9"/>
  <c r="X33" i="10"/>
  <c r="R9" i="9" s="1"/>
  <c r="X31" i="10"/>
  <c r="Z31" i="10" s="1"/>
  <c r="O13" i="19" s="1"/>
  <c r="X30" i="10"/>
  <c r="J26" i="9" s="1"/>
  <c r="G11" i="9"/>
  <c r="M25" i="9"/>
  <c r="A25" i="9"/>
  <c r="X29" i="10"/>
  <c r="V11" i="9" s="1"/>
  <c r="O20" i="9"/>
  <c r="X28" i="10"/>
  <c r="X18" i="9" s="1"/>
  <c r="X27" i="10"/>
  <c r="F26" i="9" s="1"/>
  <c r="E26" i="9"/>
  <c r="X26" i="10"/>
  <c r="F8" i="9" s="1"/>
  <c r="E8" i="9"/>
  <c r="I15" i="9"/>
  <c r="O25" i="9"/>
  <c r="X24" i="10"/>
  <c r="X23" i="10"/>
  <c r="X22" i="10"/>
  <c r="N14" i="9" s="1"/>
  <c r="K9" i="9"/>
  <c r="X21" i="10"/>
  <c r="J17" i="9" s="1"/>
  <c r="O12" i="9"/>
  <c r="X20" i="10"/>
  <c r="Z6" i="9" s="1"/>
  <c r="X19" i="10"/>
  <c r="X18" i="10"/>
  <c r="Z17" i="9" s="1"/>
  <c r="E7" i="9"/>
  <c r="X17" i="10"/>
  <c r="V17" i="9" s="1"/>
  <c r="O14" i="9"/>
  <c r="X16" i="10"/>
  <c r="P12" i="9" s="1"/>
  <c r="X15" i="10"/>
  <c r="P25" i="9" s="1"/>
  <c r="I11" i="9"/>
  <c r="A9" i="9"/>
  <c r="O11" i="9"/>
  <c r="X14" i="10"/>
  <c r="D24" i="9" s="1"/>
  <c r="X13" i="10"/>
  <c r="R25" i="9" s="1"/>
  <c r="M10" i="9"/>
  <c r="X10" i="10"/>
  <c r="L19" i="9" s="1"/>
  <c r="E12" i="9"/>
  <c r="X9" i="10"/>
  <c r="V13" i="9" s="1"/>
  <c r="X8" i="10"/>
  <c r="O15" i="9"/>
  <c r="X7" i="10"/>
  <c r="Z7" i="10" s="1"/>
  <c r="O43" i="19" s="1"/>
  <c r="X6" i="10"/>
  <c r="V24" i="9" s="1"/>
  <c r="X5" i="10"/>
  <c r="Z16" i="9" s="1"/>
  <c r="X4" i="10"/>
  <c r="Z4" i="10" s="1"/>
  <c r="O2" i="19" s="1"/>
  <c r="X3" i="10"/>
  <c r="J11" i="9" s="1"/>
  <c r="M26" i="9"/>
  <c r="X2" i="10"/>
  <c r="V19" i="9" s="1"/>
  <c r="X32" i="10"/>
  <c r="B26" i="9" s="1"/>
  <c r="M5" i="9"/>
  <c r="AB20" i="45"/>
  <c r="AB19" i="45"/>
  <c r="AB18" i="45"/>
  <c r="AB17" i="45"/>
  <c r="AB16" i="45"/>
  <c r="AB15" i="45"/>
  <c r="AB14" i="45"/>
  <c r="AB13" i="45"/>
  <c r="AB12" i="45"/>
  <c r="AB11" i="45"/>
  <c r="AB10" i="45"/>
  <c r="AB9" i="45"/>
  <c r="AB8" i="45"/>
  <c r="AB7" i="45"/>
  <c r="AB6" i="45"/>
  <c r="AB5" i="45"/>
  <c r="AB4" i="45"/>
  <c r="F26" i="45"/>
  <c r="F25" i="45"/>
  <c r="F24" i="45"/>
  <c r="H26" i="45"/>
  <c r="H25" i="45"/>
  <c r="H24" i="45"/>
  <c r="J26" i="45"/>
  <c r="J25" i="45"/>
  <c r="J24" i="45"/>
  <c r="L26" i="45"/>
  <c r="L25" i="45"/>
  <c r="L24" i="45"/>
  <c r="N26" i="45"/>
  <c r="N25" i="45"/>
  <c r="N24" i="45"/>
  <c r="P26" i="45"/>
  <c r="P25" i="45"/>
  <c r="P24" i="45"/>
  <c r="R26" i="45"/>
  <c r="R25" i="45"/>
  <c r="R24" i="45"/>
  <c r="T26" i="45"/>
  <c r="T25" i="45"/>
  <c r="T24" i="45"/>
  <c r="V26" i="45"/>
  <c r="V25" i="45"/>
  <c r="V24" i="45"/>
  <c r="X26" i="45"/>
  <c r="X25" i="45"/>
  <c r="X24" i="45"/>
  <c r="E20" i="45"/>
  <c r="E26" i="45"/>
  <c r="E25" i="45"/>
  <c r="E24" i="45"/>
  <c r="G26" i="45"/>
  <c r="G25" i="45"/>
  <c r="G24" i="45"/>
  <c r="I26" i="45"/>
  <c r="I25" i="45"/>
  <c r="I24" i="45"/>
  <c r="K26" i="45"/>
  <c r="K25" i="45"/>
  <c r="K24" i="45"/>
  <c r="M26" i="45"/>
  <c r="M25" i="45"/>
  <c r="M24" i="45"/>
  <c r="O26" i="45"/>
  <c r="O25" i="45"/>
  <c r="O24" i="45"/>
  <c r="Q26" i="45"/>
  <c r="Q25" i="45"/>
  <c r="Q24" i="45"/>
  <c r="S26" i="45"/>
  <c r="S25" i="45"/>
  <c r="S24" i="45"/>
  <c r="U26" i="45"/>
  <c r="U25" i="45"/>
  <c r="U24" i="45"/>
  <c r="W26" i="45"/>
  <c r="W25" i="45"/>
  <c r="W24" i="45"/>
  <c r="Y26" i="45"/>
  <c r="Y25" i="45"/>
  <c r="Y24" i="45"/>
  <c r="E4" i="45"/>
  <c r="E5" i="45"/>
  <c r="E6" i="45"/>
  <c r="E7" i="45"/>
  <c r="E8" i="45"/>
  <c r="E9" i="45"/>
  <c r="E10" i="45"/>
  <c r="E11" i="45"/>
  <c r="E12" i="45"/>
  <c r="E13" i="45"/>
  <c r="E14" i="45"/>
  <c r="E15" i="45"/>
  <c r="E16" i="45"/>
  <c r="E17" i="45"/>
  <c r="E18" i="45"/>
  <c r="E19" i="45"/>
  <c r="AB15" i="2"/>
  <c r="AA15" i="2" s="1"/>
  <c r="AB16" i="2"/>
  <c r="AA16" i="2"/>
  <c r="AB17" i="2"/>
  <c r="AA17" i="2" s="1"/>
  <c r="AB18" i="2"/>
  <c r="AA18" i="2" s="1"/>
  <c r="AB19" i="2"/>
  <c r="AA19" i="2" s="1"/>
  <c r="Z20" i="40"/>
  <c r="Z19" i="40"/>
  <c r="Z18" i="40"/>
  <c r="Z17" i="40"/>
  <c r="Z16" i="40"/>
  <c r="Z15" i="40"/>
  <c r="Z14" i="40"/>
  <c r="Z13" i="40"/>
  <c r="Z12" i="40"/>
  <c r="Z11" i="40"/>
  <c r="Z10" i="40"/>
  <c r="Z9" i="40"/>
  <c r="Z8" i="40"/>
  <c r="Z7" i="40"/>
  <c r="Z6" i="40"/>
  <c r="Z5" i="40"/>
  <c r="Z4" i="40"/>
  <c r="Z22" i="40" s="1"/>
  <c r="Z20" i="30"/>
  <c r="Z19" i="30"/>
  <c r="Z18" i="30"/>
  <c r="Z17" i="30"/>
  <c r="Z16" i="30"/>
  <c r="Z15" i="30"/>
  <c r="Z14" i="30"/>
  <c r="Z13" i="30"/>
  <c r="Z12" i="30"/>
  <c r="Z11" i="30"/>
  <c r="Z10" i="30"/>
  <c r="Z9" i="30"/>
  <c r="Z8" i="30"/>
  <c r="Z7" i="30"/>
  <c r="Z6" i="30"/>
  <c r="Z5" i="30"/>
  <c r="Z4" i="30"/>
  <c r="Z22" i="30" s="1"/>
  <c r="F26" i="30"/>
  <c r="F25" i="30"/>
  <c r="F24" i="30"/>
  <c r="H26" i="30"/>
  <c r="H25" i="30"/>
  <c r="H24" i="30"/>
  <c r="J26" i="30"/>
  <c r="J25" i="30"/>
  <c r="J24" i="30"/>
  <c r="L26" i="30"/>
  <c r="L25" i="30"/>
  <c r="L24" i="30"/>
  <c r="N26" i="30"/>
  <c r="N25" i="30"/>
  <c r="N24" i="30"/>
  <c r="P26" i="30"/>
  <c r="P25" i="30"/>
  <c r="P24" i="30"/>
  <c r="R26" i="30"/>
  <c r="R25" i="30"/>
  <c r="R24" i="30"/>
  <c r="T26" i="30"/>
  <c r="T25" i="30"/>
  <c r="T24" i="30"/>
  <c r="V26" i="30"/>
  <c r="V25" i="30"/>
  <c r="V24" i="30"/>
  <c r="X26" i="30"/>
  <c r="X25" i="30"/>
  <c r="X24" i="30"/>
  <c r="F20" i="40"/>
  <c r="F26" i="40"/>
  <c r="F25" i="40"/>
  <c r="F24" i="40"/>
  <c r="H20" i="40"/>
  <c r="H26" i="40"/>
  <c r="H25" i="40"/>
  <c r="H24" i="40"/>
  <c r="J20" i="40"/>
  <c r="J24" i="40"/>
  <c r="J25" i="40"/>
  <c r="J26" i="40"/>
  <c r="L20" i="40"/>
  <c r="L24" i="40"/>
  <c r="L25" i="40"/>
  <c r="L26" i="40"/>
  <c r="N20" i="40"/>
  <c r="N24" i="40"/>
  <c r="N25" i="40"/>
  <c r="N26" i="40"/>
  <c r="P20" i="40"/>
  <c r="P24" i="40"/>
  <c r="P25" i="40"/>
  <c r="P26" i="40"/>
  <c r="R20" i="40"/>
  <c r="R24" i="40"/>
  <c r="R25" i="40"/>
  <c r="R26" i="40"/>
  <c r="T20" i="40"/>
  <c r="T24" i="40"/>
  <c r="T25" i="40"/>
  <c r="T26" i="40"/>
  <c r="V20" i="40"/>
  <c r="V24" i="40"/>
  <c r="V25" i="40"/>
  <c r="V26" i="40"/>
  <c r="X20" i="40"/>
  <c r="X24" i="40"/>
  <c r="X25" i="40"/>
  <c r="X26" i="40"/>
  <c r="F26" i="16"/>
  <c r="F25" i="16"/>
  <c r="F24" i="16"/>
  <c r="H26" i="16"/>
  <c r="H25" i="16"/>
  <c r="H24" i="16"/>
  <c r="J26" i="16"/>
  <c r="J25" i="16"/>
  <c r="J24" i="16"/>
  <c r="L26" i="16"/>
  <c r="L25" i="16"/>
  <c r="L24" i="16"/>
  <c r="N26" i="16"/>
  <c r="N25" i="16"/>
  <c r="N24" i="16"/>
  <c r="P26" i="16"/>
  <c r="P25" i="16"/>
  <c r="P24" i="16"/>
  <c r="R26" i="16"/>
  <c r="R25" i="16"/>
  <c r="R24" i="16"/>
  <c r="T26" i="16"/>
  <c r="T25" i="16"/>
  <c r="T24" i="16"/>
  <c r="V26" i="16"/>
  <c r="V25" i="16"/>
  <c r="V24" i="16"/>
  <c r="X26" i="16"/>
  <c r="X25" i="16"/>
  <c r="X24" i="16"/>
  <c r="F26" i="28"/>
  <c r="F25" i="28"/>
  <c r="F24" i="28"/>
  <c r="H26" i="28"/>
  <c r="H25" i="28"/>
  <c r="H24" i="28"/>
  <c r="J26" i="28"/>
  <c r="J25" i="28"/>
  <c r="J24" i="28"/>
  <c r="L26" i="28"/>
  <c r="L25" i="28"/>
  <c r="L24" i="28"/>
  <c r="N26" i="28"/>
  <c r="N25" i="28"/>
  <c r="N24" i="28"/>
  <c r="P26" i="28"/>
  <c r="P25" i="28"/>
  <c r="P24" i="28"/>
  <c r="R26" i="28"/>
  <c r="R25" i="28"/>
  <c r="R24" i="28"/>
  <c r="T26" i="28"/>
  <c r="T25" i="28"/>
  <c r="T24" i="28"/>
  <c r="V26" i="28"/>
  <c r="V25" i="28"/>
  <c r="V24" i="28"/>
  <c r="X26" i="28"/>
  <c r="X25" i="28"/>
  <c r="X24" i="28"/>
  <c r="F26" i="14"/>
  <c r="F25" i="14"/>
  <c r="F24" i="14"/>
  <c r="H26" i="14"/>
  <c r="H25" i="14"/>
  <c r="H24" i="14"/>
  <c r="J26" i="14"/>
  <c r="J25" i="14"/>
  <c r="J24" i="14"/>
  <c r="L26" i="14"/>
  <c r="L25" i="14"/>
  <c r="L24" i="14"/>
  <c r="N26" i="14"/>
  <c r="N25" i="14"/>
  <c r="N24" i="14"/>
  <c r="P26" i="14"/>
  <c r="P25" i="14"/>
  <c r="P24" i="14"/>
  <c r="R26" i="14"/>
  <c r="R25" i="14"/>
  <c r="R24" i="14"/>
  <c r="T26" i="14"/>
  <c r="T25" i="14"/>
  <c r="T24" i="14"/>
  <c r="V26" i="14"/>
  <c r="V25" i="14"/>
  <c r="V24" i="14"/>
  <c r="X26" i="14"/>
  <c r="X25" i="14"/>
  <c r="X24" i="14"/>
  <c r="F26" i="25"/>
  <c r="F25" i="25"/>
  <c r="F24" i="25"/>
  <c r="H26" i="25"/>
  <c r="H25" i="25"/>
  <c r="H24" i="25"/>
  <c r="J26" i="25"/>
  <c r="J25" i="25"/>
  <c r="J24" i="25"/>
  <c r="L26" i="25"/>
  <c r="L25" i="25"/>
  <c r="L24" i="25"/>
  <c r="N26" i="25"/>
  <c r="N25" i="25"/>
  <c r="N24" i="25"/>
  <c r="P26" i="25"/>
  <c r="P25" i="25"/>
  <c r="P24" i="25"/>
  <c r="R26" i="25"/>
  <c r="R25" i="25"/>
  <c r="R24" i="25"/>
  <c r="T26" i="25"/>
  <c r="T25" i="25"/>
  <c r="T24" i="25"/>
  <c r="V26" i="25"/>
  <c r="V24" i="25"/>
  <c r="X25" i="25"/>
  <c r="X24" i="25"/>
  <c r="F26" i="37"/>
  <c r="F25" i="37"/>
  <c r="F24" i="37"/>
  <c r="H26" i="37"/>
  <c r="H25" i="37"/>
  <c r="H24" i="37"/>
  <c r="J26" i="37"/>
  <c r="J25" i="37"/>
  <c r="J24" i="37"/>
  <c r="L26" i="37"/>
  <c r="L25" i="37"/>
  <c r="L24" i="37"/>
  <c r="N26" i="37"/>
  <c r="N25" i="37"/>
  <c r="N24" i="37"/>
  <c r="P26" i="37"/>
  <c r="P25" i="37"/>
  <c r="P24" i="37"/>
  <c r="R26" i="37"/>
  <c r="R25" i="37"/>
  <c r="R24" i="37"/>
  <c r="T26" i="37"/>
  <c r="T25" i="37"/>
  <c r="T24" i="37"/>
  <c r="V26" i="37"/>
  <c r="V25" i="37"/>
  <c r="V24" i="37"/>
  <c r="X26" i="37"/>
  <c r="X25" i="37"/>
  <c r="X24" i="37"/>
  <c r="F26" i="35"/>
  <c r="F25" i="35"/>
  <c r="F24" i="35"/>
  <c r="H26" i="35"/>
  <c r="H25" i="35"/>
  <c r="H24" i="35"/>
  <c r="J26" i="35"/>
  <c r="J25" i="35"/>
  <c r="J24" i="35"/>
  <c r="L26" i="35"/>
  <c r="N25" i="35"/>
  <c r="N24" i="35"/>
  <c r="P25" i="35"/>
  <c r="P24" i="35"/>
  <c r="R25" i="35"/>
  <c r="R24" i="35"/>
  <c r="T25" i="35"/>
  <c r="T24" i="35"/>
  <c r="V25" i="35"/>
  <c r="V24" i="35"/>
  <c r="X25" i="35"/>
  <c r="X24" i="35"/>
  <c r="F26" i="12"/>
  <c r="F25" i="12"/>
  <c r="F24" i="12"/>
  <c r="H26" i="12"/>
  <c r="H25" i="12"/>
  <c r="H24" i="12"/>
  <c r="J26" i="12"/>
  <c r="J25" i="12"/>
  <c r="J24" i="12"/>
  <c r="L25" i="12"/>
  <c r="L24" i="12"/>
  <c r="N26" i="12"/>
  <c r="N25" i="12"/>
  <c r="N24" i="12"/>
  <c r="P26" i="12"/>
  <c r="P25" i="12"/>
  <c r="P24" i="12"/>
  <c r="R26" i="12"/>
  <c r="R25" i="12"/>
  <c r="R24" i="12"/>
  <c r="T26" i="12"/>
  <c r="T25" i="12"/>
  <c r="T24" i="12"/>
  <c r="V26" i="12"/>
  <c r="V25" i="12"/>
  <c r="V24" i="12"/>
  <c r="X26" i="12"/>
  <c r="X25" i="12"/>
  <c r="X24" i="12"/>
  <c r="E8" i="30"/>
  <c r="AA8" i="30" s="1"/>
  <c r="E26" i="30"/>
  <c r="AA26" i="30" s="1"/>
  <c r="E25" i="30"/>
  <c r="AA25" i="30" s="1"/>
  <c r="E24" i="30"/>
  <c r="AA24" i="30" s="1"/>
  <c r="G7" i="30"/>
  <c r="G26" i="30"/>
  <c r="G25" i="30"/>
  <c r="G24" i="30"/>
  <c r="I8" i="30"/>
  <c r="I26" i="30"/>
  <c r="I25" i="30"/>
  <c r="I24" i="30"/>
  <c r="K7" i="30"/>
  <c r="K26" i="30"/>
  <c r="K25" i="30"/>
  <c r="K24" i="30"/>
  <c r="M8" i="30"/>
  <c r="M26" i="30"/>
  <c r="M25" i="30"/>
  <c r="M24" i="30"/>
  <c r="O7" i="30"/>
  <c r="O26" i="30"/>
  <c r="O25" i="30"/>
  <c r="O24" i="30"/>
  <c r="Q7" i="30"/>
  <c r="Q26" i="30"/>
  <c r="Q25" i="30"/>
  <c r="Q24" i="30"/>
  <c r="S7" i="30"/>
  <c r="S26" i="30"/>
  <c r="S25" i="30"/>
  <c r="S24" i="30"/>
  <c r="U7" i="30"/>
  <c r="U26" i="30"/>
  <c r="U25" i="30"/>
  <c r="U24" i="30"/>
  <c r="W7" i="30"/>
  <c r="W26" i="30"/>
  <c r="W25" i="30"/>
  <c r="W24" i="30"/>
  <c r="Y7" i="30"/>
  <c r="Y26" i="30"/>
  <c r="Y25" i="30"/>
  <c r="Y24" i="30"/>
  <c r="E20" i="40"/>
  <c r="AA20" i="40" s="1"/>
  <c r="E26" i="40"/>
  <c r="AA26" i="40" s="1"/>
  <c r="E25" i="40"/>
  <c r="AA25" i="40" s="1"/>
  <c r="E24" i="40"/>
  <c r="AA24" i="40" s="1"/>
  <c r="G20" i="40"/>
  <c r="G26" i="40"/>
  <c r="G25" i="40"/>
  <c r="G24" i="40"/>
  <c r="I20" i="40"/>
  <c r="I24" i="40"/>
  <c r="I25" i="40"/>
  <c r="I26" i="40"/>
  <c r="K20" i="40"/>
  <c r="K24" i="40"/>
  <c r="K25" i="40"/>
  <c r="K26" i="40"/>
  <c r="M20" i="40"/>
  <c r="M24" i="40"/>
  <c r="M25" i="40"/>
  <c r="M26" i="40"/>
  <c r="O20" i="40"/>
  <c r="O24" i="40"/>
  <c r="O25" i="40"/>
  <c r="O26" i="40"/>
  <c r="Q20" i="40"/>
  <c r="Q24" i="40"/>
  <c r="Q25" i="40"/>
  <c r="Q26" i="40"/>
  <c r="S20" i="40"/>
  <c r="S24" i="40"/>
  <c r="S25" i="40"/>
  <c r="S26" i="40"/>
  <c r="U20" i="40"/>
  <c r="U24" i="40"/>
  <c r="U25" i="40"/>
  <c r="U26" i="40"/>
  <c r="W20" i="40"/>
  <c r="W24" i="40"/>
  <c r="W25" i="40"/>
  <c r="W26" i="40"/>
  <c r="Y20" i="40"/>
  <c r="Y24" i="40"/>
  <c r="Y25" i="40"/>
  <c r="Y26" i="40"/>
  <c r="E26" i="16"/>
  <c r="E25" i="16"/>
  <c r="E24" i="16"/>
  <c r="G26" i="16"/>
  <c r="G25" i="16"/>
  <c r="G24" i="16"/>
  <c r="I26" i="16"/>
  <c r="I25" i="16"/>
  <c r="I24" i="16"/>
  <c r="K26" i="16"/>
  <c r="K25" i="16"/>
  <c r="K24" i="16"/>
  <c r="M26" i="16"/>
  <c r="M25" i="16"/>
  <c r="M24" i="16"/>
  <c r="O26" i="16"/>
  <c r="O25" i="16"/>
  <c r="O24" i="16"/>
  <c r="Q26" i="16"/>
  <c r="Q25" i="16"/>
  <c r="Q24" i="16"/>
  <c r="S26" i="16"/>
  <c r="S25" i="16"/>
  <c r="S24" i="16"/>
  <c r="U26" i="16"/>
  <c r="U25" i="16"/>
  <c r="U24" i="16"/>
  <c r="W26" i="16"/>
  <c r="W25" i="16"/>
  <c r="W24" i="16"/>
  <c r="Y26" i="16"/>
  <c r="Y25" i="16"/>
  <c r="Y24" i="16"/>
  <c r="E26" i="28"/>
  <c r="E25" i="28"/>
  <c r="E24" i="28"/>
  <c r="G26" i="28"/>
  <c r="G25" i="28"/>
  <c r="G24" i="28"/>
  <c r="I26" i="28"/>
  <c r="I25" i="28"/>
  <c r="I24" i="28"/>
  <c r="K26" i="28"/>
  <c r="K25" i="28"/>
  <c r="K24" i="28"/>
  <c r="M26" i="28"/>
  <c r="M25" i="28"/>
  <c r="M24" i="28"/>
  <c r="O26" i="28"/>
  <c r="O25" i="28"/>
  <c r="O24" i="28"/>
  <c r="Q26" i="28"/>
  <c r="Q24" i="28"/>
  <c r="S26" i="28"/>
  <c r="S25" i="28"/>
  <c r="S24" i="28"/>
  <c r="U26" i="28"/>
  <c r="U25" i="28"/>
  <c r="U24" i="28"/>
  <c r="W26" i="28"/>
  <c r="W25" i="28"/>
  <c r="W24" i="28"/>
  <c r="Y26" i="28"/>
  <c r="Y25" i="28"/>
  <c r="Y24" i="28"/>
  <c r="E26" i="14"/>
  <c r="E25" i="14"/>
  <c r="E24" i="14"/>
  <c r="G26" i="14"/>
  <c r="G25" i="14"/>
  <c r="G24" i="14"/>
  <c r="I26" i="14"/>
  <c r="I24" i="14"/>
  <c r="K26" i="14"/>
  <c r="K25" i="14"/>
  <c r="K24" i="14"/>
  <c r="M26" i="14"/>
  <c r="M25" i="14"/>
  <c r="M24" i="14"/>
  <c r="O26" i="14"/>
  <c r="O25" i="14"/>
  <c r="O24" i="14"/>
  <c r="Q26" i="14"/>
  <c r="Q25" i="14"/>
  <c r="Q24" i="14"/>
  <c r="S26" i="14"/>
  <c r="S25" i="14"/>
  <c r="S24" i="14"/>
  <c r="U26" i="14"/>
  <c r="U25" i="14"/>
  <c r="U24" i="14"/>
  <c r="W26" i="14"/>
  <c r="W25" i="14"/>
  <c r="W24" i="14"/>
  <c r="Y26" i="14"/>
  <c r="Y25" i="14"/>
  <c r="Y24" i="14"/>
  <c r="E26" i="25"/>
  <c r="E25" i="25"/>
  <c r="E24" i="25"/>
  <c r="G26" i="25"/>
  <c r="G25" i="25"/>
  <c r="G24" i="25"/>
  <c r="I26" i="25"/>
  <c r="I25" i="25"/>
  <c r="I24" i="25"/>
  <c r="K26" i="25"/>
  <c r="K25" i="25"/>
  <c r="K24" i="25"/>
  <c r="M26" i="25"/>
  <c r="M25" i="25"/>
  <c r="M24" i="25"/>
  <c r="O26" i="25"/>
  <c r="O25" i="25"/>
  <c r="O24" i="25"/>
  <c r="Q26" i="25"/>
  <c r="Q25" i="25"/>
  <c r="Q24" i="25"/>
  <c r="S26" i="25"/>
  <c r="S25" i="25"/>
  <c r="S24" i="25"/>
  <c r="U26" i="25"/>
  <c r="U25" i="25"/>
  <c r="U24" i="25"/>
  <c r="W26" i="25"/>
  <c r="W25" i="25"/>
  <c r="Y26" i="25"/>
  <c r="Y25" i="25"/>
  <c r="Y24" i="25"/>
  <c r="E26" i="37"/>
  <c r="E25" i="37"/>
  <c r="E24" i="37"/>
  <c r="G26" i="37"/>
  <c r="G25" i="37"/>
  <c r="G24" i="37"/>
  <c r="I26" i="37"/>
  <c r="I25" i="37"/>
  <c r="I24" i="37"/>
  <c r="K25" i="37"/>
  <c r="K24" i="37"/>
  <c r="M26" i="37"/>
  <c r="M25" i="37"/>
  <c r="M24" i="37"/>
  <c r="O26" i="37"/>
  <c r="O25" i="37"/>
  <c r="O24" i="37"/>
  <c r="Q26" i="37"/>
  <c r="Q25" i="37"/>
  <c r="Q24" i="37"/>
  <c r="S26" i="37"/>
  <c r="S25" i="37"/>
  <c r="S24" i="37"/>
  <c r="U26" i="37"/>
  <c r="U25" i="37"/>
  <c r="U24" i="37"/>
  <c r="W26" i="37"/>
  <c r="W25" i="37"/>
  <c r="W24" i="37"/>
  <c r="Y26" i="37"/>
  <c r="Y25" i="37"/>
  <c r="Y24" i="37"/>
  <c r="E26" i="35"/>
  <c r="E25" i="35"/>
  <c r="E24" i="35"/>
  <c r="G26" i="35"/>
  <c r="G25" i="35"/>
  <c r="G24" i="35"/>
  <c r="I26" i="35"/>
  <c r="I25" i="35"/>
  <c r="I24" i="35"/>
  <c r="K26" i="35"/>
  <c r="K25" i="35"/>
  <c r="M25" i="35"/>
  <c r="M24" i="35"/>
  <c r="O25" i="35"/>
  <c r="O24" i="35"/>
  <c r="Q25" i="35"/>
  <c r="Q24" i="35"/>
  <c r="S25" i="35"/>
  <c r="S24" i="35"/>
  <c r="U25" i="35"/>
  <c r="U24" i="35"/>
  <c r="W25" i="35"/>
  <c r="W24" i="35"/>
  <c r="Y25" i="35"/>
  <c r="Y24" i="35"/>
  <c r="E26" i="12"/>
  <c r="E25" i="12"/>
  <c r="E24" i="12"/>
  <c r="G26" i="12"/>
  <c r="G25" i="12"/>
  <c r="G24" i="12"/>
  <c r="I26" i="12"/>
  <c r="I25" i="12"/>
  <c r="I24" i="12"/>
  <c r="K26" i="12"/>
  <c r="K24" i="12"/>
  <c r="M26" i="12"/>
  <c r="M25" i="12"/>
  <c r="M24" i="12"/>
  <c r="O26" i="12"/>
  <c r="O25" i="12"/>
  <c r="O24" i="12"/>
  <c r="Q26" i="12"/>
  <c r="Q25" i="12"/>
  <c r="S26" i="12"/>
  <c r="S25" i="12"/>
  <c r="S24" i="12"/>
  <c r="U26" i="12"/>
  <c r="U25" i="12"/>
  <c r="U24" i="12"/>
  <c r="W26" i="12"/>
  <c r="W25" i="12"/>
  <c r="W24" i="12"/>
  <c r="Y26" i="12"/>
  <c r="Y25" i="12"/>
  <c r="Y24" i="12"/>
  <c r="G4" i="30"/>
  <c r="G22" i="30" s="1"/>
  <c r="K4" i="30"/>
  <c r="K22" i="30" s="1"/>
  <c r="O4" i="30"/>
  <c r="O22" i="30" s="1"/>
  <c r="S4" i="30"/>
  <c r="S22" i="30" s="1"/>
  <c r="W4" i="30"/>
  <c r="W22" i="30" s="1"/>
  <c r="G5" i="30"/>
  <c r="K5" i="30"/>
  <c r="O5" i="30"/>
  <c r="F4" i="40"/>
  <c r="F22" i="40" s="1"/>
  <c r="J4" i="40"/>
  <c r="J22" i="40" s="1"/>
  <c r="N4" i="40"/>
  <c r="N22" i="40" s="1"/>
  <c r="R4" i="40"/>
  <c r="R22" i="40" s="1"/>
  <c r="V4" i="40"/>
  <c r="V22" i="40" s="1"/>
  <c r="E4" i="30"/>
  <c r="E22" i="30" s="1"/>
  <c r="I4" i="30"/>
  <c r="I22" i="30" s="1"/>
  <c r="M4" i="30"/>
  <c r="M22" i="30" s="1"/>
  <c r="Q4" i="30"/>
  <c r="Q22" i="30" s="1"/>
  <c r="U4" i="30"/>
  <c r="U22" i="30" s="1"/>
  <c r="Y4" i="30"/>
  <c r="Y22" i="30" s="1"/>
  <c r="E5" i="30"/>
  <c r="AA5" i="30" s="1"/>
  <c r="I5" i="30"/>
  <c r="M5" i="30"/>
  <c r="H4" i="40"/>
  <c r="H22" i="40" s="1"/>
  <c r="L4" i="40"/>
  <c r="L22" i="40" s="1"/>
  <c r="P4" i="40"/>
  <c r="P22" i="40" s="1"/>
  <c r="T4" i="40"/>
  <c r="T22" i="40" s="1"/>
  <c r="X4" i="40"/>
  <c r="X22" i="40" s="1"/>
  <c r="H20" i="30"/>
  <c r="H19" i="30"/>
  <c r="H18" i="30"/>
  <c r="H17" i="30"/>
  <c r="H16" i="30"/>
  <c r="H15" i="30"/>
  <c r="H14" i="30"/>
  <c r="H13" i="30"/>
  <c r="H12" i="30"/>
  <c r="H11" i="30"/>
  <c r="H10" i="30"/>
  <c r="H9" i="30"/>
  <c r="H8" i="30"/>
  <c r="L20" i="30"/>
  <c r="L19" i="30"/>
  <c r="L18" i="30"/>
  <c r="L17" i="30"/>
  <c r="L16" i="30"/>
  <c r="L15" i="30"/>
  <c r="L14" i="30"/>
  <c r="L13" i="30"/>
  <c r="L12" i="30"/>
  <c r="L11" i="30"/>
  <c r="L10" i="30"/>
  <c r="L9" i="30"/>
  <c r="L8" i="30"/>
  <c r="P20" i="30"/>
  <c r="P19" i="30"/>
  <c r="P18" i="30"/>
  <c r="P17" i="30"/>
  <c r="P16" i="30"/>
  <c r="P15" i="30"/>
  <c r="P14" i="30"/>
  <c r="P13" i="30"/>
  <c r="P12" i="30"/>
  <c r="P11" i="30"/>
  <c r="P10" i="30"/>
  <c r="P9" i="30"/>
  <c r="P8" i="30"/>
  <c r="T20" i="30"/>
  <c r="T19" i="30"/>
  <c r="T18" i="30"/>
  <c r="T17" i="30"/>
  <c r="T16" i="30"/>
  <c r="T15" i="30"/>
  <c r="T14" i="30"/>
  <c r="T13" i="30"/>
  <c r="T12" i="30"/>
  <c r="T11" i="30"/>
  <c r="T10" i="30"/>
  <c r="T9" i="30"/>
  <c r="T8" i="30"/>
  <c r="X20" i="30"/>
  <c r="X19" i="30"/>
  <c r="X18" i="30"/>
  <c r="X17" i="30"/>
  <c r="X16" i="30"/>
  <c r="X15" i="30"/>
  <c r="X14" i="30"/>
  <c r="X13" i="30"/>
  <c r="X12" i="30"/>
  <c r="X11" i="30"/>
  <c r="X10" i="30"/>
  <c r="X9" i="30"/>
  <c r="X8" i="30"/>
  <c r="Q5" i="30"/>
  <c r="S5" i="30"/>
  <c r="U5" i="30"/>
  <c r="W5" i="30"/>
  <c r="Y5" i="30"/>
  <c r="E6" i="30"/>
  <c r="AA6" i="30" s="1"/>
  <c r="G6" i="30"/>
  <c r="I6" i="30"/>
  <c r="K6" i="30"/>
  <c r="M6" i="30"/>
  <c r="O6" i="30"/>
  <c r="Q6" i="30"/>
  <c r="S6" i="30"/>
  <c r="U6" i="30"/>
  <c r="W6" i="30"/>
  <c r="Y6" i="30"/>
  <c r="E7" i="30"/>
  <c r="AA7" i="30" s="1"/>
  <c r="I7" i="30"/>
  <c r="M7" i="30"/>
  <c r="F20" i="30"/>
  <c r="F19" i="30"/>
  <c r="F18" i="30"/>
  <c r="F17" i="30"/>
  <c r="F16" i="30"/>
  <c r="F15" i="30"/>
  <c r="F14" i="30"/>
  <c r="F13" i="30"/>
  <c r="F12" i="30"/>
  <c r="F11" i="30"/>
  <c r="F10" i="30"/>
  <c r="F9" i="30"/>
  <c r="F8" i="30"/>
  <c r="J20" i="30"/>
  <c r="J19" i="30"/>
  <c r="J18" i="30"/>
  <c r="J17" i="30"/>
  <c r="J16" i="30"/>
  <c r="J15" i="30"/>
  <c r="J14" i="30"/>
  <c r="J13" i="30"/>
  <c r="J12" i="30"/>
  <c r="J11" i="30"/>
  <c r="J10" i="30"/>
  <c r="J9" i="30"/>
  <c r="J8" i="30"/>
  <c r="N20" i="30"/>
  <c r="N19" i="30"/>
  <c r="N18" i="30"/>
  <c r="N17" i="30"/>
  <c r="N16" i="30"/>
  <c r="N15" i="30"/>
  <c r="N14" i="30"/>
  <c r="N13" i="30"/>
  <c r="N12" i="30"/>
  <c r="N11" i="30"/>
  <c r="N10" i="30"/>
  <c r="N9" i="30"/>
  <c r="N8" i="30"/>
  <c r="R20" i="30"/>
  <c r="R19" i="30"/>
  <c r="R18" i="30"/>
  <c r="R17" i="30"/>
  <c r="R16" i="30"/>
  <c r="R15" i="30"/>
  <c r="R14" i="30"/>
  <c r="R13" i="30"/>
  <c r="R12" i="30"/>
  <c r="R11" i="30"/>
  <c r="R10" i="30"/>
  <c r="R9" i="30"/>
  <c r="R8" i="30"/>
  <c r="V20" i="30"/>
  <c r="V19" i="30"/>
  <c r="V18" i="30"/>
  <c r="V17" i="30"/>
  <c r="V16" i="30"/>
  <c r="V15" i="30"/>
  <c r="V14" i="30"/>
  <c r="V13" i="30"/>
  <c r="V12" i="30"/>
  <c r="V11" i="30"/>
  <c r="V10" i="30"/>
  <c r="V9" i="30"/>
  <c r="V8" i="30"/>
  <c r="E20" i="30"/>
  <c r="AA20" i="30" s="1"/>
  <c r="E19" i="30"/>
  <c r="AA19" i="30" s="1"/>
  <c r="E18" i="30"/>
  <c r="AA18" i="30" s="1"/>
  <c r="E17" i="30"/>
  <c r="AA17" i="30" s="1"/>
  <c r="E16" i="30"/>
  <c r="AA16" i="30" s="1"/>
  <c r="E15" i="30"/>
  <c r="AA15" i="30" s="1"/>
  <c r="E14" i="30"/>
  <c r="AA14" i="30" s="1"/>
  <c r="E13" i="30"/>
  <c r="AA13" i="30" s="1"/>
  <c r="E12" i="30"/>
  <c r="AA12" i="30" s="1"/>
  <c r="E11" i="30"/>
  <c r="AA11" i="30" s="1"/>
  <c r="E10" i="30"/>
  <c r="AA10" i="30" s="1"/>
  <c r="E9" i="30"/>
  <c r="AA9" i="30" s="1"/>
  <c r="G20" i="30"/>
  <c r="G19" i="30"/>
  <c r="G18" i="30"/>
  <c r="G17" i="30"/>
  <c r="G16" i="30"/>
  <c r="G15" i="30"/>
  <c r="G14" i="30"/>
  <c r="G13" i="30"/>
  <c r="G12" i="30"/>
  <c r="G11" i="30"/>
  <c r="G10" i="30"/>
  <c r="G9" i="30"/>
  <c r="I20" i="30"/>
  <c r="I19" i="30"/>
  <c r="I18" i="30"/>
  <c r="I17" i="30"/>
  <c r="I16" i="30"/>
  <c r="I15" i="30"/>
  <c r="I14" i="30"/>
  <c r="I13" i="30"/>
  <c r="I12" i="30"/>
  <c r="I11" i="30"/>
  <c r="I10" i="30"/>
  <c r="I9" i="30"/>
  <c r="K20" i="30"/>
  <c r="K19" i="30"/>
  <c r="K18" i="30"/>
  <c r="K17" i="30"/>
  <c r="K16" i="30"/>
  <c r="K15" i="30"/>
  <c r="K14" i="30"/>
  <c r="K13" i="30"/>
  <c r="K12" i="30"/>
  <c r="K11" i="30"/>
  <c r="K10" i="30"/>
  <c r="K9" i="30"/>
  <c r="M20" i="30"/>
  <c r="M19" i="30"/>
  <c r="M18" i="30"/>
  <c r="M17" i="30"/>
  <c r="M16" i="30"/>
  <c r="M15" i="30"/>
  <c r="M14" i="30"/>
  <c r="M13" i="30"/>
  <c r="M12" i="30"/>
  <c r="M11" i="30"/>
  <c r="M10" i="30"/>
  <c r="M9" i="30"/>
  <c r="O20" i="30"/>
  <c r="O19" i="30"/>
  <c r="O18" i="30"/>
  <c r="O17" i="30"/>
  <c r="O16" i="30"/>
  <c r="O15" i="30"/>
  <c r="O14" i="30"/>
  <c r="O13" i="30"/>
  <c r="O12" i="30"/>
  <c r="O11" i="30"/>
  <c r="O10" i="30"/>
  <c r="O9" i="30"/>
  <c r="O8" i="30"/>
  <c r="Q20" i="30"/>
  <c r="Q19" i="30"/>
  <c r="Q18" i="30"/>
  <c r="Q17" i="30"/>
  <c r="Q16" i="30"/>
  <c r="Q15" i="30"/>
  <c r="Q14" i="30"/>
  <c r="Q13" i="30"/>
  <c r="Q12" i="30"/>
  <c r="Q11" i="30"/>
  <c r="Q10" i="30"/>
  <c r="Q9" i="30"/>
  <c r="Q8" i="30"/>
  <c r="S20" i="30"/>
  <c r="S19" i="30"/>
  <c r="S18" i="30"/>
  <c r="S17" i="30"/>
  <c r="S16" i="30"/>
  <c r="S15" i="30"/>
  <c r="S14" i="30"/>
  <c r="S13" i="30"/>
  <c r="S12" i="30"/>
  <c r="S11" i="30"/>
  <c r="S10" i="30"/>
  <c r="S9" i="30"/>
  <c r="S8" i="30"/>
  <c r="U20" i="30"/>
  <c r="U19" i="30"/>
  <c r="U18" i="30"/>
  <c r="U17" i="30"/>
  <c r="U16" i="30"/>
  <c r="U15" i="30"/>
  <c r="U14" i="30"/>
  <c r="U13" i="30"/>
  <c r="U12" i="30"/>
  <c r="U11" i="30"/>
  <c r="U10" i="30"/>
  <c r="U9" i="30"/>
  <c r="U8" i="30"/>
  <c r="W20" i="30"/>
  <c r="W19" i="30"/>
  <c r="W18" i="30"/>
  <c r="W17" i="30"/>
  <c r="W16" i="30"/>
  <c r="W15" i="30"/>
  <c r="W14" i="30"/>
  <c r="W13" i="30"/>
  <c r="W12" i="30"/>
  <c r="W11" i="30"/>
  <c r="W10" i="30"/>
  <c r="W9" i="30"/>
  <c r="W8" i="30"/>
  <c r="Y20" i="30"/>
  <c r="Y19" i="30"/>
  <c r="Y18" i="30"/>
  <c r="Y17" i="30"/>
  <c r="Y16" i="30"/>
  <c r="Y15" i="30"/>
  <c r="Y14" i="30"/>
  <c r="Y13" i="30"/>
  <c r="Y12" i="30"/>
  <c r="Y11" i="30"/>
  <c r="Y10" i="30"/>
  <c r="Y9" i="30"/>
  <c r="Y8" i="30"/>
  <c r="F4" i="30"/>
  <c r="F22" i="30" s="1"/>
  <c r="H4" i="30"/>
  <c r="H22" i="30" s="1"/>
  <c r="J4" i="30"/>
  <c r="J22" i="30" s="1"/>
  <c r="L4" i="30"/>
  <c r="L22" i="30" s="1"/>
  <c r="N4" i="30"/>
  <c r="N22" i="30" s="1"/>
  <c r="P4" i="30"/>
  <c r="P22" i="30" s="1"/>
  <c r="R4" i="30"/>
  <c r="R22" i="30" s="1"/>
  <c r="T4" i="30"/>
  <c r="T22" i="30" s="1"/>
  <c r="V4" i="30"/>
  <c r="V22" i="30" s="1"/>
  <c r="X4" i="30"/>
  <c r="X22" i="30" s="1"/>
  <c r="F5" i="30"/>
  <c r="H5" i="30"/>
  <c r="J5" i="30"/>
  <c r="L5" i="30"/>
  <c r="N5" i="30"/>
  <c r="P5" i="30"/>
  <c r="R5" i="30"/>
  <c r="T5" i="30"/>
  <c r="V5" i="30"/>
  <c r="X5" i="30"/>
  <c r="F6" i="30"/>
  <c r="H6" i="30"/>
  <c r="J6" i="30"/>
  <c r="L6" i="30"/>
  <c r="N6" i="30"/>
  <c r="P6" i="30"/>
  <c r="R6" i="30"/>
  <c r="T6" i="30"/>
  <c r="V6" i="30"/>
  <c r="X6" i="30"/>
  <c r="F7" i="30"/>
  <c r="H7" i="30"/>
  <c r="J7" i="30"/>
  <c r="L7" i="30"/>
  <c r="N7" i="30"/>
  <c r="P7" i="30"/>
  <c r="R7" i="30"/>
  <c r="T7" i="30"/>
  <c r="V7" i="30"/>
  <c r="X7" i="30"/>
  <c r="G8" i="30"/>
  <c r="K8" i="30"/>
  <c r="E4" i="40"/>
  <c r="AA4" i="40" s="1"/>
  <c r="AA22" i="40" s="1"/>
  <c r="G4" i="40"/>
  <c r="G22" i="40" s="1"/>
  <c r="I4" i="40"/>
  <c r="I22" i="40" s="1"/>
  <c r="K4" i="40"/>
  <c r="K22" i="40" s="1"/>
  <c r="M4" i="40"/>
  <c r="M22" i="40" s="1"/>
  <c r="O4" i="40"/>
  <c r="O22" i="40" s="1"/>
  <c r="Q4" i="40"/>
  <c r="Q22" i="40" s="1"/>
  <c r="S4" i="40"/>
  <c r="S22" i="40" s="1"/>
  <c r="U4" i="40"/>
  <c r="U22" i="40" s="1"/>
  <c r="W4" i="40"/>
  <c r="W22" i="40" s="1"/>
  <c r="Y4" i="40"/>
  <c r="Y22" i="40" s="1"/>
  <c r="E5" i="40"/>
  <c r="AA5" i="40" s="1"/>
  <c r="G5" i="40"/>
  <c r="I5" i="40"/>
  <c r="K5" i="40"/>
  <c r="M5" i="40"/>
  <c r="O5" i="40"/>
  <c r="Q5" i="40"/>
  <c r="S5" i="40"/>
  <c r="U5" i="40"/>
  <c r="W5" i="40"/>
  <c r="Y5" i="40"/>
  <c r="E6" i="40"/>
  <c r="AA6" i="40" s="1"/>
  <c r="G6" i="40"/>
  <c r="I6" i="40"/>
  <c r="K6" i="40"/>
  <c r="M6" i="40"/>
  <c r="O6" i="40"/>
  <c r="Q6" i="40"/>
  <c r="S6" i="40"/>
  <c r="U6" i="40"/>
  <c r="W6" i="40"/>
  <c r="Y6" i="40"/>
  <c r="E7" i="40"/>
  <c r="AA7" i="40" s="1"/>
  <c r="G7" i="40"/>
  <c r="I7" i="40"/>
  <c r="K7" i="40"/>
  <c r="M7" i="40"/>
  <c r="O7" i="40"/>
  <c r="Q7" i="40"/>
  <c r="S7" i="40"/>
  <c r="U7" i="40"/>
  <c r="W7" i="40"/>
  <c r="Y7" i="40"/>
  <c r="E8" i="40"/>
  <c r="AA8" i="40" s="1"/>
  <c r="G8" i="40"/>
  <c r="I8" i="40"/>
  <c r="K8" i="40"/>
  <c r="M8" i="40"/>
  <c r="O8" i="40"/>
  <c r="Q8" i="40"/>
  <c r="S8" i="40"/>
  <c r="U8" i="40"/>
  <c r="W8" i="40"/>
  <c r="Y8" i="40"/>
  <c r="E9" i="40"/>
  <c r="AA9" i="40" s="1"/>
  <c r="G9" i="40"/>
  <c r="I9" i="40"/>
  <c r="K9" i="40"/>
  <c r="M9" i="40"/>
  <c r="O9" i="40"/>
  <c r="Q9" i="40"/>
  <c r="S9" i="40"/>
  <c r="U9" i="40"/>
  <c r="W9" i="40"/>
  <c r="Y9" i="40"/>
  <c r="E10" i="40"/>
  <c r="AA10" i="40" s="1"/>
  <c r="G10" i="40"/>
  <c r="I10" i="40"/>
  <c r="K10" i="40"/>
  <c r="M10" i="40"/>
  <c r="O10" i="40"/>
  <c r="Q10" i="40"/>
  <c r="S10" i="40"/>
  <c r="U10" i="40"/>
  <c r="W10" i="40"/>
  <c r="Y10" i="40"/>
  <c r="E11" i="40"/>
  <c r="AA11" i="40" s="1"/>
  <c r="G11" i="40"/>
  <c r="I11" i="40"/>
  <c r="K11" i="40"/>
  <c r="M11" i="40"/>
  <c r="O11" i="40"/>
  <c r="Q11" i="40"/>
  <c r="S11" i="40"/>
  <c r="U11" i="40"/>
  <c r="W11" i="40"/>
  <c r="Y11" i="40"/>
  <c r="E12" i="40"/>
  <c r="AA12" i="40" s="1"/>
  <c r="G12" i="40"/>
  <c r="I12" i="40"/>
  <c r="K12" i="40"/>
  <c r="M12" i="40"/>
  <c r="O12" i="40"/>
  <c r="Q12" i="40"/>
  <c r="S12" i="40"/>
  <c r="U12" i="40"/>
  <c r="W12" i="40"/>
  <c r="Y12" i="40"/>
  <c r="E13" i="40"/>
  <c r="AA13" i="40" s="1"/>
  <c r="G13" i="40"/>
  <c r="I13" i="40"/>
  <c r="K13" i="40"/>
  <c r="M13" i="40"/>
  <c r="O13" i="40"/>
  <c r="Q13" i="40"/>
  <c r="S13" i="40"/>
  <c r="U13" i="40"/>
  <c r="W13" i="40"/>
  <c r="Y13" i="40"/>
  <c r="E14" i="40"/>
  <c r="AA14" i="40" s="1"/>
  <c r="G14" i="40"/>
  <c r="I14" i="40"/>
  <c r="K14" i="40"/>
  <c r="M14" i="40"/>
  <c r="O14" i="40"/>
  <c r="Q14" i="40"/>
  <c r="S14" i="40"/>
  <c r="U14" i="40"/>
  <c r="W14" i="40"/>
  <c r="Y14" i="40"/>
  <c r="E15" i="40"/>
  <c r="AA15" i="40" s="1"/>
  <c r="G15" i="40"/>
  <c r="I15" i="40"/>
  <c r="K15" i="40"/>
  <c r="M15" i="40"/>
  <c r="O15" i="40"/>
  <c r="Q15" i="40"/>
  <c r="S15" i="40"/>
  <c r="U15" i="40"/>
  <c r="W15" i="40"/>
  <c r="Y15" i="40"/>
  <c r="E16" i="40"/>
  <c r="AA16" i="40" s="1"/>
  <c r="G16" i="40"/>
  <c r="I16" i="40"/>
  <c r="K16" i="40"/>
  <c r="M16" i="40"/>
  <c r="O16" i="40"/>
  <c r="Q16" i="40"/>
  <c r="S16" i="40"/>
  <c r="U16" i="40"/>
  <c r="W16" i="40"/>
  <c r="Y16" i="40"/>
  <c r="E17" i="40"/>
  <c r="AA17" i="40" s="1"/>
  <c r="G17" i="40"/>
  <c r="I17" i="40"/>
  <c r="K17" i="40"/>
  <c r="M17" i="40"/>
  <c r="O17" i="40"/>
  <c r="Q17" i="40"/>
  <c r="S17" i="40"/>
  <c r="U17" i="40"/>
  <c r="W17" i="40"/>
  <c r="Y17" i="40"/>
  <c r="E18" i="40"/>
  <c r="AA18" i="40" s="1"/>
  <c r="G18" i="40"/>
  <c r="I18" i="40"/>
  <c r="K18" i="40"/>
  <c r="M18" i="40"/>
  <c r="O18" i="40"/>
  <c r="Q18" i="40"/>
  <c r="S18" i="40"/>
  <c r="U18" i="40"/>
  <c r="W18" i="40"/>
  <c r="Y18" i="40"/>
  <c r="E19" i="40"/>
  <c r="AA19" i="40" s="1"/>
  <c r="G19" i="40"/>
  <c r="I19" i="40"/>
  <c r="K19" i="40"/>
  <c r="M19" i="40"/>
  <c r="O19" i="40"/>
  <c r="Q19" i="40"/>
  <c r="S19" i="40"/>
  <c r="U19" i="40"/>
  <c r="W19" i="40"/>
  <c r="Y19" i="40"/>
  <c r="F5" i="40"/>
  <c r="H5" i="40"/>
  <c r="J5" i="40"/>
  <c r="L5" i="40"/>
  <c r="N5" i="40"/>
  <c r="P5" i="40"/>
  <c r="R5" i="40"/>
  <c r="T5" i="40"/>
  <c r="V5" i="40"/>
  <c r="X5" i="40"/>
  <c r="F6" i="40"/>
  <c r="H6" i="40"/>
  <c r="J6" i="40"/>
  <c r="L6" i="40"/>
  <c r="N6" i="40"/>
  <c r="P6" i="40"/>
  <c r="R6" i="40"/>
  <c r="T6" i="40"/>
  <c r="V6" i="40"/>
  <c r="X6" i="40"/>
  <c r="F7" i="40"/>
  <c r="H7" i="40"/>
  <c r="J7" i="40"/>
  <c r="L7" i="40"/>
  <c r="N7" i="40"/>
  <c r="P7" i="40"/>
  <c r="R7" i="40"/>
  <c r="T7" i="40"/>
  <c r="V7" i="40"/>
  <c r="X7" i="40"/>
  <c r="F8" i="40"/>
  <c r="H8" i="40"/>
  <c r="J8" i="40"/>
  <c r="L8" i="40"/>
  <c r="N8" i="40"/>
  <c r="P8" i="40"/>
  <c r="R8" i="40"/>
  <c r="T8" i="40"/>
  <c r="V8" i="40"/>
  <c r="X8" i="40"/>
  <c r="F9" i="40"/>
  <c r="H9" i="40"/>
  <c r="J9" i="40"/>
  <c r="L9" i="40"/>
  <c r="N9" i="40"/>
  <c r="P9" i="40"/>
  <c r="R9" i="40"/>
  <c r="T9" i="40"/>
  <c r="V9" i="40"/>
  <c r="X9" i="40"/>
  <c r="F10" i="40"/>
  <c r="H10" i="40"/>
  <c r="J10" i="40"/>
  <c r="L10" i="40"/>
  <c r="N10" i="40"/>
  <c r="P10" i="40"/>
  <c r="R10" i="40"/>
  <c r="T10" i="40"/>
  <c r="V10" i="40"/>
  <c r="X10" i="40"/>
  <c r="F11" i="40"/>
  <c r="H11" i="40"/>
  <c r="J11" i="40"/>
  <c r="L11" i="40"/>
  <c r="N11" i="40"/>
  <c r="P11" i="40"/>
  <c r="R11" i="40"/>
  <c r="T11" i="40"/>
  <c r="V11" i="40"/>
  <c r="X11" i="40"/>
  <c r="F12" i="40"/>
  <c r="H12" i="40"/>
  <c r="J12" i="40"/>
  <c r="L12" i="40"/>
  <c r="N12" i="40"/>
  <c r="P12" i="40"/>
  <c r="R12" i="40"/>
  <c r="T12" i="40"/>
  <c r="V12" i="40"/>
  <c r="X12" i="40"/>
  <c r="F13" i="40"/>
  <c r="H13" i="40"/>
  <c r="J13" i="40"/>
  <c r="L13" i="40"/>
  <c r="N13" i="40"/>
  <c r="P13" i="40"/>
  <c r="R13" i="40"/>
  <c r="T13" i="40"/>
  <c r="V13" i="40"/>
  <c r="X13" i="40"/>
  <c r="F14" i="40"/>
  <c r="H14" i="40"/>
  <c r="J14" i="40"/>
  <c r="L14" i="40"/>
  <c r="N14" i="40"/>
  <c r="P14" i="40"/>
  <c r="R14" i="40"/>
  <c r="T14" i="40"/>
  <c r="V14" i="40"/>
  <c r="X14" i="40"/>
  <c r="F15" i="40"/>
  <c r="H15" i="40"/>
  <c r="J15" i="40"/>
  <c r="L15" i="40"/>
  <c r="N15" i="40"/>
  <c r="P15" i="40"/>
  <c r="R15" i="40"/>
  <c r="T15" i="40"/>
  <c r="V15" i="40"/>
  <c r="X15" i="40"/>
  <c r="F16" i="40"/>
  <c r="H16" i="40"/>
  <c r="J16" i="40"/>
  <c r="L16" i="40"/>
  <c r="N16" i="40"/>
  <c r="P16" i="40"/>
  <c r="R16" i="40"/>
  <c r="T16" i="40"/>
  <c r="V16" i="40"/>
  <c r="X16" i="40"/>
  <c r="F17" i="40"/>
  <c r="H17" i="40"/>
  <c r="J17" i="40"/>
  <c r="L17" i="40"/>
  <c r="N17" i="40"/>
  <c r="P17" i="40"/>
  <c r="R17" i="40"/>
  <c r="T17" i="40"/>
  <c r="V17" i="40"/>
  <c r="X17" i="40"/>
  <c r="F18" i="40"/>
  <c r="H18" i="40"/>
  <c r="J18" i="40"/>
  <c r="L18" i="40"/>
  <c r="N18" i="40"/>
  <c r="P18" i="40"/>
  <c r="R18" i="40"/>
  <c r="T18" i="40"/>
  <c r="V18" i="40"/>
  <c r="X18" i="40"/>
  <c r="F19" i="40"/>
  <c r="H19" i="40"/>
  <c r="J19" i="40"/>
  <c r="L19" i="40"/>
  <c r="N19" i="40"/>
  <c r="P19" i="40"/>
  <c r="R19" i="40"/>
  <c r="T19" i="40"/>
  <c r="V19" i="40"/>
  <c r="X19" i="40"/>
  <c r="D37" i="2"/>
  <c r="AD37" i="2" s="1"/>
  <c r="F24" i="21"/>
  <c r="F26" i="21"/>
  <c r="F25" i="21"/>
  <c r="D21" i="2"/>
  <c r="AD21" i="2" s="1"/>
  <c r="E3" i="17"/>
  <c r="E4" i="17"/>
  <c r="AA4" i="17" s="1"/>
  <c r="AA22" i="17" s="1"/>
  <c r="F4" i="17"/>
  <c r="F22" i="17" s="1"/>
  <c r="G4" i="17"/>
  <c r="G22" i="17" s="1"/>
  <c r="H4" i="17"/>
  <c r="H22" i="17" s="1"/>
  <c r="I4" i="17"/>
  <c r="I22" i="17" s="1"/>
  <c r="J4" i="17"/>
  <c r="J22" i="17" s="1"/>
  <c r="K4" i="17"/>
  <c r="K22" i="17" s="1"/>
  <c r="L4" i="17"/>
  <c r="L22" i="17" s="1"/>
  <c r="M4" i="17"/>
  <c r="M22" i="17" s="1"/>
  <c r="N4" i="17"/>
  <c r="N22" i="17" s="1"/>
  <c r="O4" i="17"/>
  <c r="O22" i="17" s="1"/>
  <c r="P4" i="17"/>
  <c r="P22" i="17" s="1"/>
  <c r="Q4" i="17"/>
  <c r="Q22" i="17" s="1"/>
  <c r="R4" i="17"/>
  <c r="R22" i="17" s="1"/>
  <c r="S4" i="17"/>
  <c r="S22" i="17" s="1"/>
  <c r="T4" i="17"/>
  <c r="T22" i="17" s="1"/>
  <c r="U4" i="17"/>
  <c r="U22" i="17" s="1"/>
  <c r="V4" i="17"/>
  <c r="V22" i="17" s="1"/>
  <c r="W4" i="17"/>
  <c r="W22" i="17" s="1"/>
  <c r="X4" i="17"/>
  <c r="X22" i="17" s="1"/>
  <c r="Y4" i="17"/>
  <c r="Y22" i="17" s="1"/>
  <c r="Z4" i="17"/>
  <c r="Z22" i="17" s="1"/>
  <c r="AB4" i="17"/>
  <c r="E5" i="17"/>
  <c r="AA5" i="17" s="1"/>
  <c r="F5" i="17"/>
  <c r="G5" i="17"/>
  <c r="H5" i="17"/>
  <c r="I5" i="17"/>
  <c r="J5" i="17"/>
  <c r="K5" i="17"/>
  <c r="L5" i="17"/>
  <c r="M5" i="17"/>
  <c r="N5" i="17"/>
  <c r="O5" i="17"/>
  <c r="P5" i="17"/>
  <c r="Q5" i="17"/>
  <c r="R5" i="17"/>
  <c r="S5" i="17"/>
  <c r="T5" i="17"/>
  <c r="U5" i="17"/>
  <c r="V5" i="17"/>
  <c r="W5" i="17"/>
  <c r="X5" i="17"/>
  <c r="Y5" i="17"/>
  <c r="Z5" i="17"/>
  <c r="AB5" i="17"/>
  <c r="E6" i="17"/>
  <c r="AA6" i="17" s="1"/>
  <c r="F6" i="17"/>
  <c r="G6" i="17"/>
  <c r="H6" i="17"/>
  <c r="I6" i="17"/>
  <c r="J6" i="17"/>
  <c r="K6" i="17"/>
  <c r="L6" i="17"/>
  <c r="M6" i="17"/>
  <c r="N6" i="17"/>
  <c r="O6" i="17"/>
  <c r="P6" i="17"/>
  <c r="Q6" i="17"/>
  <c r="R6" i="17"/>
  <c r="S6" i="17"/>
  <c r="T6" i="17"/>
  <c r="U6" i="17"/>
  <c r="V6" i="17"/>
  <c r="W6" i="17"/>
  <c r="X6" i="17"/>
  <c r="Y6" i="17"/>
  <c r="Z6" i="17"/>
  <c r="AB6" i="17"/>
  <c r="E7" i="17"/>
  <c r="AA7" i="17" s="1"/>
  <c r="F7" i="17"/>
  <c r="G7" i="17"/>
  <c r="H7" i="17"/>
  <c r="I7" i="17"/>
  <c r="J7" i="17"/>
  <c r="K7" i="17"/>
  <c r="L7" i="17"/>
  <c r="M7" i="17"/>
  <c r="N7" i="17"/>
  <c r="O7" i="17"/>
  <c r="P7" i="17"/>
  <c r="Q7" i="17"/>
  <c r="R7" i="17"/>
  <c r="S7" i="17"/>
  <c r="T7" i="17"/>
  <c r="U7" i="17"/>
  <c r="V7" i="17"/>
  <c r="W7" i="17"/>
  <c r="X7" i="17"/>
  <c r="Y7" i="17"/>
  <c r="Z7" i="17"/>
  <c r="AB7" i="17"/>
  <c r="E8" i="17"/>
  <c r="AA8" i="17" s="1"/>
  <c r="F8" i="17"/>
  <c r="G8" i="17"/>
  <c r="H8" i="17"/>
  <c r="I8" i="17"/>
  <c r="J8" i="17"/>
  <c r="K8" i="17"/>
  <c r="L8" i="17"/>
  <c r="M8" i="17"/>
  <c r="N8" i="17"/>
  <c r="O8" i="17"/>
  <c r="P8" i="17"/>
  <c r="Q8" i="17"/>
  <c r="R8" i="17"/>
  <c r="S8" i="17"/>
  <c r="T8" i="17"/>
  <c r="U8" i="17"/>
  <c r="V8" i="17"/>
  <c r="W8" i="17"/>
  <c r="X8" i="17"/>
  <c r="Y8" i="17"/>
  <c r="Z8" i="17"/>
  <c r="AB8" i="17"/>
  <c r="E9" i="17"/>
  <c r="AA9" i="17" s="1"/>
  <c r="F9" i="17"/>
  <c r="G9" i="17"/>
  <c r="H9" i="17"/>
  <c r="I9" i="17"/>
  <c r="J9" i="17"/>
  <c r="K9" i="17"/>
  <c r="L9" i="17"/>
  <c r="M9" i="17"/>
  <c r="N9" i="17"/>
  <c r="O9" i="17"/>
  <c r="P9" i="17"/>
  <c r="Q9" i="17"/>
  <c r="R9" i="17"/>
  <c r="S9" i="17"/>
  <c r="T9" i="17"/>
  <c r="U9" i="17"/>
  <c r="V9" i="17"/>
  <c r="W9" i="17"/>
  <c r="X9" i="17"/>
  <c r="Y9" i="17"/>
  <c r="Z9" i="17"/>
  <c r="AB9" i="17"/>
  <c r="E10" i="17"/>
  <c r="AA10" i="17" s="1"/>
  <c r="F10" i="17"/>
  <c r="G10" i="17"/>
  <c r="H10" i="17"/>
  <c r="I10" i="17"/>
  <c r="J10" i="17"/>
  <c r="K10" i="17"/>
  <c r="L10" i="17"/>
  <c r="M10" i="17"/>
  <c r="N10" i="17"/>
  <c r="O10" i="17"/>
  <c r="P10" i="17"/>
  <c r="Q10" i="17"/>
  <c r="R10" i="17"/>
  <c r="S10" i="17"/>
  <c r="T10" i="17"/>
  <c r="U10" i="17"/>
  <c r="V10" i="17"/>
  <c r="W10" i="17"/>
  <c r="X10" i="17"/>
  <c r="Y10" i="17"/>
  <c r="Z10" i="17"/>
  <c r="AB10" i="17"/>
  <c r="E11" i="17"/>
  <c r="AA11" i="17" s="1"/>
  <c r="F11" i="17"/>
  <c r="G11" i="17"/>
  <c r="H11" i="17"/>
  <c r="I11" i="17"/>
  <c r="J11" i="17"/>
  <c r="K11" i="17"/>
  <c r="L11" i="17"/>
  <c r="M11" i="17"/>
  <c r="N11" i="17"/>
  <c r="O11" i="17"/>
  <c r="P11" i="17"/>
  <c r="Q11" i="17"/>
  <c r="R11" i="17"/>
  <c r="S11" i="17"/>
  <c r="T11" i="17"/>
  <c r="U11" i="17"/>
  <c r="V11" i="17"/>
  <c r="W11" i="17"/>
  <c r="X11" i="17"/>
  <c r="Y11" i="17"/>
  <c r="Z11" i="17"/>
  <c r="AB11" i="17"/>
  <c r="E12" i="17"/>
  <c r="AA12" i="17" s="1"/>
  <c r="F12" i="17"/>
  <c r="G12" i="17"/>
  <c r="H12" i="17"/>
  <c r="I12" i="17"/>
  <c r="J12" i="17"/>
  <c r="K12" i="17"/>
  <c r="L12" i="17"/>
  <c r="M12" i="17"/>
  <c r="N12" i="17"/>
  <c r="O12" i="17"/>
  <c r="P12" i="17"/>
  <c r="Q12" i="17"/>
  <c r="R12" i="17"/>
  <c r="S12" i="17"/>
  <c r="T12" i="17"/>
  <c r="U12" i="17"/>
  <c r="V12" i="17"/>
  <c r="W12" i="17"/>
  <c r="X12" i="17"/>
  <c r="Y12" i="17"/>
  <c r="Z12" i="17"/>
  <c r="AB12" i="17"/>
  <c r="E13" i="17"/>
  <c r="AA13" i="17" s="1"/>
  <c r="F13" i="17"/>
  <c r="G13" i="17"/>
  <c r="H13" i="17"/>
  <c r="I13" i="17"/>
  <c r="J13" i="17"/>
  <c r="K13" i="17"/>
  <c r="L13" i="17"/>
  <c r="M13" i="17"/>
  <c r="N13" i="17"/>
  <c r="O13" i="17"/>
  <c r="P13" i="17"/>
  <c r="Q13" i="17"/>
  <c r="R13" i="17"/>
  <c r="S13" i="17"/>
  <c r="T13" i="17"/>
  <c r="U13" i="17"/>
  <c r="V13" i="17"/>
  <c r="W13" i="17"/>
  <c r="X13" i="17"/>
  <c r="Y13" i="17"/>
  <c r="Z13" i="17"/>
  <c r="AB13" i="17"/>
  <c r="E14" i="17"/>
  <c r="AA14" i="17" s="1"/>
  <c r="F14" i="17"/>
  <c r="G14" i="17"/>
  <c r="H14" i="17"/>
  <c r="I14" i="17"/>
  <c r="J14" i="17"/>
  <c r="K14" i="17"/>
  <c r="L14" i="17"/>
  <c r="M14" i="17"/>
  <c r="N14" i="17"/>
  <c r="O14" i="17"/>
  <c r="P14" i="17"/>
  <c r="Q14" i="17"/>
  <c r="R14" i="17"/>
  <c r="S14" i="17"/>
  <c r="T14" i="17"/>
  <c r="U14" i="17"/>
  <c r="V14" i="17"/>
  <c r="W14" i="17"/>
  <c r="X14" i="17"/>
  <c r="Y14" i="17"/>
  <c r="Z14" i="17"/>
  <c r="AB14" i="17"/>
  <c r="E15" i="17"/>
  <c r="AA15" i="17" s="1"/>
  <c r="F15" i="17"/>
  <c r="G15" i="17"/>
  <c r="H15" i="17"/>
  <c r="I15" i="17"/>
  <c r="J15" i="17"/>
  <c r="K15" i="17"/>
  <c r="L15" i="17"/>
  <c r="M15" i="17"/>
  <c r="N15" i="17"/>
  <c r="O15" i="17"/>
  <c r="P15" i="17"/>
  <c r="Q15" i="17"/>
  <c r="R15" i="17"/>
  <c r="S15" i="17"/>
  <c r="T15" i="17"/>
  <c r="U15" i="17"/>
  <c r="V15" i="17"/>
  <c r="W15" i="17"/>
  <c r="X15" i="17"/>
  <c r="Y15" i="17"/>
  <c r="Z15" i="17"/>
  <c r="AB15" i="17"/>
  <c r="E16" i="17"/>
  <c r="AA16" i="17" s="1"/>
  <c r="F16" i="17"/>
  <c r="G16" i="17"/>
  <c r="H16" i="17"/>
  <c r="I16" i="17"/>
  <c r="J16" i="17"/>
  <c r="K16" i="17"/>
  <c r="L16" i="17"/>
  <c r="M16" i="17"/>
  <c r="N16" i="17"/>
  <c r="O16" i="17"/>
  <c r="P16" i="17"/>
  <c r="Q16" i="17"/>
  <c r="R16" i="17"/>
  <c r="S16" i="17"/>
  <c r="T16" i="17"/>
  <c r="U16" i="17"/>
  <c r="V16" i="17"/>
  <c r="W16" i="17"/>
  <c r="X16" i="17"/>
  <c r="Y16" i="17"/>
  <c r="Z16" i="17"/>
  <c r="AB16" i="17"/>
  <c r="E17" i="17"/>
  <c r="AA17" i="17" s="1"/>
  <c r="F17" i="17"/>
  <c r="G17" i="17"/>
  <c r="H17" i="17"/>
  <c r="I17" i="17"/>
  <c r="J17" i="17"/>
  <c r="K17" i="17"/>
  <c r="L17" i="17"/>
  <c r="M17" i="17"/>
  <c r="N17" i="17"/>
  <c r="O17" i="17"/>
  <c r="P17" i="17"/>
  <c r="Q17" i="17"/>
  <c r="R17" i="17"/>
  <c r="S17" i="17"/>
  <c r="T17" i="17"/>
  <c r="U17" i="17"/>
  <c r="V17" i="17"/>
  <c r="W17" i="17"/>
  <c r="X17" i="17"/>
  <c r="Y17" i="17"/>
  <c r="Z17" i="17"/>
  <c r="AB17" i="17"/>
  <c r="E18" i="17"/>
  <c r="AA18" i="17" s="1"/>
  <c r="F18" i="17"/>
  <c r="G18" i="17"/>
  <c r="H18" i="17"/>
  <c r="I18" i="17"/>
  <c r="J18" i="17"/>
  <c r="K18" i="17"/>
  <c r="L18" i="17"/>
  <c r="M18" i="17"/>
  <c r="N18" i="17"/>
  <c r="O18" i="17"/>
  <c r="P18" i="17"/>
  <c r="Q18" i="17"/>
  <c r="R18" i="17"/>
  <c r="S18" i="17"/>
  <c r="T18" i="17"/>
  <c r="U18" i="17"/>
  <c r="V18" i="17"/>
  <c r="W18" i="17"/>
  <c r="X18" i="17"/>
  <c r="Y18" i="17"/>
  <c r="Z18" i="17"/>
  <c r="AB18" i="17"/>
  <c r="E19" i="17"/>
  <c r="AA19" i="17" s="1"/>
  <c r="F19" i="17"/>
  <c r="G19" i="17"/>
  <c r="H19" i="17"/>
  <c r="I19" i="17"/>
  <c r="J19" i="17"/>
  <c r="K19" i="17"/>
  <c r="L19" i="17"/>
  <c r="M19" i="17"/>
  <c r="N19" i="17"/>
  <c r="O19" i="17"/>
  <c r="P19" i="17"/>
  <c r="Q19" i="17"/>
  <c r="R19" i="17"/>
  <c r="S19" i="17"/>
  <c r="T19" i="17"/>
  <c r="U19" i="17"/>
  <c r="V19" i="17"/>
  <c r="W19" i="17"/>
  <c r="X19" i="17"/>
  <c r="Y19" i="17"/>
  <c r="Z19" i="17"/>
  <c r="AB19" i="17"/>
  <c r="E20" i="17"/>
  <c r="AA20" i="17" s="1"/>
  <c r="F20" i="17"/>
  <c r="G20" i="17"/>
  <c r="H20" i="17"/>
  <c r="I20" i="17"/>
  <c r="J20" i="17"/>
  <c r="K20" i="17"/>
  <c r="L20" i="17"/>
  <c r="M20" i="17"/>
  <c r="N20" i="17"/>
  <c r="O20" i="17"/>
  <c r="P20" i="17"/>
  <c r="Q20" i="17"/>
  <c r="R20" i="17"/>
  <c r="S20" i="17"/>
  <c r="T20" i="17"/>
  <c r="U20" i="17"/>
  <c r="V20" i="17"/>
  <c r="W20" i="17"/>
  <c r="X20" i="17"/>
  <c r="Y20" i="17"/>
  <c r="Z20" i="17"/>
  <c r="AB20" i="17"/>
  <c r="E24" i="17"/>
  <c r="F24" i="17"/>
  <c r="G24" i="17"/>
  <c r="H24" i="17"/>
  <c r="I24" i="17"/>
  <c r="J24" i="17"/>
  <c r="K24" i="17"/>
  <c r="L24" i="17"/>
  <c r="M24" i="17"/>
  <c r="N24" i="17"/>
  <c r="O24" i="17"/>
  <c r="P24" i="17"/>
  <c r="Q24" i="17"/>
  <c r="R24" i="17"/>
  <c r="S24" i="17"/>
  <c r="T24" i="17"/>
  <c r="U24" i="17"/>
  <c r="V24" i="17"/>
  <c r="W24" i="17"/>
  <c r="X24" i="17"/>
  <c r="Y24" i="17"/>
  <c r="Z24" i="17"/>
  <c r="AA24" i="17"/>
  <c r="E25" i="17"/>
  <c r="F25" i="17"/>
  <c r="G25" i="17"/>
  <c r="H25" i="17"/>
  <c r="I25" i="17"/>
  <c r="J25" i="17"/>
  <c r="K25" i="17"/>
  <c r="L25" i="17"/>
  <c r="M25" i="17"/>
  <c r="N25" i="17"/>
  <c r="O25" i="17"/>
  <c r="P25" i="17"/>
  <c r="Q25" i="17"/>
  <c r="R25" i="17"/>
  <c r="S25" i="17"/>
  <c r="T25" i="17"/>
  <c r="U25" i="17"/>
  <c r="V25" i="17"/>
  <c r="W25" i="17"/>
  <c r="X25" i="17"/>
  <c r="Y25" i="17"/>
  <c r="Z25" i="17"/>
  <c r="AA25" i="17"/>
  <c r="E26" i="17"/>
  <c r="F26" i="17"/>
  <c r="G26" i="17"/>
  <c r="H26" i="17"/>
  <c r="I26" i="17"/>
  <c r="J26" i="17"/>
  <c r="K26" i="17"/>
  <c r="L26" i="17"/>
  <c r="M26" i="17"/>
  <c r="N26" i="17"/>
  <c r="O26" i="17"/>
  <c r="P26" i="17"/>
  <c r="Q26" i="17"/>
  <c r="R26" i="17"/>
  <c r="S26" i="17"/>
  <c r="T26" i="17"/>
  <c r="U26" i="17"/>
  <c r="V26" i="17"/>
  <c r="W26" i="17"/>
  <c r="X26" i="17"/>
  <c r="Y26" i="17"/>
  <c r="Z26" i="17"/>
  <c r="AA26" i="17"/>
  <c r="AB7" i="34"/>
  <c r="AB6" i="34"/>
  <c r="AB13" i="34"/>
  <c r="AB12" i="34"/>
  <c r="AB15" i="34"/>
  <c r="AB20" i="34"/>
  <c r="AB8" i="34"/>
  <c r="AB16" i="34"/>
  <c r="AB10" i="34"/>
  <c r="AB4" i="34"/>
  <c r="AB11" i="34"/>
  <c r="AB17" i="34"/>
  <c r="AB18" i="34"/>
  <c r="AB5" i="34"/>
  <c r="AB14" i="34"/>
  <c r="AB19" i="34"/>
  <c r="AB9" i="34"/>
  <c r="E3" i="32"/>
  <c r="E4" i="32"/>
  <c r="AA4" i="32" s="1"/>
  <c r="AA22" i="32" s="1"/>
  <c r="F4" i="32"/>
  <c r="F22" i="32" s="1"/>
  <c r="G4" i="32"/>
  <c r="G22" i="32" s="1"/>
  <c r="H4" i="32"/>
  <c r="H22" i="32" s="1"/>
  <c r="I4" i="32"/>
  <c r="I22" i="32" s="1"/>
  <c r="J4" i="32"/>
  <c r="J22" i="32" s="1"/>
  <c r="K4" i="32"/>
  <c r="K22" i="32" s="1"/>
  <c r="L4" i="32"/>
  <c r="L22" i="32" s="1"/>
  <c r="M4" i="32"/>
  <c r="M22" i="32" s="1"/>
  <c r="N4" i="32"/>
  <c r="N22" i="32" s="1"/>
  <c r="O4" i="32"/>
  <c r="O22" i="32" s="1"/>
  <c r="P4" i="32"/>
  <c r="P22" i="32" s="1"/>
  <c r="Q4" i="32"/>
  <c r="Q22" i="32" s="1"/>
  <c r="R4" i="32"/>
  <c r="R22" i="32" s="1"/>
  <c r="S4" i="32"/>
  <c r="S22" i="32" s="1"/>
  <c r="T4" i="32"/>
  <c r="T22" i="32" s="1"/>
  <c r="U4" i="32"/>
  <c r="U22" i="32" s="1"/>
  <c r="V4" i="32"/>
  <c r="V22" i="32" s="1"/>
  <c r="W4" i="32"/>
  <c r="W22" i="32" s="1"/>
  <c r="X4" i="32"/>
  <c r="X22" i="32" s="1"/>
  <c r="Y4" i="32"/>
  <c r="Y22" i="32" s="1"/>
  <c r="Z4" i="32"/>
  <c r="Z22" i="32" s="1"/>
  <c r="AB4" i="32"/>
  <c r="E5" i="32"/>
  <c r="AA5" i="32" s="1"/>
  <c r="F5" i="32"/>
  <c r="G5" i="32"/>
  <c r="H5" i="32"/>
  <c r="I5" i="32"/>
  <c r="J5" i="32"/>
  <c r="K5" i="32"/>
  <c r="L5" i="32"/>
  <c r="M5" i="32"/>
  <c r="N5" i="32"/>
  <c r="O5" i="32"/>
  <c r="P5" i="32"/>
  <c r="Q5" i="32"/>
  <c r="R5" i="32"/>
  <c r="S5" i="32"/>
  <c r="T5" i="32"/>
  <c r="U5" i="32"/>
  <c r="V5" i="32"/>
  <c r="W5" i="32"/>
  <c r="X5" i="32"/>
  <c r="Y5" i="32"/>
  <c r="Z5" i="32"/>
  <c r="AB5" i="32"/>
  <c r="E6" i="32"/>
  <c r="AA6" i="32" s="1"/>
  <c r="F6" i="32"/>
  <c r="G6" i="32"/>
  <c r="H6" i="32"/>
  <c r="I6" i="32"/>
  <c r="J6" i="32"/>
  <c r="K6" i="32"/>
  <c r="L6" i="32"/>
  <c r="M6" i="32"/>
  <c r="N6" i="32"/>
  <c r="O6" i="32"/>
  <c r="P6" i="32"/>
  <c r="Q6" i="32"/>
  <c r="R6" i="32"/>
  <c r="S6" i="32"/>
  <c r="T6" i="32"/>
  <c r="U6" i="32"/>
  <c r="V6" i="32"/>
  <c r="W6" i="32"/>
  <c r="X6" i="32"/>
  <c r="Y6" i="32"/>
  <c r="Z6" i="32"/>
  <c r="AB6" i="32"/>
  <c r="E7" i="32"/>
  <c r="AA7" i="32" s="1"/>
  <c r="F7" i="32"/>
  <c r="G7" i="32"/>
  <c r="H7" i="32"/>
  <c r="I7" i="32"/>
  <c r="J7" i="32"/>
  <c r="K7" i="32"/>
  <c r="L7" i="32"/>
  <c r="M7" i="32"/>
  <c r="N7" i="32"/>
  <c r="O7" i="32"/>
  <c r="P7" i="32"/>
  <c r="Q7" i="32"/>
  <c r="R7" i="32"/>
  <c r="S7" i="32"/>
  <c r="T7" i="32"/>
  <c r="U7" i="32"/>
  <c r="V7" i="32"/>
  <c r="W7" i="32"/>
  <c r="X7" i="32"/>
  <c r="Y7" i="32"/>
  <c r="Z7" i="32"/>
  <c r="AB7" i="32"/>
  <c r="E8" i="32"/>
  <c r="AA8" i="32" s="1"/>
  <c r="F8" i="32"/>
  <c r="G8" i="32"/>
  <c r="H8" i="32"/>
  <c r="I8" i="32"/>
  <c r="J8" i="32"/>
  <c r="K8" i="32"/>
  <c r="L8" i="32"/>
  <c r="M8" i="32"/>
  <c r="N8" i="32"/>
  <c r="O8" i="32"/>
  <c r="P8" i="32"/>
  <c r="Q8" i="32"/>
  <c r="R8" i="32"/>
  <c r="S8" i="32"/>
  <c r="T8" i="32"/>
  <c r="U8" i="32"/>
  <c r="V8" i="32"/>
  <c r="W8" i="32"/>
  <c r="X8" i="32"/>
  <c r="Y8" i="32"/>
  <c r="Z8" i="32"/>
  <c r="AB8" i="32"/>
  <c r="E9" i="32"/>
  <c r="AA9" i="32" s="1"/>
  <c r="F9" i="32"/>
  <c r="G9" i="32"/>
  <c r="H9" i="32"/>
  <c r="I9" i="32"/>
  <c r="J9" i="32"/>
  <c r="K9" i="32"/>
  <c r="L9" i="32"/>
  <c r="M9" i="32"/>
  <c r="N9" i="32"/>
  <c r="O9" i="32"/>
  <c r="P9" i="32"/>
  <c r="Q9" i="32"/>
  <c r="R9" i="32"/>
  <c r="S9" i="32"/>
  <c r="T9" i="32"/>
  <c r="U9" i="32"/>
  <c r="V9" i="32"/>
  <c r="W9" i="32"/>
  <c r="X9" i="32"/>
  <c r="Y9" i="32"/>
  <c r="Z9" i="32"/>
  <c r="AB9" i="32"/>
  <c r="E10" i="32"/>
  <c r="AA10" i="32" s="1"/>
  <c r="F10" i="32"/>
  <c r="G10" i="32"/>
  <c r="H10" i="32"/>
  <c r="I10" i="32"/>
  <c r="J10" i="32"/>
  <c r="K10" i="32"/>
  <c r="L10" i="32"/>
  <c r="M10" i="32"/>
  <c r="N10" i="32"/>
  <c r="O10" i="32"/>
  <c r="P10" i="32"/>
  <c r="Q10" i="32"/>
  <c r="R10" i="32"/>
  <c r="S10" i="32"/>
  <c r="T10" i="32"/>
  <c r="U10" i="32"/>
  <c r="V10" i="32"/>
  <c r="W10" i="32"/>
  <c r="X10" i="32"/>
  <c r="Y10" i="32"/>
  <c r="Z10" i="32"/>
  <c r="AB10" i="32"/>
  <c r="E11" i="32"/>
  <c r="AA11" i="32" s="1"/>
  <c r="F11" i="32"/>
  <c r="G11" i="32"/>
  <c r="H11" i="32"/>
  <c r="I11" i="32"/>
  <c r="J11" i="32"/>
  <c r="K11" i="32"/>
  <c r="L11" i="32"/>
  <c r="M11" i="32"/>
  <c r="N11" i="32"/>
  <c r="O11" i="32"/>
  <c r="P11" i="32"/>
  <c r="Q11" i="32"/>
  <c r="R11" i="32"/>
  <c r="S11" i="32"/>
  <c r="T11" i="32"/>
  <c r="U11" i="32"/>
  <c r="V11" i="32"/>
  <c r="W11" i="32"/>
  <c r="X11" i="32"/>
  <c r="Y11" i="32"/>
  <c r="Z11" i="32"/>
  <c r="AB11" i="32"/>
  <c r="E12" i="32"/>
  <c r="AA12" i="32" s="1"/>
  <c r="F12" i="32"/>
  <c r="G12" i="32"/>
  <c r="H12" i="32"/>
  <c r="I12" i="32"/>
  <c r="J12" i="32"/>
  <c r="K12" i="32"/>
  <c r="L12" i="32"/>
  <c r="M12" i="32"/>
  <c r="N12" i="32"/>
  <c r="O12" i="32"/>
  <c r="P12" i="32"/>
  <c r="Q12" i="32"/>
  <c r="R12" i="32"/>
  <c r="S12" i="32"/>
  <c r="T12" i="32"/>
  <c r="U12" i="32"/>
  <c r="V12" i="32"/>
  <c r="W12" i="32"/>
  <c r="X12" i="32"/>
  <c r="Y12" i="32"/>
  <c r="Z12" i="32"/>
  <c r="AB12" i="32"/>
  <c r="E13" i="32"/>
  <c r="AA13" i="32" s="1"/>
  <c r="F13" i="32"/>
  <c r="G13" i="32"/>
  <c r="H13" i="32"/>
  <c r="I13" i="32"/>
  <c r="J13" i="32"/>
  <c r="K13" i="32"/>
  <c r="L13" i="32"/>
  <c r="M13" i="32"/>
  <c r="N13" i="32"/>
  <c r="O13" i="32"/>
  <c r="P13" i="32"/>
  <c r="Q13" i="32"/>
  <c r="R13" i="32"/>
  <c r="S13" i="32"/>
  <c r="T13" i="32"/>
  <c r="U13" i="32"/>
  <c r="V13" i="32"/>
  <c r="W13" i="32"/>
  <c r="X13" i="32"/>
  <c r="Y13" i="32"/>
  <c r="Z13" i="32"/>
  <c r="AB13" i="32"/>
  <c r="E14" i="32"/>
  <c r="AA14" i="32" s="1"/>
  <c r="F14" i="32"/>
  <c r="G14" i="32"/>
  <c r="H14" i="32"/>
  <c r="I14" i="32"/>
  <c r="J14" i="32"/>
  <c r="K14" i="32"/>
  <c r="L14" i="32"/>
  <c r="M14" i="32"/>
  <c r="N14" i="32"/>
  <c r="O14" i="32"/>
  <c r="P14" i="32"/>
  <c r="Q14" i="32"/>
  <c r="R14" i="32"/>
  <c r="S14" i="32"/>
  <c r="T14" i="32"/>
  <c r="U14" i="32"/>
  <c r="V14" i="32"/>
  <c r="W14" i="32"/>
  <c r="X14" i="32"/>
  <c r="Y14" i="32"/>
  <c r="Z14" i="32"/>
  <c r="AB14" i="32"/>
  <c r="E15" i="32"/>
  <c r="AA15" i="32" s="1"/>
  <c r="F15" i="32"/>
  <c r="G15" i="32"/>
  <c r="H15" i="32"/>
  <c r="I15" i="32"/>
  <c r="J15" i="32"/>
  <c r="K15" i="32"/>
  <c r="L15" i="32"/>
  <c r="M15" i="32"/>
  <c r="N15" i="32"/>
  <c r="O15" i="32"/>
  <c r="P15" i="32"/>
  <c r="Q15" i="32"/>
  <c r="R15" i="32"/>
  <c r="S15" i="32"/>
  <c r="T15" i="32"/>
  <c r="U15" i="32"/>
  <c r="V15" i="32"/>
  <c r="W15" i="32"/>
  <c r="X15" i="32"/>
  <c r="Y15" i="32"/>
  <c r="Z15" i="32"/>
  <c r="AB15" i="32"/>
  <c r="E16" i="32"/>
  <c r="AA16" i="32" s="1"/>
  <c r="F16" i="32"/>
  <c r="G16" i="32"/>
  <c r="H16" i="32"/>
  <c r="I16" i="32"/>
  <c r="J16" i="32"/>
  <c r="K16" i="32"/>
  <c r="L16" i="32"/>
  <c r="M16" i="32"/>
  <c r="N16" i="32"/>
  <c r="O16" i="32"/>
  <c r="P16" i="32"/>
  <c r="Q16" i="32"/>
  <c r="R16" i="32"/>
  <c r="S16" i="32"/>
  <c r="T16" i="32"/>
  <c r="U16" i="32"/>
  <c r="V16" i="32"/>
  <c r="W16" i="32"/>
  <c r="X16" i="32"/>
  <c r="Y16" i="32"/>
  <c r="Z16" i="32"/>
  <c r="AB16" i="32"/>
  <c r="E17" i="32"/>
  <c r="AA17" i="32" s="1"/>
  <c r="F17" i="32"/>
  <c r="G17" i="32"/>
  <c r="H17" i="32"/>
  <c r="I17" i="32"/>
  <c r="J17" i="32"/>
  <c r="K17" i="32"/>
  <c r="L17" i="32"/>
  <c r="M17" i="32"/>
  <c r="N17" i="32"/>
  <c r="O17" i="32"/>
  <c r="P17" i="32"/>
  <c r="Q17" i="32"/>
  <c r="R17" i="32"/>
  <c r="S17" i="32"/>
  <c r="T17" i="32"/>
  <c r="U17" i="32"/>
  <c r="V17" i="32"/>
  <c r="W17" i="32"/>
  <c r="X17" i="32"/>
  <c r="Y17" i="32"/>
  <c r="Z17" i="32"/>
  <c r="AB17" i="32"/>
  <c r="E18" i="32"/>
  <c r="AA18" i="32" s="1"/>
  <c r="F18" i="32"/>
  <c r="G18" i="32"/>
  <c r="H18" i="32"/>
  <c r="I18" i="32"/>
  <c r="J18" i="32"/>
  <c r="K18" i="32"/>
  <c r="L18" i="32"/>
  <c r="M18" i="32"/>
  <c r="N18" i="32"/>
  <c r="O18" i="32"/>
  <c r="P18" i="32"/>
  <c r="Q18" i="32"/>
  <c r="R18" i="32"/>
  <c r="S18" i="32"/>
  <c r="T18" i="32"/>
  <c r="U18" i="32"/>
  <c r="V18" i="32"/>
  <c r="W18" i="32"/>
  <c r="X18" i="32"/>
  <c r="Y18" i="32"/>
  <c r="Z18" i="32"/>
  <c r="AB18" i="32"/>
  <c r="E19" i="32"/>
  <c r="AA19" i="32" s="1"/>
  <c r="F19" i="32"/>
  <c r="G19" i="32"/>
  <c r="H19" i="32"/>
  <c r="I19" i="32"/>
  <c r="J19" i="32"/>
  <c r="K19" i="32"/>
  <c r="L19" i="32"/>
  <c r="M19" i="32"/>
  <c r="N19" i="32"/>
  <c r="O19" i="32"/>
  <c r="P19" i="32"/>
  <c r="Q19" i="32"/>
  <c r="R19" i="32"/>
  <c r="S19" i="32"/>
  <c r="T19" i="32"/>
  <c r="U19" i="32"/>
  <c r="V19" i="32"/>
  <c r="W19" i="32"/>
  <c r="X19" i="32"/>
  <c r="Y19" i="32"/>
  <c r="Z19" i="32"/>
  <c r="AB19" i="32"/>
  <c r="E20" i="32"/>
  <c r="AA20" i="32" s="1"/>
  <c r="F20" i="32"/>
  <c r="G20" i="32"/>
  <c r="H20" i="32"/>
  <c r="I20" i="32"/>
  <c r="J20" i="32"/>
  <c r="K20" i="32"/>
  <c r="L20" i="32"/>
  <c r="M20" i="32"/>
  <c r="N20" i="32"/>
  <c r="O20" i="32"/>
  <c r="P20" i="32"/>
  <c r="Q20" i="32"/>
  <c r="R20" i="32"/>
  <c r="S20" i="32"/>
  <c r="T20" i="32"/>
  <c r="U20" i="32"/>
  <c r="V20" i="32"/>
  <c r="W20" i="32"/>
  <c r="X20" i="32"/>
  <c r="Y20" i="32"/>
  <c r="Z20" i="32"/>
  <c r="AB20" i="32"/>
  <c r="E24" i="32"/>
  <c r="F24" i="32"/>
  <c r="G24" i="32"/>
  <c r="H24" i="32"/>
  <c r="I24" i="32"/>
  <c r="J24" i="32"/>
  <c r="K24" i="32"/>
  <c r="L24" i="32"/>
  <c r="M24" i="32"/>
  <c r="N24" i="32"/>
  <c r="O24" i="32"/>
  <c r="P24" i="32"/>
  <c r="Q24" i="32"/>
  <c r="R24" i="32"/>
  <c r="S24" i="32"/>
  <c r="T24" i="32"/>
  <c r="U24" i="32"/>
  <c r="V24" i="32"/>
  <c r="W24" i="32"/>
  <c r="X24" i="32"/>
  <c r="Y24" i="32"/>
  <c r="Z24" i="32"/>
  <c r="AA24" i="32"/>
  <c r="E25" i="32"/>
  <c r="F25" i="32"/>
  <c r="G25" i="32"/>
  <c r="H25" i="32"/>
  <c r="I25" i="32"/>
  <c r="J25" i="32"/>
  <c r="K25" i="32"/>
  <c r="L25" i="32"/>
  <c r="M25" i="32"/>
  <c r="N25" i="32"/>
  <c r="O25" i="32"/>
  <c r="P25" i="32"/>
  <c r="Q25" i="32"/>
  <c r="R25" i="32"/>
  <c r="S25" i="32"/>
  <c r="T25" i="32"/>
  <c r="U25" i="32"/>
  <c r="V25" i="32"/>
  <c r="W25" i="32"/>
  <c r="X25" i="32"/>
  <c r="Y25" i="32"/>
  <c r="Z25" i="32"/>
  <c r="AA25" i="32"/>
  <c r="E26" i="32"/>
  <c r="F26" i="32"/>
  <c r="G26" i="32"/>
  <c r="H26" i="32"/>
  <c r="I26" i="32"/>
  <c r="J26" i="32"/>
  <c r="K26" i="32"/>
  <c r="L26" i="32"/>
  <c r="M26" i="32"/>
  <c r="N26" i="32"/>
  <c r="O26" i="32"/>
  <c r="P26" i="32"/>
  <c r="Q26" i="32"/>
  <c r="R26" i="32"/>
  <c r="S26" i="32"/>
  <c r="T26" i="32"/>
  <c r="U26" i="32"/>
  <c r="V26" i="32"/>
  <c r="W26" i="32"/>
  <c r="X26" i="32"/>
  <c r="Y26" i="32"/>
  <c r="Z26" i="32"/>
  <c r="AA26" i="32"/>
  <c r="AB4" i="33"/>
  <c r="AB5" i="33"/>
  <c r="AB6" i="33"/>
  <c r="AB7" i="33"/>
  <c r="AB8" i="33"/>
  <c r="AB9" i="33"/>
  <c r="AB10" i="33"/>
  <c r="AB11" i="33"/>
  <c r="AB12" i="33"/>
  <c r="AB13" i="33"/>
  <c r="AB14" i="33"/>
  <c r="AB15" i="33"/>
  <c r="AB16" i="33"/>
  <c r="AB17" i="33"/>
  <c r="AB18" i="33"/>
  <c r="AB19" i="33"/>
  <c r="AB20" i="33"/>
  <c r="AB9" i="36"/>
  <c r="AB14" i="36"/>
  <c r="AB5" i="36"/>
  <c r="AB8" i="36"/>
  <c r="AB6" i="36"/>
  <c r="AB15" i="36"/>
  <c r="AB13" i="36"/>
  <c r="AB7" i="36"/>
  <c r="AB20" i="36"/>
  <c r="AB16" i="36"/>
  <c r="AB19" i="36"/>
  <c r="AB17" i="36"/>
  <c r="AB12" i="36"/>
  <c r="AB11" i="36"/>
  <c r="AB18" i="36"/>
  <c r="AB10" i="36"/>
  <c r="AB4" i="36"/>
  <c r="AB7" i="25"/>
  <c r="AB6" i="25"/>
  <c r="AB12" i="25"/>
  <c r="AB11" i="25"/>
  <c r="AB4" i="25"/>
  <c r="AB13" i="25"/>
  <c r="AB10" i="25"/>
  <c r="AB8" i="25"/>
  <c r="AB9" i="25"/>
  <c r="AB5" i="25"/>
  <c r="AB16" i="25"/>
  <c r="AB17" i="25"/>
  <c r="AB20" i="25"/>
  <c r="AB18" i="25"/>
  <c r="AB14" i="25"/>
  <c r="AB15" i="25"/>
  <c r="AB19" i="25"/>
  <c r="AB4" i="40"/>
  <c r="AB5" i="40"/>
  <c r="AB6" i="40"/>
  <c r="AB7" i="40"/>
  <c r="AB8" i="40"/>
  <c r="AB9" i="40"/>
  <c r="AB10" i="40"/>
  <c r="AB11" i="40"/>
  <c r="AB12" i="40"/>
  <c r="AB13" i="40"/>
  <c r="AB14" i="40"/>
  <c r="AB15" i="40"/>
  <c r="AB16" i="40"/>
  <c r="AB17" i="40"/>
  <c r="AB18" i="40"/>
  <c r="AB19" i="40"/>
  <c r="AB20" i="40"/>
  <c r="AB19" i="16"/>
  <c r="AB8" i="16"/>
  <c r="AB9" i="16"/>
  <c r="AB14" i="16"/>
  <c r="AB20" i="16"/>
  <c r="AB18" i="16"/>
  <c r="AB17" i="16"/>
  <c r="AB13" i="16"/>
  <c r="AB15" i="16"/>
  <c r="AB16" i="16"/>
  <c r="AB12" i="16"/>
  <c r="AB5" i="16"/>
  <c r="AB6" i="16"/>
  <c r="AB11" i="16"/>
  <c r="AB4" i="16"/>
  <c r="AB7" i="16"/>
  <c r="AB10" i="16"/>
  <c r="AB14" i="12"/>
  <c r="AB15" i="12"/>
  <c r="AB16" i="12"/>
  <c r="AB17" i="12"/>
  <c r="AB18" i="12"/>
  <c r="AB19" i="12"/>
  <c r="AB20" i="12"/>
  <c r="AB4" i="12"/>
  <c r="AB5" i="12"/>
  <c r="AB6" i="12"/>
  <c r="AB7" i="12"/>
  <c r="AB8" i="12"/>
  <c r="AB9" i="12"/>
  <c r="AB10" i="12"/>
  <c r="AB11" i="12"/>
  <c r="AB12" i="12"/>
  <c r="AB13" i="12"/>
  <c r="AF21" i="12"/>
  <c r="AF22" i="12"/>
  <c r="AB9" i="28"/>
  <c r="AB8" i="28"/>
  <c r="AB5" i="28"/>
  <c r="AB13" i="28"/>
  <c r="AB14" i="28"/>
  <c r="AB11" i="28"/>
  <c r="AB10" i="28"/>
  <c r="AB12" i="28"/>
  <c r="AB18" i="28"/>
  <c r="AB4" i="28"/>
  <c r="AB20" i="28"/>
  <c r="AB17" i="28"/>
  <c r="AB15" i="28"/>
  <c r="AB16" i="28"/>
  <c r="AB19" i="28"/>
  <c r="AB6" i="28"/>
  <c r="AB7" i="28"/>
  <c r="AB17" i="35"/>
  <c r="AB11" i="35"/>
  <c r="AB18" i="35"/>
  <c r="AB16" i="35"/>
  <c r="AB19" i="35"/>
  <c r="AB7" i="35"/>
  <c r="AB10" i="35"/>
  <c r="AB6" i="35"/>
  <c r="AB12" i="35"/>
  <c r="AB5" i="35"/>
  <c r="AB20" i="35"/>
  <c r="AB9" i="35"/>
  <c r="AB4" i="35"/>
  <c r="AB13" i="35"/>
  <c r="AB8" i="35"/>
  <c r="AB14" i="35"/>
  <c r="AB15" i="35"/>
  <c r="AB6" i="14"/>
  <c r="AB17" i="14"/>
  <c r="AB19" i="14"/>
  <c r="AB8" i="14"/>
  <c r="AB9" i="14"/>
  <c r="AB12" i="14"/>
  <c r="AB13" i="14"/>
  <c r="AB5" i="14"/>
  <c r="AB20" i="14"/>
  <c r="AB11" i="14"/>
  <c r="AB10" i="14"/>
  <c r="AB7" i="14"/>
  <c r="AB4" i="14"/>
  <c r="AB16" i="14"/>
  <c r="AB14" i="14"/>
  <c r="AB15" i="14"/>
  <c r="AB18" i="14"/>
  <c r="AB4" i="30"/>
  <c r="AB5" i="30"/>
  <c r="AB6" i="30"/>
  <c r="AB7" i="30"/>
  <c r="AB8" i="30"/>
  <c r="AB9" i="30"/>
  <c r="AB10" i="30"/>
  <c r="AB11" i="30"/>
  <c r="AB12" i="30"/>
  <c r="AB13" i="30"/>
  <c r="AB14" i="30"/>
  <c r="AB15" i="30"/>
  <c r="AB16" i="30"/>
  <c r="AB17" i="30"/>
  <c r="AB18" i="30"/>
  <c r="AB19" i="30"/>
  <c r="AB20" i="30"/>
  <c r="AA21" i="30"/>
  <c r="AB8" i="37"/>
  <c r="AB6" i="37"/>
  <c r="AB20" i="37"/>
  <c r="AB19" i="37"/>
  <c r="AB17" i="37"/>
  <c r="AB15" i="37"/>
  <c r="AB18" i="37"/>
  <c r="AB13" i="37"/>
  <c r="AB14" i="37"/>
  <c r="AB9" i="37"/>
  <c r="AB16" i="37"/>
  <c r="AB4" i="37"/>
  <c r="AB7" i="37"/>
  <c r="AB12" i="37"/>
  <c r="AB10" i="37"/>
  <c r="AB11" i="37"/>
  <c r="AB5" i="37"/>
  <c r="AB4" i="21"/>
  <c r="AB5" i="21"/>
  <c r="AB13" i="21"/>
  <c r="AB6" i="21"/>
  <c r="AB7" i="21"/>
  <c r="AB8" i="21"/>
  <c r="AB9" i="21"/>
  <c r="AB10" i="21"/>
  <c r="AB11" i="21"/>
  <c r="AB12" i="21"/>
  <c r="AB14" i="21"/>
  <c r="AB15" i="21"/>
  <c r="AB16" i="21"/>
  <c r="AB17" i="21"/>
  <c r="AB18" i="21"/>
  <c r="AB19" i="21"/>
  <c r="AB20" i="21"/>
  <c r="C1" i="9"/>
  <c r="M1" i="9"/>
  <c r="E1" i="9"/>
  <c r="I1" i="9"/>
  <c r="G1" i="9"/>
  <c r="K1" i="9"/>
  <c r="A1" i="9"/>
  <c r="O1" i="9"/>
  <c r="C2" i="9"/>
  <c r="M2" i="9"/>
  <c r="E2" i="9"/>
  <c r="I2" i="9"/>
  <c r="G2" i="9"/>
  <c r="K2" i="9"/>
  <c r="Q2" i="9"/>
  <c r="A2" i="9"/>
  <c r="O2" i="9"/>
  <c r="C3" i="9"/>
  <c r="M3" i="9"/>
  <c r="E3" i="9"/>
  <c r="I3" i="9"/>
  <c r="G3" i="9"/>
  <c r="K3" i="9"/>
  <c r="A3" i="9"/>
  <c r="O3" i="9"/>
  <c r="C4" i="9"/>
  <c r="M4" i="9"/>
  <c r="E4" i="9"/>
  <c r="I4" i="9"/>
  <c r="G4" i="9"/>
  <c r="K4" i="9"/>
  <c r="A4" i="9"/>
  <c r="E5" i="9"/>
  <c r="G5" i="9"/>
  <c r="K5" i="9"/>
  <c r="A5" i="9"/>
  <c r="O5" i="9"/>
  <c r="M6" i="9"/>
  <c r="E6" i="9"/>
  <c r="I6" i="9"/>
  <c r="G6" i="9"/>
  <c r="O6" i="9"/>
  <c r="M7" i="9"/>
  <c r="I7" i="9"/>
  <c r="G7" i="9"/>
  <c r="K7" i="9"/>
  <c r="O7" i="9"/>
  <c r="I8" i="9"/>
  <c r="G8" i="9"/>
  <c r="K8" i="9"/>
  <c r="A8" i="9"/>
  <c r="O8" i="9"/>
  <c r="M9" i="9"/>
  <c r="E9" i="9"/>
  <c r="I9" i="9"/>
  <c r="G9" i="9"/>
  <c r="O9" i="9"/>
  <c r="E10" i="9"/>
  <c r="I10" i="9"/>
  <c r="G10" i="9"/>
  <c r="K10" i="9"/>
  <c r="A10" i="9"/>
  <c r="O10" i="9"/>
  <c r="M11" i="9"/>
  <c r="E11" i="9"/>
  <c r="K11" i="9"/>
  <c r="A11" i="9"/>
  <c r="M12" i="9"/>
  <c r="I12" i="9"/>
  <c r="G12" i="9"/>
  <c r="K12" i="9"/>
  <c r="A12" i="9"/>
  <c r="M13" i="9"/>
  <c r="E13" i="9"/>
  <c r="I13" i="9"/>
  <c r="K13" i="9"/>
  <c r="A13" i="9"/>
  <c r="O13" i="9"/>
  <c r="C14" i="9"/>
  <c r="M14" i="9"/>
  <c r="E14" i="9"/>
  <c r="G14" i="9"/>
  <c r="A14" i="9"/>
  <c r="C15" i="9"/>
  <c r="M15" i="9"/>
  <c r="E15" i="9"/>
  <c r="G15" i="9"/>
  <c r="K15" i="9"/>
  <c r="A15" i="9"/>
  <c r="C16" i="9"/>
  <c r="M16" i="9"/>
  <c r="E16" i="9"/>
  <c r="I16" i="9"/>
  <c r="G16" i="9"/>
  <c r="K16" i="9"/>
  <c r="A16" i="9"/>
  <c r="O16" i="9"/>
  <c r="C17" i="9"/>
  <c r="E17" i="9"/>
  <c r="I17" i="9"/>
  <c r="G17" i="9"/>
  <c r="K17" i="9"/>
  <c r="A17" i="9"/>
  <c r="O17" i="9"/>
  <c r="C18" i="9"/>
  <c r="E18" i="9"/>
  <c r="I18" i="9"/>
  <c r="G18" i="9"/>
  <c r="K18" i="9"/>
  <c r="A18" i="9"/>
  <c r="O18" i="9"/>
  <c r="C19" i="9"/>
  <c r="M19" i="9"/>
  <c r="E19" i="9"/>
  <c r="I19" i="9"/>
  <c r="G19" i="9"/>
  <c r="K19" i="9"/>
  <c r="A19" i="9"/>
  <c r="O19" i="9"/>
  <c r="C20" i="9"/>
  <c r="M20" i="9"/>
  <c r="E20" i="9"/>
  <c r="I20" i="9"/>
  <c r="G20" i="9"/>
  <c r="K20" i="9"/>
  <c r="C21" i="9"/>
  <c r="M21" i="9"/>
  <c r="E21" i="9"/>
  <c r="I21" i="9"/>
  <c r="G21" i="9"/>
  <c r="K21" i="9"/>
  <c r="A21" i="9"/>
  <c r="O21" i="9"/>
  <c r="C22" i="9"/>
  <c r="E22" i="9"/>
  <c r="G22" i="9"/>
  <c r="A22" i="9"/>
  <c r="A23" i="9"/>
  <c r="E24" i="9"/>
  <c r="I24" i="9"/>
  <c r="G24" i="9"/>
  <c r="O24" i="9"/>
  <c r="C25" i="9"/>
  <c r="E25" i="9"/>
  <c r="I25" i="9"/>
  <c r="G25" i="9"/>
  <c r="K25" i="9"/>
  <c r="C26" i="9"/>
  <c r="K26" i="9"/>
  <c r="A26" i="9"/>
  <c r="O26" i="9"/>
  <c r="C21" i="2"/>
  <c r="AC21" i="2" s="1"/>
  <c r="E21" i="2"/>
  <c r="AE21" i="2" s="1"/>
  <c r="AB50" i="2"/>
  <c r="AA21" i="40"/>
  <c r="F3" i="17"/>
  <c r="F3" i="32"/>
  <c r="G3" i="32"/>
  <c r="G3" i="17"/>
  <c r="F21" i="2"/>
  <c r="AF21" i="2" s="1"/>
  <c r="H3" i="17"/>
  <c r="H3" i="32"/>
  <c r="Y3" i="32"/>
  <c r="Y3" i="17"/>
  <c r="F37" i="2"/>
  <c r="AF37" i="2" s="1"/>
  <c r="F51" i="2"/>
  <c r="C37" i="2"/>
  <c r="C51" i="2" s="1"/>
  <c r="X21" i="2"/>
  <c r="AX21" i="2" s="1"/>
  <c r="X37" i="2"/>
  <c r="AX37" i="2" s="1"/>
  <c r="G21" i="2"/>
  <c r="AG21" i="2"/>
  <c r="G37" i="2"/>
  <c r="AG37" i="2" s="1"/>
  <c r="E25" i="21"/>
  <c r="E24" i="21"/>
  <c r="E26" i="21"/>
  <c r="I25" i="21"/>
  <c r="I24" i="21"/>
  <c r="I26" i="21"/>
  <c r="H24" i="21"/>
  <c r="H26" i="21"/>
  <c r="H25" i="21"/>
  <c r="G25" i="21"/>
  <c r="G24" i="21"/>
  <c r="G26" i="21"/>
  <c r="I3" i="17"/>
  <c r="I3" i="32"/>
  <c r="E37" i="2"/>
  <c r="E51" i="2" s="1"/>
  <c r="J24" i="21"/>
  <c r="J26" i="21"/>
  <c r="J25" i="21"/>
  <c r="H37" i="2"/>
  <c r="H51" i="2" s="1"/>
  <c r="H21" i="2"/>
  <c r="AH21" i="2"/>
  <c r="J3" i="17"/>
  <c r="J3" i="32"/>
  <c r="K25" i="21"/>
  <c r="K24" i="21"/>
  <c r="K3" i="17"/>
  <c r="K3" i="32"/>
  <c r="I21" i="2"/>
  <c r="AI21" i="2"/>
  <c r="I37" i="2"/>
  <c r="AI37" i="2" s="1"/>
  <c r="L24" i="21"/>
  <c r="L26" i="21"/>
  <c r="L25" i="21"/>
  <c r="L3" i="17"/>
  <c r="L3" i="32"/>
  <c r="J37" i="2"/>
  <c r="AJ37" i="2" s="1"/>
  <c r="J21" i="2"/>
  <c r="AJ21" i="2" s="1"/>
  <c r="M25" i="21"/>
  <c r="M26" i="21"/>
  <c r="M3" i="32"/>
  <c r="M3" i="17"/>
  <c r="K37" i="2"/>
  <c r="K51" i="2" s="1"/>
  <c r="K21" i="2"/>
  <c r="AK21" i="2"/>
  <c r="N26" i="21"/>
  <c r="N25" i="21"/>
  <c r="N3" i="17"/>
  <c r="N3" i="32"/>
  <c r="L37" i="2"/>
  <c r="L51" i="2" s="1"/>
  <c r="L21" i="2"/>
  <c r="AL21" i="2"/>
  <c r="O25" i="21"/>
  <c r="O26" i="21"/>
  <c r="O3" i="32"/>
  <c r="O3" i="17"/>
  <c r="M37" i="2"/>
  <c r="AM37" i="2" s="1"/>
  <c r="M21" i="2"/>
  <c r="AM21" i="2"/>
  <c r="P26" i="21"/>
  <c r="P25" i="21"/>
  <c r="P3" i="32"/>
  <c r="P3" i="17"/>
  <c r="N37" i="2"/>
  <c r="AN37" i="2" s="1"/>
  <c r="N21" i="2"/>
  <c r="AN21" i="2" s="1"/>
  <c r="Q25" i="21"/>
  <c r="Q26" i="21"/>
  <c r="O21" i="2"/>
  <c r="AO21" i="2"/>
  <c r="O37" i="2"/>
  <c r="AO37" i="2" s="1"/>
  <c r="Q3" i="17"/>
  <c r="Q3" i="32"/>
  <c r="R26" i="21"/>
  <c r="R25" i="21"/>
  <c r="P21" i="2"/>
  <c r="AP21" i="2"/>
  <c r="P37" i="2"/>
  <c r="AP37" i="2" s="1"/>
  <c r="R3" i="17"/>
  <c r="R3" i="32"/>
  <c r="S25" i="21"/>
  <c r="S26" i="21"/>
  <c r="S3" i="17"/>
  <c r="S3" i="32"/>
  <c r="Q21" i="2"/>
  <c r="AQ21" i="2" s="1"/>
  <c r="Q37" i="2"/>
  <c r="AQ37" i="2" s="1"/>
  <c r="T26" i="21"/>
  <c r="T25" i="21"/>
  <c r="T3" i="32"/>
  <c r="T3" i="17"/>
  <c r="R21" i="2"/>
  <c r="AR21" i="2" s="1"/>
  <c r="R37" i="2"/>
  <c r="R51" i="2" s="1"/>
  <c r="U25" i="21"/>
  <c r="U26" i="21"/>
  <c r="S37" i="2"/>
  <c r="S51" i="2" s="1"/>
  <c r="S21" i="2"/>
  <c r="AS21" i="2" s="1"/>
  <c r="U3" i="17"/>
  <c r="U3" i="32"/>
  <c r="V26" i="21"/>
  <c r="V25" i="21"/>
  <c r="T37" i="2"/>
  <c r="T51" i="2" s="1"/>
  <c r="T21" i="2"/>
  <c r="AT21" i="2" s="1"/>
  <c r="V3" i="17"/>
  <c r="V3" i="32"/>
  <c r="W25" i="21"/>
  <c r="W26" i="21"/>
  <c r="W3" i="32"/>
  <c r="W3" i="17"/>
  <c r="U21" i="2"/>
  <c r="AU21" i="2" s="1"/>
  <c r="U37" i="2"/>
  <c r="AU37" i="2" s="1"/>
  <c r="X26" i="21"/>
  <c r="X25" i="21"/>
  <c r="X3" i="32"/>
  <c r="X3" i="17"/>
  <c r="V37" i="2"/>
  <c r="V51" i="2" s="1"/>
  <c r="V21" i="2"/>
  <c r="AV21" i="2" s="1"/>
  <c r="Y25" i="21"/>
  <c r="Y26" i="21"/>
  <c r="W21" i="2"/>
  <c r="AW21" i="2" s="1"/>
  <c r="W37" i="2"/>
  <c r="AW37" i="2" s="1"/>
  <c r="AH37" i="2"/>
  <c r="T24" i="9"/>
  <c r="T16" i="9"/>
  <c r="T9" i="9"/>
  <c r="T5" i="9"/>
  <c r="T6" i="9"/>
  <c r="T13" i="9"/>
  <c r="T19" i="9"/>
  <c r="T4" i="9"/>
  <c r="T22" i="9" s="1"/>
  <c r="AT37" i="2"/>
  <c r="AS37" i="2"/>
  <c r="T20" i="9"/>
  <c r="T25" i="9"/>
  <c r="T10" i="9"/>
  <c r="T18" i="9"/>
  <c r="T11" i="9"/>
  <c r="T8" i="9"/>
  <c r="T26" i="9"/>
  <c r="T15" i="9"/>
  <c r="T7" i="9"/>
  <c r="T14" i="9"/>
  <c r="T17" i="9"/>
  <c r="T12" i="9"/>
  <c r="O60" i="19"/>
  <c r="O59" i="19"/>
  <c r="O57" i="19"/>
  <c r="O56" i="19"/>
  <c r="O58" i="19"/>
  <c r="Q51" i="2" l="1"/>
  <c r="AR37" i="2"/>
  <c r="U51" i="2"/>
  <c r="G51" i="2"/>
  <c r="X51" i="2"/>
  <c r="D51" i="2"/>
  <c r="P21" i="12"/>
  <c r="X21" i="12"/>
  <c r="X22" i="12" s="1"/>
  <c r="Y21" i="12"/>
  <c r="Y22" i="12" s="1"/>
  <c r="Z21" i="12"/>
  <c r="Z22" i="12" s="1"/>
  <c r="W51" i="2"/>
  <c r="AV37" i="2"/>
  <c r="P51" i="2"/>
  <c r="O51" i="2"/>
  <c r="N51" i="2"/>
  <c r="M51" i="2"/>
  <c r="AL37" i="2"/>
  <c r="AK37" i="2"/>
  <c r="J51" i="2"/>
  <c r="AE37" i="2"/>
  <c r="AC37" i="2"/>
  <c r="I51" i="2"/>
  <c r="J21" i="14"/>
  <c r="J22" i="14" s="1"/>
  <c r="R21" i="25"/>
  <c r="R22" i="25" s="1"/>
  <c r="Q21" i="25"/>
  <c r="Q22" i="25" s="1"/>
  <c r="W21" i="35"/>
  <c r="W22" i="35" s="1"/>
  <c r="Q21" i="35"/>
  <c r="Q22" i="35" s="1"/>
  <c r="K21" i="28"/>
  <c r="K22" i="28" s="1"/>
  <c r="J21" i="25"/>
  <c r="J22" i="25" s="1"/>
  <c r="L21" i="28"/>
  <c r="L22" i="28" s="1"/>
  <c r="E22" i="32"/>
  <c r="I22" i="35"/>
  <c r="W21" i="28"/>
  <c r="W22" i="28" s="1"/>
  <c r="W21" i="21"/>
  <c r="W22" i="21" s="1"/>
  <c r="P21" i="33"/>
  <c r="P22" i="33" s="1"/>
  <c r="Q21" i="33"/>
  <c r="Q22" i="33" s="1"/>
  <c r="M21" i="16"/>
  <c r="M22" i="16" s="1"/>
  <c r="T21" i="12"/>
  <c r="T22" i="12" s="1"/>
  <c r="L21" i="36"/>
  <c r="L22" i="36" s="1"/>
  <c r="B17" i="9"/>
  <c r="D20" i="9"/>
  <c r="O21" i="45"/>
  <c r="O22" i="45" s="1"/>
  <c r="N21" i="28"/>
  <c r="N22" i="28" s="1"/>
  <c r="W21" i="45"/>
  <c r="W22" i="45" s="1"/>
  <c r="T21" i="21"/>
  <c r="T22" i="21" s="1"/>
  <c r="L21" i="45"/>
  <c r="L22" i="45" s="1"/>
  <c r="Z32" i="10"/>
  <c r="O14" i="19" s="1"/>
  <c r="V21" i="12"/>
  <c r="V22" i="12" s="1"/>
  <c r="R21" i="12"/>
  <c r="R22" i="12" s="1"/>
  <c r="M21" i="14"/>
  <c r="M22" i="14" s="1"/>
  <c r="K21" i="16"/>
  <c r="K22" i="16" s="1"/>
  <c r="N21" i="36"/>
  <c r="N22" i="36" s="1"/>
  <c r="S21" i="12"/>
  <c r="S22" i="12" s="1"/>
  <c r="V21" i="25"/>
  <c r="V22" i="25" s="1"/>
  <c r="K21" i="45"/>
  <c r="K22" i="45" s="1"/>
  <c r="Y21" i="14"/>
  <c r="Y22" i="14" s="1"/>
  <c r="W21" i="16"/>
  <c r="W22" i="16" s="1"/>
  <c r="W21" i="12"/>
  <c r="W22" i="12" s="1"/>
  <c r="Z21" i="45"/>
  <c r="Z22" i="45" s="1"/>
  <c r="L12" i="9"/>
  <c r="E22" i="17"/>
  <c r="U21" i="12"/>
  <c r="U22" i="12" s="1"/>
  <c r="O21" i="16"/>
  <c r="O22" i="16" s="1"/>
  <c r="Z21" i="15"/>
  <c r="Z22" i="15" s="1"/>
  <c r="F4" i="9"/>
  <c r="R4" i="9"/>
  <c r="Z13" i="9"/>
  <c r="D5" i="9"/>
  <c r="D9" i="9"/>
  <c r="Z33" i="10"/>
  <c r="O31" i="19" s="1"/>
  <c r="J25" i="9"/>
  <c r="B8" i="9"/>
  <c r="AA26" i="28"/>
  <c r="U21" i="21"/>
  <c r="U22" i="21" s="1"/>
  <c r="D19" i="9"/>
  <c r="S21" i="21"/>
  <c r="S22" i="21" s="1"/>
  <c r="O21" i="21"/>
  <c r="O22" i="21" s="1"/>
  <c r="AA24" i="16"/>
  <c r="R26" i="9"/>
  <c r="Z54" i="10"/>
  <c r="O51" i="19" s="1"/>
  <c r="P7" i="9"/>
  <c r="Z10" i="10"/>
  <c r="O48" i="19" s="1"/>
  <c r="E22" i="21"/>
  <c r="AA25" i="21"/>
  <c r="Z18" i="9"/>
  <c r="S21" i="36"/>
  <c r="S22" i="36" s="1"/>
  <c r="F6" i="9"/>
  <c r="D18" i="9"/>
  <c r="Z3" i="10"/>
  <c r="O37" i="19" s="1"/>
  <c r="W21" i="36"/>
  <c r="W22" i="36" s="1"/>
  <c r="L21" i="35"/>
  <c r="L22" i="35" s="1"/>
  <c r="J10" i="9"/>
  <c r="H12" i="9"/>
  <c r="Z21" i="25"/>
  <c r="Z22" i="25" s="1"/>
  <c r="R21" i="14"/>
  <c r="R22" i="14" s="1"/>
  <c r="Y21" i="36"/>
  <c r="Y22" i="36" s="1"/>
  <c r="M21" i="36"/>
  <c r="M22" i="36" s="1"/>
  <c r="K21" i="15"/>
  <c r="K22" i="15" s="1"/>
  <c r="N9" i="9"/>
  <c r="X19" i="9"/>
  <c r="J24" i="9"/>
  <c r="Q21" i="12"/>
  <c r="Q22" i="12" s="1"/>
  <c r="F10" i="9"/>
  <c r="B14" i="9"/>
  <c r="Z19" i="9"/>
  <c r="L5" i="9"/>
  <c r="L21" i="37"/>
  <c r="L22" i="37" s="1"/>
  <c r="X21" i="25"/>
  <c r="X22" i="25" s="1"/>
  <c r="T21" i="16"/>
  <c r="T22" i="16" s="1"/>
  <c r="R21" i="45"/>
  <c r="R22" i="45" s="1"/>
  <c r="V21" i="14"/>
  <c r="V22" i="14" s="1"/>
  <c r="K21" i="36"/>
  <c r="K22" i="36" s="1"/>
  <c r="K21" i="37"/>
  <c r="K22" i="37" s="1"/>
  <c r="J21" i="28"/>
  <c r="J22" i="28" s="1"/>
  <c r="L21" i="25"/>
  <c r="L22" i="25" s="1"/>
  <c r="P21" i="14"/>
  <c r="P22" i="14" s="1"/>
  <c r="X21" i="16"/>
  <c r="X22" i="16" s="1"/>
  <c r="AA24" i="45"/>
  <c r="O21" i="14"/>
  <c r="O22" i="14" s="1"/>
  <c r="U21" i="16"/>
  <c r="U22" i="16" s="1"/>
  <c r="Q21" i="16"/>
  <c r="Q22" i="16" s="1"/>
  <c r="T21" i="33"/>
  <c r="T22" i="33" s="1"/>
  <c r="O21" i="28"/>
  <c r="O22" i="28" s="1"/>
  <c r="P21" i="35"/>
  <c r="P22" i="35" s="1"/>
  <c r="AA13" i="45"/>
  <c r="AA9" i="25"/>
  <c r="AA26" i="16"/>
  <c r="Z21" i="33"/>
  <c r="Z22" i="33" s="1"/>
  <c r="N21" i="14"/>
  <c r="N22" i="14" s="1"/>
  <c r="V21" i="21"/>
  <c r="V22" i="21" s="1"/>
  <c r="U21" i="35"/>
  <c r="U22" i="35" s="1"/>
  <c r="T21" i="45"/>
  <c r="T22" i="45" s="1"/>
  <c r="E22" i="40"/>
  <c r="AA24" i="14"/>
  <c r="R21" i="16"/>
  <c r="R22" i="16" s="1"/>
  <c r="V8" i="9"/>
  <c r="X9" i="9"/>
  <c r="B13" i="9"/>
  <c r="P11" i="9"/>
  <c r="X21" i="35"/>
  <c r="X22" i="35" s="1"/>
  <c r="X21" i="45"/>
  <c r="X22" i="45" s="1"/>
  <c r="L9" i="9"/>
  <c r="Z4" i="9"/>
  <c r="P16" i="9"/>
  <c r="AA25" i="12"/>
  <c r="P21" i="25"/>
  <c r="P22" i="25" s="1"/>
  <c r="P21" i="28"/>
  <c r="P22" i="28" s="1"/>
  <c r="L21" i="16"/>
  <c r="L22" i="16" s="1"/>
  <c r="AA24" i="33"/>
  <c r="R21" i="21"/>
  <c r="R22" i="21" s="1"/>
  <c r="S21" i="14"/>
  <c r="S22" i="14" s="1"/>
  <c r="J22" i="16"/>
  <c r="V21" i="36"/>
  <c r="V22" i="36" s="1"/>
  <c r="V21" i="37"/>
  <c r="V22" i="37" s="1"/>
  <c r="R21" i="37"/>
  <c r="R22" i="37" s="1"/>
  <c r="U21" i="28"/>
  <c r="U22" i="28" s="1"/>
  <c r="V21" i="35"/>
  <c r="V22" i="35" s="1"/>
  <c r="Z22" i="10"/>
  <c r="O36" i="19" s="1"/>
  <c r="X10" i="9"/>
  <c r="F18" i="9"/>
  <c r="H14" i="9"/>
  <c r="AA26" i="14"/>
  <c r="Q21" i="36"/>
  <c r="Q22" i="36" s="1"/>
  <c r="V21" i="16"/>
  <c r="V22" i="16" s="1"/>
  <c r="R21" i="28"/>
  <c r="R22" i="28" s="1"/>
  <c r="V21" i="28"/>
  <c r="V22" i="28" s="1"/>
  <c r="O21" i="35"/>
  <c r="O22" i="35" s="1"/>
  <c r="P21" i="45"/>
  <c r="P22" i="45" s="1"/>
  <c r="W21" i="15"/>
  <c r="W22" i="15" s="1"/>
  <c r="AA4" i="30"/>
  <c r="AA22" i="30" s="1"/>
  <c r="Z2" i="10"/>
  <c r="O29" i="19" s="1"/>
  <c r="R15" i="9"/>
  <c r="L6" i="9"/>
  <c r="Z24" i="9"/>
  <c r="F15" i="9"/>
  <c r="Z20" i="9"/>
  <c r="V26" i="9"/>
  <c r="J16" i="9"/>
  <c r="P26" i="9"/>
  <c r="L24" i="9"/>
  <c r="W21" i="25"/>
  <c r="W22" i="25" s="1"/>
  <c r="S21" i="16"/>
  <c r="S22" i="16" s="1"/>
  <c r="AA24" i="15"/>
  <c r="AA25" i="15"/>
  <c r="W21" i="33"/>
  <c r="W22" i="33" s="1"/>
  <c r="T21" i="28"/>
  <c r="T22" i="28" s="1"/>
  <c r="H22" i="25"/>
  <c r="Z21" i="37"/>
  <c r="Z22" i="37" s="1"/>
  <c r="F22" i="33"/>
  <c r="P21" i="36"/>
  <c r="P22" i="36" s="1"/>
  <c r="X21" i="37"/>
  <c r="X22" i="37" s="1"/>
  <c r="AA6" i="21"/>
  <c r="N21" i="35"/>
  <c r="N22" i="35" s="1"/>
  <c r="Q21" i="45"/>
  <c r="Q22" i="45" s="1"/>
  <c r="AA10" i="25"/>
  <c r="I22" i="25"/>
  <c r="AA19" i="15"/>
  <c r="AA10" i="15"/>
  <c r="AA26" i="45"/>
  <c r="AA12" i="28"/>
  <c r="H22" i="14"/>
  <c r="Y21" i="33"/>
  <c r="Y22" i="33" s="1"/>
  <c r="G22" i="33"/>
  <c r="O21" i="36"/>
  <c r="O22" i="36" s="1"/>
  <c r="X21" i="28"/>
  <c r="X22" i="28" s="1"/>
  <c r="F22" i="28"/>
  <c r="M21" i="35"/>
  <c r="M22" i="35" s="1"/>
  <c r="N21" i="45"/>
  <c r="N22" i="45" s="1"/>
  <c r="J22" i="45"/>
  <c r="H22" i="45"/>
  <c r="AA5" i="25"/>
  <c r="AA25" i="14"/>
  <c r="AA25" i="36"/>
  <c r="X26" i="9"/>
  <c r="N21" i="21"/>
  <c r="N22" i="21" s="1"/>
  <c r="AA24" i="12"/>
  <c r="W21" i="37"/>
  <c r="W22" i="37" s="1"/>
  <c r="AA24" i="37"/>
  <c r="AA24" i="28"/>
  <c r="AA25" i="16"/>
  <c r="E22" i="45"/>
  <c r="AA25" i="45"/>
  <c r="P21" i="37"/>
  <c r="P22" i="37" s="1"/>
  <c r="U21" i="45"/>
  <c r="U22" i="45" s="1"/>
  <c r="AA18" i="45"/>
  <c r="AA14" i="15"/>
  <c r="AA15" i="12"/>
  <c r="AA12" i="12"/>
  <c r="Z21" i="14"/>
  <c r="Z22" i="14" s="1"/>
  <c r="Z8" i="10"/>
  <c r="O5" i="19" s="1"/>
  <c r="H8" i="9"/>
  <c r="R19" i="9"/>
  <c r="J14" i="9"/>
  <c r="F16" i="9"/>
  <c r="Z24" i="10"/>
  <c r="O11" i="19" s="1"/>
  <c r="AA26" i="33"/>
  <c r="X21" i="14"/>
  <c r="X22" i="14" s="1"/>
  <c r="P21" i="16"/>
  <c r="P22" i="16" s="1"/>
  <c r="S21" i="33"/>
  <c r="S22" i="33" s="1"/>
  <c r="T21" i="37"/>
  <c r="T22" i="37" s="1"/>
  <c r="AA17" i="21"/>
  <c r="S21" i="35"/>
  <c r="S22" i="35" s="1"/>
  <c r="V21" i="45"/>
  <c r="V22" i="45" s="1"/>
  <c r="Y21" i="21"/>
  <c r="Y22" i="21" s="1"/>
  <c r="K21" i="25"/>
  <c r="K22" i="25" s="1"/>
  <c r="AA26" i="25"/>
  <c r="Q21" i="28"/>
  <c r="Q22" i="28" s="1"/>
  <c r="L16" i="9"/>
  <c r="X13" i="9"/>
  <c r="E22" i="33"/>
  <c r="AA25" i="28"/>
  <c r="B19" i="9"/>
  <c r="N25" i="9"/>
  <c r="Z51" i="10"/>
  <c r="O16" i="19" s="1"/>
  <c r="L11" i="9"/>
  <c r="AA26" i="36"/>
  <c r="AA25" i="37"/>
  <c r="N18" i="9"/>
  <c r="H5" i="9"/>
  <c r="L21" i="14"/>
  <c r="L22" i="14" s="1"/>
  <c r="U21" i="36"/>
  <c r="U22" i="36" s="1"/>
  <c r="H22" i="28"/>
  <c r="J22" i="21"/>
  <c r="J18" i="9"/>
  <c r="AA24" i="25"/>
  <c r="V9" i="9"/>
  <c r="L20" i="9"/>
  <c r="B7" i="9"/>
  <c r="R11" i="9"/>
  <c r="H4" i="9"/>
  <c r="Z11" i="9"/>
  <c r="N16" i="9"/>
  <c r="X12" i="9"/>
  <c r="R16" i="9"/>
  <c r="V7" i="9"/>
  <c r="J6" i="9"/>
  <c r="L7" i="9"/>
  <c r="N8" i="9"/>
  <c r="V14" i="9"/>
  <c r="R13" i="9"/>
  <c r="H15" i="9"/>
  <c r="P8" i="9"/>
  <c r="D13" i="9"/>
  <c r="AA10" i="37"/>
  <c r="E22" i="35"/>
  <c r="M21" i="15"/>
  <c r="M22" i="15" s="1"/>
  <c r="S21" i="15"/>
  <c r="S22" i="15" s="1"/>
  <c r="Y21" i="15"/>
  <c r="Y22" i="15" s="1"/>
  <c r="O21" i="15"/>
  <c r="O22" i="15" s="1"/>
  <c r="U21" i="15"/>
  <c r="U22" i="15" s="1"/>
  <c r="W21" i="14"/>
  <c r="W22" i="14" s="1"/>
  <c r="Q21" i="14"/>
  <c r="Q22" i="14" s="1"/>
  <c r="K21" i="14"/>
  <c r="K22" i="14" s="1"/>
  <c r="X21" i="33"/>
  <c r="X22" i="33" s="1"/>
  <c r="R21" i="33"/>
  <c r="R22" i="33" s="1"/>
  <c r="X21" i="36"/>
  <c r="X22" i="36" s="1"/>
  <c r="R21" i="36"/>
  <c r="R22" i="36" s="1"/>
  <c r="N21" i="37"/>
  <c r="Y21" i="37"/>
  <c r="Y22" i="37" s="1"/>
  <c r="S21" i="37"/>
  <c r="S22" i="37" s="1"/>
  <c r="M21" i="37"/>
  <c r="M22" i="37" s="1"/>
  <c r="M21" i="28"/>
  <c r="M22" i="28" s="1"/>
  <c r="G22" i="35"/>
  <c r="Y21" i="45"/>
  <c r="Y22" i="45" s="1"/>
  <c r="S21" i="45"/>
  <c r="S22" i="45" s="1"/>
  <c r="M21" i="45"/>
  <c r="M22" i="45" s="1"/>
  <c r="Y21" i="25"/>
  <c r="Y22" i="25" s="1"/>
  <c r="M21" i="25"/>
  <c r="M22" i="25" s="1"/>
  <c r="Z21" i="28"/>
  <c r="Z22" i="28" s="1"/>
  <c r="Z21" i="35"/>
  <c r="Z22" i="35" s="1"/>
  <c r="AA24" i="35"/>
  <c r="E22" i="12"/>
  <c r="AA26" i="12"/>
  <c r="O21" i="33"/>
  <c r="O22" i="33" s="1"/>
  <c r="AA25" i="33"/>
  <c r="F24" i="9"/>
  <c r="D12" i="9"/>
  <c r="AA7" i="12"/>
  <c r="Z21" i="16"/>
  <c r="Z22" i="16" s="1"/>
  <c r="AA24" i="36"/>
  <c r="U21" i="33"/>
  <c r="U22" i="33" s="1"/>
  <c r="X11" i="9"/>
  <c r="B15" i="9"/>
  <c r="V4" i="9"/>
  <c r="K21" i="35"/>
  <c r="K22" i="35" s="1"/>
  <c r="Z9" i="10"/>
  <c r="O6" i="19" s="1"/>
  <c r="R7" i="9"/>
  <c r="R18" i="9"/>
  <c r="B10" i="9"/>
  <c r="H7" i="9"/>
  <c r="Z17" i="10"/>
  <c r="O22" i="19" s="1"/>
  <c r="P24" i="9"/>
  <c r="E22" i="15"/>
  <c r="AA4" i="15"/>
  <c r="AA5" i="16"/>
  <c r="AA20" i="36"/>
  <c r="AA13" i="36"/>
  <c r="AA11" i="36"/>
  <c r="AA8" i="14"/>
  <c r="AA5" i="14"/>
  <c r="G22" i="14"/>
  <c r="AA12" i="16"/>
  <c r="AA17" i="33"/>
  <c r="AA5" i="33"/>
  <c r="H22" i="33"/>
  <c r="AA19" i="36"/>
  <c r="AA18" i="36"/>
  <c r="AA17" i="36"/>
  <c r="J21" i="36"/>
  <c r="J22" i="36" s="1"/>
  <c r="AA10" i="36"/>
  <c r="AA18" i="37"/>
  <c r="AA16" i="37"/>
  <c r="AA18" i="14"/>
  <c r="AA11" i="14"/>
  <c r="AA10" i="14"/>
  <c r="AA17" i="16"/>
  <c r="AA14" i="16"/>
  <c r="AA11" i="33"/>
  <c r="AA8" i="33"/>
  <c r="AA16" i="36"/>
  <c r="AA7" i="36"/>
  <c r="H22" i="36"/>
  <c r="F22" i="36"/>
  <c r="L21" i="15"/>
  <c r="L22" i="15" s="1"/>
  <c r="AA6" i="28"/>
  <c r="I22" i="28"/>
  <c r="U21" i="25"/>
  <c r="U22" i="25" s="1"/>
  <c r="AA15" i="15"/>
  <c r="X21" i="15"/>
  <c r="X22" i="15" s="1"/>
  <c r="AA9" i="15"/>
  <c r="N21" i="15"/>
  <c r="N22" i="15" s="1"/>
  <c r="AA7" i="15"/>
  <c r="G22" i="15"/>
  <c r="AA14" i="12"/>
  <c r="AA9" i="12"/>
  <c r="M22" i="12"/>
  <c r="G22" i="12"/>
  <c r="P22" i="12"/>
  <c r="J22" i="12"/>
  <c r="AA12" i="37"/>
  <c r="I22" i="37"/>
  <c r="M22" i="21"/>
  <c r="AA5" i="21"/>
  <c r="H22" i="21"/>
  <c r="J21" i="35"/>
  <c r="J22" i="35" s="1"/>
  <c r="AA20" i="35"/>
  <c r="AA13" i="35"/>
  <c r="G22" i="45"/>
  <c r="AA5" i="45"/>
  <c r="I22" i="45"/>
  <c r="AA14" i="25"/>
  <c r="O21" i="25"/>
  <c r="O22" i="25" s="1"/>
  <c r="AA4" i="35"/>
  <c r="AA19" i="28"/>
  <c r="AA17" i="28"/>
  <c r="G22" i="28"/>
  <c r="AA19" i="35"/>
  <c r="AA16" i="35"/>
  <c r="AA10" i="35"/>
  <c r="AA7" i="35"/>
  <c r="H22" i="35"/>
  <c r="AA8" i="45"/>
  <c r="G22" i="25"/>
  <c r="R21" i="15"/>
  <c r="R22" i="15" s="1"/>
  <c r="AA12" i="15"/>
  <c r="T21" i="15"/>
  <c r="T22" i="15" s="1"/>
  <c r="AA16" i="15"/>
  <c r="AA14" i="36"/>
  <c r="AA13" i="33"/>
  <c r="Q21" i="21"/>
  <c r="Q22" i="21" s="1"/>
  <c r="AA12" i="14"/>
  <c r="F22" i="14"/>
  <c r="AA20" i="16"/>
  <c r="AA18" i="16"/>
  <c r="AA9" i="16"/>
  <c r="AA6" i="16"/>
  <c r="I22" i="16"/>
  <c r="AA16" i="33"/>
  <c r="U21" i="37"/>
  <c r="U22" i="37" s="1"/>
  <c r="J22" i="37"/>
  <c r="AA5" i="37"/>
  <c r="AA18" i="21"/>
  <c r="AA13" i="21"/>
  <c r="AA12" i="21"/>
  <c r="AA9" i="21"/>
  <c r="AA8" i="21"/>
  <c r="K22" i="21"/>
  <c r="AA6" i="35"/>
  <c r="AA14" i="45"/>
  <c r="AA11" i="45"/>
  <c r="AA20" i="25"/>
  <c r="AA19" i="25"/>
  <c r="AA16" i="25"/>
  <c r="AA13" i="25"/>
  <c r="AA7" i="25"/>
  <c r="AA19" i="12"/>
  <c r="O22" i="12"/>
  <c r="I22" i="12"/>
  <c r="F22" i="12"/>
  <c r="AA9" i="37"/>
  <c r="AA20" i="21"/>
  <c r="AA14" i="21"/>
  <c r="AA17" i="35"/>
  <c r="AA11" i="35"/>
  <c r="AA10" i="16"/>
  <c r="AA7" i="33"/>
  <c r="AA14" i="33"/>
  <c r="AA17" i="14"/>
  <c r="AA14" i="14"/>
  <c r="AA11" i="16"/>
  <c r="AA8" i="16"/>
  <c r="AA15" i="33"/>
  <c r="AA9" i="33"/>
  <c r="L22" i="33"/>
  <c r="AA4" i="33"/>
  <c r="AA6" i="36"/>
  <c r="AA20" i="37"/>
  <c r="AA13" i="37"/>
  <c r="AA14" i="28"/>
  <c r="AA8" i="28"/>
  <c r="AA11" i="21"/>
  <c r="T21" i="35"/>
  <c r="T22" i="35" s="1"/>
  <c r="AA18" i="35"/>
  <c r="AA15" i="35"/>
  <c r="AA19" i="45"/>
  <c r="AA10" i="45"/>
  <c r="AA17" i="25"/>
  <c r="AA12" i="25"/>
  <c r="AA11" i="25"/>
  <c r="AA20" i="15"/>
  <c r="AA11" i="15"/>
  <c r="AA8" i="15"/>
  <c r="AA16" i="12"/>
  <c r="AA13" i="12"/>
  <c r="AA8" i="12"/>
  <c r="K22" i="12"/>
  <c r="AA13" i="15"/>
  <c r="AA26" i="15"/>
  <c r="AA6" i="33"/>
  <c r="N21" i="33"/>
  <c r="AA16" i="14"/>
  <c r="AA13" i="14"/>
  <c r="I22" i="33"/>
  <c r="M22" i="33"/>
  <c r="I22" i="36"/>
  <c r="H22" i="37"/>
  <c r="Y21" i="35"/>
  <c r="Y22" i="35" s="1"/>
  <c r="T21" i="25"/>
  <c r="AA18" i="15"/>
  <c r="Q21" i="15"/>
  <c r="Q22" i="15" s="1"/>
  <c r="J22" i="15"/>
  <c r="AA17" i="12"/>
  <c r="AA5" i="12"/>
  <c r="AA4" i="14"/>
  <c r="AA26" i="21"/>
  <c r="AA7" i="28"/>
  <c r="AA5" i="35"/>
  <c r="AA15" i="14"/>
  <c r="AA4" i="36"/>
  <c r="E22" i="36"/>
  <c r="AA15" i="36"/>
  <c r="P21" i="21"/>
  <c r="P22" i="21" s="1"/>
  <c r="AA20" i="14"/>
  <c r="I22" i="14"/>
  <c r="AA6" i="14"/>
  <c r="AA13" i="16"/>
  <c r="AA12" i="36"/>
  <c r="AA17" i="37"/>
  <c r="AA7" i="37"/>
  <c r="AA6" i="37"/>
  <c r="S21" i="28"/>
  <c r="S22" i="28" s="1"/>
  <c r="AA15" i="28"/>
  <c r="AA5" i="28"/>
  <c r="AA10" i="21"/>
  <c r="AA4" i="21"/>
  <c r="AA12" i="35"/>
  <c r="AA12" i="45"/>
  <c r="AA4" i="45"/>
  <c r="AA15" i="25"/>
  <c r="AA6" i="25"/>
  <c r="V21" i="15"/>
  <c r="V22" i="15" s="1"/>
  <c r="AA5" i="15"/>
  <c r="I22" i="15"/>
  <c r="N22" i="12"/>
  <c r="F22" i="37"/>
  <c r="AA8" i="36"/>
  <c r="AA19" i="33"/>
  <c r="AA19" i="14"/>
  <c r="G22" i="16"/>
  <c r="K22" i="33"/>
  <c r="G22" i="36"/>
  <c r="O21" i="37"/>
  <c r="O22" i="37" s="1"/>
  <c r="AA11" i="37"/>
  <c r="AA8" i="37"/>
  <c r="AA16" i="28"/>
  <c r="AA10" i="28"/>
  <c r="AA15" i="21"/>
  <c r="G22" i="21"/>
  <c r="AA20" i="45"/>
  <c r="AA17" i="45"/>
  <c r="F22" i="45"/>
  <c r="N21" i="25"/>
  <c r="N22" i="25" s="1"/>
  <c r="F22" i="25"/>
  <c r="H22" i="15"/>
  <c r="F22" i="15"/>
  <c r="L22" i="12"/>
  <c r="AA4" i="28"/>
  <c r="AA15" i="37"/>
  <c r="AA13" i="28"/>
  <c r="AA18" i="12"/>
  <c r="AA6" i="12"/>
  <c r="AA16" i="16"/>
  <c r="AA4" i="16"/>
  <c r="AA9" i="14"/>
  <c r="AA8" i="25"/>
  <c r="AA9" i="36"/>
  <c r="AA20" i="33"/>
  <c r="AA7" i="14"/>
  <c r="AA19" i="16"/>
  <c r="AA19" i="37"/>
  <c r="Y21" i="28"/>
  <c r="Y22" i="28" s="1"/>
  <c r="AA9" i="28"/>
  <c r="AA16" i="21"/>
  <c r="AA7" i="21"/>
  <c r="AA9" i="35"/>
  <c r="AA8" i="35"/>
  <c r="AA9" i="45"/>
  <c r="AA6" i="15"/>
  <c r="AA20" i="12"/>
  <c r="AA11" i="12"/>
  <c r="AA10" i="12"/>
  <c r="AA24" i="21"/>
  <c r="AA4" i="25"/>
  <c r="X21" i="21"/>
  <c r="AA25" i="35"/>
  <c r="AA26" i="35"/>
  <c r="Q21" i="37"/>
  <c r="Q22" i="37" s="1"/>
  <c r="AA25" i="25"/>
  <c r="Y21" i="16"/>
  <c r="Y22" i="16" s="1"/>
  <c r="AA7" i="16"/>
  <c r="F22" i="16"/>
  <c r="H22" i="16"/>
  <c r="AA18" i="33"/>
  <c r="AA12" i="33"/>
  <c r="AA10" i="33"/>
  <c r="J22" i="33"/>
  <c r="T21" i="36"/>
  <c r="T22" i="36" s="1"/>
  <c r="AA5" i="36"/>
  <c r="AA14" i="37"/>
  <c r="AA4" i="37"/>
  <c r="G22" i="37"/>
  <c r="AA11" i="28"/>
  <c r="L22" i="21"/>
  <c r="R21" i="35"/>
  <c r="R22" i="35" s="1"/>
  <c r="F22" i="35"/>
  <c r="AA16" i="45"/>
  <c r="AA15" i="45"/>
  <c r="AA18" i="25"/>
  <c r="S21" i="25"/>
  <c r="S22" i="25" s="1"/>
  <c r="AA17" i="15"/>
  <c r="P21" i="15"/>
  <c r="P22" i="15" s="1"/>
  <c r="H22" i="12"/>
  <c r="Z21" i="36"/>
  <c r="Z22" i="36" s="1"/>
  <c r="E22" i="25"/>
  <c r="E22" i="37"/>
  <c r="AA4" i="12"/>
  <c r="F22" i="21"/>
  <c r="E22" i="16"/>
  <c r="I22" i="21"/>
  <c r="T21" i="14"/>
  <c r="AA19" i="21"/>
  <c r="AA18" i="28"/>
  <c r="E22" i="28"/>
  <c r="AA15" i="16"/>
  <c r="E22" i="14"/>
  <c r="AA7" i="45"/>
  <c r="Z5" i="9"/>
  <c r="Z21" i="21"/>
  <c r="Z22" i="21" s="1"/>
  <c r="Z53" i="10"/>
  <c r="O55" i="19" s="1"/>
  <c r="V6" i="9"/>
  <c r="AA4" i="34"/>
  <c r="AA22" i="34" s="1"/>
  <c r="E22" i="34"/>
  <c r="AA26" i="37"/>
  <c r="AA6" i="45"/>
  <c r="Z15" i="10"/>
  <c r="O30" i="19" s="1"/>
  <c r="F20" i="9"/>
  <c r="N21" i="16"/>
  <c r="H26" i="9"/>
  <c r="Z44" i="10"/>
  <c r="O32" i="19" s="1"/>
  <c r="AA14" i="35"/>
  <c r="V21" i="33"/>
  <c r="V22" i="33" s="1"/>
  <c r="Z12" i="10"/>
  <c r="O26" i="19" s="1"/>
  <c r="J20" i="9"/>
  <c r="U21" i="14"/>
  <c r="U22" i="14" s="1"/>
  <c r="P4" i="9"/>
  <c r="N4" i="9"/>
  <c r="AA20" i="28"/>
  <c r="D10" i="9"/>
  <c r="J13" i="9"/>
  <c r="J12" i="9"/>
  <c r="Z36" i="10"/>
  <c r="O46" i="19" s="1"/>
  <c r="R5" i="9"/>
  <c r="Z30" i="10"/>
  <c r="O39" i="19" s="1"/>
  <c r="D7" i="9"/>
  <c r="D17" i="9"/>
  <c r="Z13" i="10"/>
  <c r="O41" i="19" s="1"/>
  <c r="B9" i="9"/>
  <c r="J19" i="9"/>
  <c r="P13" i="9"/>
  <c r="Z8" i="9"/>
  <c r="H18" i="9"/>
  <c r="F5" i="9"/>
  <c r="L4" i="9"/>
  <c r="D16" i="9"/>
  <c r="L18" i="9"/>
  <c r="Z14" i="9"/>
  <c r="Z48" i="10"/>
  <c r="O33" i="19" s="1"/>
  <c r="P14" i="9"/>
  <c r="X20" i="9"/>
  <c r="Z34" i="10"/>
  <c r="O23" i="19" s="1"/>
  <c r="V5" i="9"/>
  <c r="Z9" i="9"/>
  <c r="Z10" i="9"/>
  <c r="H17" i="9"/>
  <c r="D15" i="9"/>
  <c r="X5" i="9"/>
  <c r="J5" i="9"/>
  <c r="X4" i="9"/>
  <c r="X8" i="9"/>
  <c r="P18" i="9"/>
  <c r="Z35" i="10"/>
  <c r="O50" i="19" s="1"/>
  <c r="N13" i="9"/>
  <c r="X15" i="9"/>
  <c r="B25" i="9"/>
  <c r="J4" i="9"/>
  <c r="H16" i="9"/>
  <c r="F25" i="9"/>
  <c r="J9" i="9"/>
  <c r="Z20" i="10"/>
  <c r="O9" i="19" s="1"/>
  <c r="F14" i="9"/>
  <c r="H9" i="9"/>
  <c r="N5" i="9"/>
  <c r="J7" i="9"/>
  <c r="N20" i="9"/>
  <c r="Z14" i="10"/>
  <c r="O40" i="19" s="1"/>
  <c r="R6" i="9"/>
  <c r="Z7" i="9"/>
  <c r="V16" i="9"/>
  <c r="P19" i="9"/>
  <c r="N19" i="9"/>
  <c r="Z12" i="9"/>
  <c r="L10" i="9"/>
  <c r="H11" i="9"/>
  <c r="F13" i="9"/>
  <c r="X17" i="9"/>
  <c r="V15" i="9"/>
  <c r="N11" i="9"/>
  <c r="H24" i="9"/>
  <c r="Z15" i="9"/>
  <c r="P20" i="9"/>
  <c r="L14" i="9"/>
  <c r="D6" i="9"/>
  <c r="F17" i="9"/>
  <c r="B12" i="9"/>
  <c r="X25" i="9"/>
  <c r="Z29" i="10"/>
  <c r="O45" i="19" s="1"/>
  <c r="B4" i="9"/>
  <c r="B6" i="9"/>
  <c r="Z26" i="10"/>
  <c r="O12" i="19" s="1"/>
  <c r="Z27" i="10"/>
  <c r="O42" i="19" s="1"/>
  <c r="B11" i="9"/>
  <c r="H19" i="9"/>
  <c r="Z26" i="9"/>
  <c r="R8" i="9"/>
  <c r="X14" i="9"/>
  <c r="Z11" i="10"/>
  <c r="O7" i="19" s="1"/>
  <c r="Z41" i="10"/>
  <c r="O17" i="19" s="1"/>
  <c r="N12" i="9"/>
  <c r="V18" i="9"/>
  <c r="Z21" i="10"/>
  <c r="O35" i="19" s="1"/>
  <c r="X16" i="9"/>
  <c r="Z5" i="10"/>
  <c r="O3" i="19" s="1"/>
  <c r="D14" i="9"/>
  <c r="O24" i="19"/>
  <c r="R24" i="9"/>
  <c r="V25" i="9"/>
  <c r="O18" i="19"/>
  <c r="O49" i="19"/>
  <c r="Z6" i="10"/>
  <c r="F7" i="9"/>
  <c r="N10" i="9"/>
  <c r="Z18" i="10"/>
  <c r="V10" i="9"/>
  <c r="J15" i="9"/>
  <c r="P10" i="9"/>
  <c r="H6" i="9"/>
  <c r="X6" i="9"/>
  <c r="R14" i="9"/>
  <c r="L17" i="9"/>
  <c r="D8" i="9"/>
  <c r="B5" i="9"/>
  <c r="L25" i="9"/>
  <c r="N7" i="9"/>
  <c r="Z28" i="10"/>
  <c r="D26" i="9"/>
  <c r="R10" i="9"/>
  <c r="F11" i="9"/>
  <c r="P6" i="9"/>
  <c r="H13" i="9"/>
  <c r="R12" i="9"/>
  <c r="L8" i="9"/>
  <c r="Z47" i="10"/>
  <c r="X24" i="9"/>
  <c r="N6" i="9"/>
  <c r="B20" i="9"/>
  <c r="B18" i="9"/>
  <c r="R17" i="9"/>
  <c r="Z16" i="10"/>
  <c r="N24" i="9"/>
  <c r="D25" i="9"/>
  <c r="Z19" i="10"/>
  <c r="H10" i="9"/>
  <c r="V12" i="9"/>
  <c r="B24" i="9"/>
  <c r="R20" i="9"/>
  <c r="N15" i="9"/>
  <c r="F9" i="9"/>
  <c r="L13" i="9"/>
  <c r="P15" i="9"/>
  <c r="Z50" i="10"/>
  <c r="L26" i="9"/>
  <c r="Z39" i="10"/>
  <c r="N26" i="9"/>
  <c r="B16" i="9"/>
  <c r="P17" i="9"/>
  <c r="Z23" i="10"/>
  <c r="H25" i="9"/>
  <c r="Z42" i="10"/>
  <c r="L15" i="9"/>
  <c r="V20" i="9"/>
  <c r="AA21" i="37" l="1"/>
  <c r="AA22" i="37" s="1"/>
  <c r="AA21" i="45"/>
  <c r="AA22" i="45" s="1"/>
  <c r="N22" i="37"/>
  <c r="AA21" i="15"/>
  <c r="AA22" i="15" s="1"/>
  <c r="AA21" i="16"/>
  <c r="AA22" i="16" s="1"/>
  <c r="AA21" i="12"/>
  <c r="AA22" i="12" s="1"/>
  <c r="AA21" i="25"/>
  <c r="AA22" i="25" s="1"/>
  <c r="T22" i="25"/>
  <c r="X22" i="21"/>
  <c r="AA21" i="21"/>
  <c r="AA22" i="21" s="1"/>
  <c r="AA21" i="14"/>
  <c r="AA22" i="14" s="1"/>
  <c r="T22" i="14"/>
  <c r="AA21" i="33"/>
  <c r="AA22" i="33" s="1"/>
  <c r="N22" i="33"/>
  <c r="AA21" i="35"/>
  <c r="AA22" i="35" s="1"/>
  <c r="N22" i="16"/>
  <c r="AA21" i="28"/>
  <c r="AA22" i="28" s="1"/>
  <c r="AA21" i="36"/>
  <c r="AA22" i="36" s="1"/>
  <c r="Z22" i="9"/>
  <c r="AB40" i="10"/>
  <c r="J22" i="9"/>
  <c r="L22" i="9"/>
  <c r="D22" i="9"/>
  <c r="AB43" i="10"/>
  <c r="V22" i="9"/>
  <c r="X22" i="9"/>
  <c r="N22" i="9"/>
  <c r="F22" i="9"/>
  <c r="O8" i="19"/>
  <c r="AB19" i="10"/>
  <c r="O52" i="19"/>
  <c r="AB18" i="10"/>
  <c r="O34" i="19"/>
  <c r="AB42" i="10"/>
  <c r="O28" i="19"/>
  <c r="AB39" i="10"/>
  <c r="P22" i="9"/>
  <c r="AB51" i="10"/>
  <c r="AA23" i="10"/>
  <c r="AA12" i="10"/>
  <c r="AA34" i="10"/>
  <c r="AA3" i="10"/>
  <c r="AA17" i="10"/>
  <c r="AA52" i="10"/>
  <c r="AA42" i="10"/>
  <c r="AA29" i="10"/>
  <c r="AA10" i="10"/>
  <c r="AA15" i="10"/>
  <c r="AA51" i="10"/>
  <c r="AA18" i="10"/>
  <c r="AA16" i="10"/>
  <c r="AA48" i="10"/>
  <c r="AA44" i="10"/>
  <c r="AA27" i="10"/>
  <c r="AA8" i="10"/>
  <c r="AA5" i="10"/>
  <c r="AA54" i="10"/>
  <c r="AA21" i="10"/>
  <c r="AA36" i="10"/>
  <c r="AA32" i="10"/>
  <c r="AA13" i="10"/>
  <c r="AA37" i="10"/>
  <c r="AA4" i="10"/>
  <c r="AA20" i="10"/>
  <c r="AA9" i="10"/>
  <c r="AA43" i="10"/>
  <c r="AA49" i="10"/>
  <c r="AA14" i="10"/>
  <c r="AA28" i="10"/>
  <c r="AA2" i="10"/>
  <c r="AA25" i="10"/>
  <c r="AA41" i="10"/>
  <c r="AA33" i="10"/>
  <c r="AA53" i="10"/>
  <c r="B22" i="9"/>
  <c r="AA6" i="10"/>
  <c r="AA45" i="10"/>
  <c r="AA46" i="10"/>
  <c r="AA35" i="10"/>
  <c r="AA26" i="10"/>
  <c r="AA38" i="10"/>
  <c r="AA47" i="10"/>
  <c r="AA19" i="10"/>
  <c r="AA7" i="10"/>
  <c r="AA40" i="10"/>
  <c r="AA30" i="10"/>
  <c r="AA55" i="10"/>
  <c r="AA50" i="10"/>
  <c r="AA22" i="10"/>
  <c r="AA31" i="10"/>
  <c r="AA39" i="10"/>
  <c r="AA11" i="10"/>
  <c r="AA24" i="10"/>
  <c r="O4" i="19"/>
  <c r="AB36" i="10"/>
  <c r="AB33" i="10"/>
  <c r="AB45" i="10"/>
  <c r="AB49" i="10"/>
  <c r="AB52" i="10"/>
  <c r="AB27" i="10"/>
  <c r="AB25" i="10"/>
  <c r="AB6" i="10"/>
  <c r="AB55" i="10"/>
  <c r="AB4" i="10"/>
  <c r="AB9" i="10"/>
  <c r="AB15" i="10"/>
  <c r="AB12" i="10"/>
  <c r="AB26" i="10"/>
  <c r="AB17" i="10"/>
  <c r="AB3" i="10"/>
  <c r="AB31" i="10"/>
  <c r="AB24" i="10"/>
  <c r="AB2" i="10"/>
  <c r="AB35" i="10"/>
  <c r="AB10" i="10"/>
  <c r="AB38" i="10"/>
  <c r="AB29" i="10"/>
  <c r="AB41" i="10"/>
  <c r="AB46" i="10"/>
  <c r="AB7" i="10"/>
  <c r="AB32" i="10"/>
  <c r="AB21" i="10"/>
  <c r="AB48" i="10"/>
  <c r="AB54" i="10"/>
  <c r="AB13" i="10"/>
  <c r="AB30" i="10"/>
  <c r="AB20" i="10"/>
  <c r="AB34" i="10"/>
  <c r="AB53" i="10"/>
  <c r="AB44" i="10"/>
  <c r="AB8" i="10"/>
  <c r="AB14" i="10"/>
  <c r="AB22" i="10"/>
  <c r="AB5" i="10"/>
  <c r="O44" i="19"/>
  <c r="AB28" i="10"/>
  <c r="H22" i="9"/>
  <c r="O10" i="19"/>
  <c r="AB23" i="10"/>
  <c r="O54" i="19"/>
  <c r="AB50" i="10"/>
  <c r="O38" i="19"/>
  <c r="AB16" i="10"/>
  <c r="O47" i="19"/>
  <c r="AB47" i="10"/>
  <c r="R22" i="9"/>
  <c r="AB37" i="10"/>
  <c r="AB11" i="10"/>
  <c r="N26" i="19" l="1"/>
  <c r="N11" i="19"/>
  <c r="N34" i="19"/>
  <c r="N6" i="19"/>
  <c r="N39" i="19"/>
  <c r="N51" i="19"/>
  <c r="N53" i="19"/>
  <c r="N21" i="19"/>
  <c r="N41" i="19"/>
  <c r="N38" i="19"/>
  <c r="N2" i="19"/>
  <c r="N25" i="19"/>
  <c r="N20" i="19"/>
  <c r="N10" i="19"/>
  <c r="N40" i="19"/>
  <c r="N43" i="19"/>
  <c r="N9" i="19"/>
  <c r="N50" i="19"/>
  <c r="N35" i="19"/>
  <c r="N8" i="19"/>
  <c r="N3" i="19"/>
  <c r="N5" i="19"/>
  <c r="N29" i="19"/>
  <c r="N54" i="19"/>
  <c r="N45" i="19"/>
  <c r="N33" i="19"/>
  <c r="N30" i="19"/>
  <c r="N28" i="19"/>
  <c r="N36" i="19"/>
  <c r="N19" i="19"/>
  <c r="N46" i="19"/>
  <c r="N18" i="19"/>
  <c r="N16" i="19"/>
  <c r="N13" i="19"/>
  <c r="N27" i="19"/>
  <c r="N55" i="19"/>
  <c r="N24" i="19"/>
  <c r="N49" i="19"/>
  <c r="N52" i="19"/>
  <c r="N7" i="19"/>
  <c r="N4" i="19"/>
  <c r="N12" i="19"/>
  <c r="N37" i="19"/>
  <c r="AE55" i="10"/>
  <c r="AE9" i="10"/>
  <c r="AD25" i="10"/>
  <c r="AE7" i="10"/>
  <c r="AD7" i="10"/>
  <c r="AD24" i="10"/>
  <c r="AD46" i="10"/>
  <c r="AD29" i="10"/>
  <c r="AE25" i="10"/>
  <c r="AD5" i="10"/>
  <c r="AE54" i="10"/>
  <c r="AD45" i="10"/>
  <c r="AD43" i="10"/>
  <c r="AD9" i="10"/>
  <c r="AD28" i="10"/>
  <c r="AE45" i="10"/>
  <c r="AD52" i="10"/>
  <c r="AD55" i="10"/>
  <c r="AE29" i="10"/>
  <c r="AE42" i="10"/>
  <c r="AE18" i="10"/>
  <c r="AE19" i="10"/>
  <c r="AE36" i="10"/>
  <c r="AD39" i="10"/>
  <c r="AE41" i="10"/>
  <c r="AE44" i="10"/>
  <c r="AE28" i="10"/>
  <c r="AE52" i="10"/>
  <c r="AE26" i="10"/>
  <c r="AD27" i="10"/>
  <c r="AE3" i="10"/>
  <c r="AE22" i="10"/>
  <c r="AE39" i="10"/>
  <c r="AD15" i="10"/>
  <c r="AE5" i="10"/>
  <c r="AD17" i="10"/>
  <c r="AE14" i="10"/>
  <c r="AE13" i="10"/>
  <c r="AE53" i="10"/>
  <c r="AD30" i="10"/>
  <c r="AD31" i="10"/>
  <c r="AD53" i="10"/>
  <c r="AD18" i="10"/>
  <c r="AE16" i="10"/>
  <c r="AE24" i="10"/>
  <c r="AD8" i="10"/>
  <c r="AE43" i="10"/>
  <c r="AD13" i="10"/>
  <c r="AE48" i="10"/>
  <c r="AE32" i="10"/>
  <c r="AE2" i="10"/>
  <c r="AE50" i="10"/>
  <c r="AD11" i="10"/>
  <c r="AD36" i="10"/>
  <c r="AD44" i="10"/>
  <c r="AE4" i="10"/>
  <c r="AD14" i="10"/>
  <c r="AD51" i="10"/>
  <c r="AD6" i="10"/>
  <c r="AD42" i="10"/>
  <c r="AE38" i="10"/>
  <c r="AD4" i="10"/>
  <c r="AD23" i="10"/>
  <c r="AD26" i="10"/>
  <c r="AE20" i="10"/>
  <c r="AE47" i="10"/>
  <c r="AD32" i="10"/>
  <c r="AD38" i="10"/>
  <c r="AD47" i="10"/>
  <c r="AD41" i="10"/>
  <c r="AE6" i="10"/>
  <c r="AE12" i="10"/>
  <c r="AD21" i="10"/>
  <c r="AD37" i="10"/>
  <c r="AD20" i="10"/>
  <c r="AD3" i="10"/>
  <c r="AD35" i="10"/>
  <c r="AD22" i="10"/>
  <c r="AE37" i="10"/>
  <c r="AD19" i="10"/>
  <c r="AD40" i="10"/>
  <c r="AE27" i="10"/>
  <c r="AE21" i="10"/>
  <c r="AE11" i="10"/>
  <c r="AE40" i="10"/>
  <c r="AE49" i="10"/>
  <c r="AD49" i="10"/>
  <c r="AD2" i="10"/>
  <c r="AE23" i="10"/>
  <c r="AE31" i="10"/>
  <c r="AE30" i="10"/>
  <c r="AD16" i="10"/>
  <c r="AD10" i="10"/>
  <c r="AE10" i="10"/>
  <c r="AD50" i="10"/>
  <c r="AD12" i="10"/>
  <c r="AD48" i="10"/>
  <c r="AD34" i="10"/>
  <c r="AD33" i="10"/>
  <c r="AE33" i="10"/>
  <c r="AE34" i="10"/>
  <c r="AE8" i="10"/>
  <c r="AE35" i="10"/>
  <c r="AE15" i="10"/>
  <c r="AE17" i="10"/>
  <c r="AE51" i="10"/>
  <c r="AD54" i="10"/>
  <c r="AE46" i="10"/>
  <c r="N22" i="19"/>
  <c r="N47" i="19"/>
  <c r="N14" i="19"/>
  <c r="N42" i="19"/>
  <c r="N15" i="19"/>
  <c r="N32" i="19"/>
  <c r="N31" i="19"/>
  <c r="N48" i="19"/>
  <c r="N44" i="19"/>
  <c r="N23" i="19"/>
  <c r="N17" i="19"/>
  <c r="G16" i="2"/>
  <c r="M10" i="2"/>
  <c r="C26" i="19"/>
  <c r="J3" i="2"/>
  <c r="J14" i="2"/>
  <c r="D22" i="19"/>
  <c r="O10" i="2"/>
  <c r="E28" i="19"/>
  <c r="M59" i="19"/>
  <c r="J16" i="19"/>
  <c r="I15" i="2"/>
  <c r="H33" i="19"/>
  <c r="D14" i="2"/>
  <c r="I4" i="2"/>
  <c r="D5" i="19"/>
  <c r="V14" i="2"/>
  <c r="J60" i="19"/>
  <c r="F10" i="2"/>
  <c r="F7" i="19"/>
  <c r="Q10" i="2"/>
  <c r="V8" i="2"/>
  <c r="V15" i="2"/>
  <c r="G31" i="19"/>
  <c r="H4" i="2"/>
  <c r="K38" i="19"/>
  <c r="D19" i="2"/>
  <c r="T15" i="2"/>
  <c r="F19" i="2"/>
  <c r="B4" i="2"/>
  <c r="H58" i="19"/>
  <c r="K47" i="19"/>
  <c r="E45" i="19"/>
  <c r="J56" i="19"/>
  <c r="K11" i="2"/>
  <c r="B6" i="2"/>
  <c r="D4" i="2"/>
  <c r="J19" i="2"/>
  <c r="X15" i="2"/>
  <c r="Q16" i="2"/>
  <c r="E21" i="19"/>
  <c r="V4" i="2"/>
  <c r="L13" i="19"/>
  <c r="M5" i="19"/>
  <c r="H16" i="19"/>
  <c r="H19" i="2"/>
  <c r="T8" i="2"/>
  <c r="F8" i="2"/>
  <c r="C27" i="19"/>
  <c r="H17" i="2"/>
  <c r="D19" i="19"/>
  <c r="B8" i="19"/>
  <c r="L30" i="19"/>
  <c r="U7" i="2"/>
  <c r="E7" i="19"/>
  <c r="B35" i="19"/>
  <c r="K2" i="19"/>
  <c r="L7" i="2"/>
  <c r="F29" i="19"/>
  <c r="I19" i="19"/>
  <c r="K9" i="2"/>
  <c r="T6" i="2"/>
  <c r="J6" i="19"/>
  <c r="Q6" i="2"/>
  <c r="R18" i="2"/>
  <c r="K4" i="2"/>
  <c r="M51" i="19"/>
  <c r="G6" i="2"/>
  <c r="S15" i="2"/>
  <c r="K16" i="19"/>
  <c r="I7" i="2"/>
  <c r="S18" i="2"/>
  <c r="C19" i="19"/>
  <c r="D15" i="19"/>
  <c r="K60" i="19"/>
  <c r="W11" i="2"/>
  <c r="L37" i="19"/>
  <c r="O18" i="2"/>
  <c r="J40" i="19"/>
  <c r="E8" i="19"/>
  <c r="R4" i="2"/>
  <c r="C11" i="2"/>
  <c r="M58" i="19"/>
  <c r="K26" i="19"/>
  <c r="L9" i="19"/>
  <c r="X8" i="2"/>
  <c r="M8" i="2"/>
  <c r="K37" i="19"/>
  <c r="K7" i="2"/>
  <c r="O13" i="2"/>
  <c r="L58" i="19"/>
  <c r="Q17" i="2"/>
  <c r="G18" i="2"/>
  <c r="K14" i="19"/>
  <c r="Q7" i="2"/>
  <c r="E58" i="19"/>
  <c r="K8" i="2"/>
  <c r="F19" i="19"/>
  <c r="H3" i="19"/>
  <c r="N10" i="2"/>
  <c r="E60" i="19"/>
  <c r="F28" i="19"/>
  <c r="J49" i="19"/>
  <c r="K36" i="19"/>
  <c r="S10" i="2"/>
  <c r="X12" i="2"/>
  <c r="E6" i="2"/>
  <c r="F10" i="19"/>
  <c r="D2" i="19"/>
  <c r="G20" i="19"/>
  <c r="M3" i="2"/>
  <c r="D56" i="19"/>
  <c r="E14" i="2"/>
  <c r="F56" i="19"/>
  <c r="I10" i="2"/>
  <c r="D32" i="19"/>
  <c r="N13" i="2"/>
  <c r="H32" i="19"/>
  <c r="F36" i="19"/>
  <c r="L56" i="19"/>
  <c r="G11" i="19"/>
  <c r="H60" i="19"/>
  <c r="H14" i="2"/>
  <c r="O12" i="2"/>
  <c r="F16" i="2"/>
  <c r="K19" i="2"/>
  <c r="F35" i="19"/>
  <c r="B15" i="2"/>
  <c r="I2" i="19"/>
  <c r="B3" i="19"/>
  <c r="F43" i="19"/>
  <c r="D28" i="19"/>
  <c r="J29" i="19"/>
  <c r="R13" i="2"/>
  <c r="V18" i="2"/>
  <c r="V9" i="2"/>
  <c r="B21" i="19"/>
  <c r="C17" i="2"/>
  <c r="I58" i="19"/>
  <c r="L57" i="19"/>
  <c r="G10" i="2"/>
  <c r="B32" i="19"/>
  <c r="N18" i="2"/>
  <c r="X16" i="2"/>
  <c r="G9" i="19"/>
  <c r="L47" i="19"/>
  <c r="K20" i="19"/>
  <c r="N4" i="2"/>
  <c r="I20" i="19"/>
  <c r="K3" i="19"/>
  <c r="I3" i="2"/>
  <c r="O15" i="2"/>
  <c r="J13" i="2"/>
  <c r="G57" i="19"/>
  <c r="C25" i="19"/>
  <c r="E20" i="19"/>
  <c r="H24" i="19"/>
  <c r="X6" i="2"/>
  <c r="E12" i="19"/>
  <c r="I16" i="2"/>
  <c r="I34" i="19"/>
  <c r="J27" i="19"/>
  <c r="G12" i="19"/>
  <c r="I10" i="19"/>
  <c r="H4" i="19"/>
  <c r="G8" i="19"/>
  <c r="I38" i="19"/>
  <c r="B19" i="19"/>
  <c r="T7" i="2"/>
  <c r="V19" i="2"/>
  <c r="D14" i="19"/>
  <c r="J41" i="19"/>
  <c r="E13" i="2"/>
  <c r="U14" i="2"/>
  <c r="Q3" i="2"/>
  <c r="D10" i="2"/>
  <c r="L6" i="19"/>
  <c r="I17" i="2"/>
  <c r="T3" i="2"/>
  <c r="K28" i="19"/>
  <c r="G56" i="19"/>
  <c r="C33" i="19"/>
  <c r="C3" i="2"/>
  <c r="I14" i="2"/>
  <c r="G13" i="19"/>
  <c r="B58" i="19"/>
  <c r="E10" i="2"/>
  <c r="W15" i="2"/>
  <c r="B11" i="2"/>
  <c r="H6" i="19"/>
  <c r="Q5" i="2"/>
  <c r="C39" i="19"/>
  <c r="H22" i="19"/>
  <c r="U5" i="2"/>
  <c r="I33" i="19"/>
  <c r="K18" i="2"/>
  <c r="B56" i="19"/>
  <c r="D9" i="19"/>
  <c r="G42" i="19"/>
  <c r="D12" i="2"/>
  <c r="L10" i="2"/>
  <c r="J10" i="2"/>
  <c r="M2" i="19"/>
  <c r="N12" i="2"/>
  <c r="D7" i="19"/>
  <c r="F17" i="19"/>
  <c r="K41" i="19"/>
  <c r="E6" i="19"/>
  <c r="S17" i="2"/>
  <c r="H11" i="2"/>
  <c r="K14" i="2"/>
  <c r="L35" i="19"/>
  <c r="F4" i="2"/>
  <c r="F16" i="19"/>
  <c r="L41" i="19"/>
  <c r="E14" i="19"/>
  <c r="O16" i="2"/>
  <c r="C36" i="19"/>
  <c r="F7" i="2"/>
  <c r="L4" i="2"/>
  <c r="L28" i="19"/>
  <c r="T19" i="2"/>
  <c r="E3" i="19"/>
  <c r="E37" i="19"/>
  <c r="H25" i="19"/>
  <c r="C9" i="19"/>
  <c r="P12" i="2"/>
  <c r="M19" i="19"/>
  <c r="I57" i="19"/>
  <c r="E9" i="19"/>
  <c r="D20" i="19"/>
  <c r="E13" i="19"/>
  <c r="G17" i="2"/>
  <c r="B18" i="19"/>
  <c r="C12" i="2"/>
  <c r="S14" i="2"/>
  <c r="K25" i="19"/>
  <c r="H3" i="2"/>
  <c r="M6" i="2"/>
  <c r="J26" i="19"/>
  <c r="T16" i="2"/>
  <c r="W13" i="2"/>
  <c r="L16" i="19"/>
  <c r="C18" i="19"/>
  <c r="G5" i="19"/>
  <c r="K5" i="2"/>
  <c r="E57" i="19"/>
  <c r="F18" i="2"/>
  <c r="D3" i="19"/>
  <c r="I22" i="19"/>
  <c r="I11" i="2"/>
  <c r="M20" i="19"/>
  <c r="V16" i="2"/>
  <c r="B59" i="19"/>
  <c r="B17" i="19"/>
  <c r="G30" i="19"/>
  <c r="B13" i="19"/>
  <c r="N19" i="2"/>
  <c r="W4" i="2"/>
  <c r="E32" i="19"/>
  <c r="W12" i="2"/>
  <c r="U12" i="2"/>
  <c r="L27" i="19"/>
  <c r="F8" i="19"/>
  <c r="P18" i="2"/>
  <c r="H9" i="2"/>
  <c r="I8" i="2"/>
  <c r="S19" i="2"/>
  <c r="D60" i="19"/>
  <c r="C20" i="19"/>
  <c r="D9" i="2"/>
  <c r="D39" i="19"/>
  <c r="E30" i="19"/>
  <c r="H8" i="19"/>
  <c r="G25" i="19"/>
  <c r="P7" i="2"/>
  <c r="J35" i="19"/>
  <c r="M23" i="19"/>
  <c r="I5" i="19"/>
  <c r="D16" i="19"/>
  <c r="F5" i="19"/>
  <c r="C56" i="19"/>
  <c r="F31" i="19"/>
  <c r="I5" i="2"/>
  <c r="M14" i="19"/>
  <c r="E2" i="19"/>
  <c r="J36" i="19"/>
  <c r="C24" i="19"/>
  <c r="B13" i="2"/>
  <c r="U16" i="2"/>
  <c r="H15" i="2"/>
  <c r="R11" i="2"/>
  <c r="L17" i="2"/>
  <c r="L34" i="19"/>
  <c r="G15" i="19"/>
  <c r="X10" i="2"/>
  <c r="W17" i="2"/>
  <c r="K59" i="19"/>
  <c r="G7" i="2"/>
  <c r="J10" i="19"/>
  <c r="B16" i="2"/>
  <c r="C7" i="19"/>
  <c r="L24" i="19"/>
  <c r="J58" i="19"/>
  <c r="F15" i="2"/>
  <c r="B3" i="2"/>
  <c r="I6" i="19"/>
  <c r="S7" i="2"/>
  <c r="I15" i="19"/>
  <c r="E12" i="2"/>
  <c r="E46" i="19"/>
  <c r="G6" i="19"/>
  <c r="R17" i="2"/>
  <c r="Q15" i="2"/>
  <c r="S8" i="2"/>
  <c r="J2" i="19"/>
  <c r="Q14" i="2"/>
  <c r="D29" i="19"/>
  <c r="E26" i="19"/>
  <c r="C2" i="19"/>
  <c r="H21" i="19"/>
  <c r="U4" i="2"/>
  <c r="J8" i="2"/>
  <c r="K3" i="2"/>
  <c r="M13" i="2"/>
  <c r="G15" i="2"/>
  <c r="J6" i="2"/>
  <c r="B15" i="19"/>
  <c r="H10" i="19"/>
  <c r="F60" i="19"/>
  <c r="H59" i="19"/>
  <c r="E17" i="2"/>
  <c r="B17" i="2"/>
  <c r="E16" i="2"/>
  <c r="M11" i="2"/>
  <c r="C13" i="2"/>
  <c r="L22" i="19"/>
  <c r="S13" i="2"/>
  <c r="R19" i="2"/>
  <c r="I60" i="19"/>
  <c r="G33" i="19"/>
  <c r="I50" i="19"/>
  <c r="B12" i="19"/>
  <c r="F4" i="19"/>
  <c r="E5" i="19"/>
  <c r="D7" i="2"/>
  <c r="F12" i="19"/>
  <c r="P5" i="2"/>
  <c r="M28" i="19"/>
  <c r="P16" i="2"/>
  <c r="I42" i="19"/>
  <c r="K33" i="19"/>
  <c r="P13" i="2"/>
  <c r="E15" i="2"/>
  <c r="S5" i="2"/>
  <c r="D47" i="19"/>
  <c r="E18" i="19"/>
  <c r="H12" i="19"/>
  <c r="X18" i="2"/>
  <c r="K56" i="19"/>
  <c r="G5" i="2"/>
  <c r="K15" i="19"/>
  <c r="I12" i="2"/>
  <c r="B9" i="19"/>
  <c r="G10" i="19"/>
  <c r="O19" i="2"/>
  <c r="R9" i="2"/>
  <c r="C3" i="19"/>
  <c r="E17" i="19"/>
  <c r="N5" i="2"/>
  <c r="M6" i="19"/>
  <c r="M18" i="2"/>
  <c r="I19" i="2"/>
  <c r="F17" i="2"/>
  <c r="H18" i="19"/>
  <c r="M17" i="2"/>
  <c r="F34" i="19"/>
  <c r="N3" i="2"/>
  <c r="K10" i="2"/>
  <c r="B9" i="2"/>
  <c r="N17" i="2"/>
  <c r="V7" i="2"/>
  <c r="U18" i="2"/>
  <c r="H10" i="2"/>
  <c r="I11" i="19"/>
  <c r="I44" i="19"/>
  <c r="E16" i="19"/>
  <c r="S16" i="2"/>
  <c r="K21" i="19"/>
  <c r="V17" i="2"/>
  <c r="K32" i="19"/>
  <c r="K10" i="19"/>
  <c r="J38" i="19"/>
  <c r="M44" i="19"/>
  <c r="B14" i="2"/>
  <c r="C14" i="2"/>
  <c r="T18" i="2"/>
  <c r="C11" i="19"/>
  <c r="G22" i="19"/>
  <c r="L4" i="19"/>
  <c r="J9" i="19"/>
  <c r="U15" i="2"/>
  <c r="K8" i="19"/>
  <c r="O8" i="2"/>
  <c r="L40" i="19"/>
  <c r="O7" i="2"/>
  <c r="C21" i="19"/>
  <c r="M37" i="19"/>
  <c r="X17" i="2"/>
  <c r="G18" i="19"/>
  <c r="S3" i="2"/>
  <c r="B5" i="19"/>
  <c r="D4" i="19"/>
  <c r="W14" i="2"/>
  <c r="D26" i="19"/>
  <c r="E59" i="19"/>
  <c r="G2" i="19"/>
  <c r="N16" i="2"/>
  <c r="J22" i="19"/>
  <c r="F32" i="19"/>
  <c r="F6" i="2"/>
  <c r="H6" i="2"/>
  <c r="E3" i="2"/>
  <c r="O5" i="2"/>
  <c r="K19" i="19"/>
  <c r="I43" i="19"/>
  <c r="J8" i="19"/>
  <c r="M38" i="19"/>
  <c r="D15" i="2"/>
  <c r="B7" i="2"/>
  <c r="C4" i="19"/>
  <c r="B57" i="19"/>
  <c r="L14" i="2"/>
  <c r="C22" i="19"/>
  <c r="E7" i="2"/>
  <c r="F11" i="2"/>
  <c r="C10" i="19"/>
  <c r="X14" i="2"/>
  <c r="F57" i="19"/>
  <c r="C17" i="19"/>
  <c r="J7" i="2"/>
  <c r="O9" i="2"/>
  <c r="F20" i="19"/>
  <c r="I9" i="2"/>
  <c r="Q18" i="2"/>
  <c r="E33" i="19"/>
  <c r="B28" i="19"/>
  <c r="F25" i="19"/>
  <c r="C29" i="19"/>
  <c r="K18" i="19"/>
  <c r="I30" i="19"/>
  <c r="B34" i="19"/>
  <c r="L12" i="19"/>
  <c r="M13" i="19"/>
  <c r="M5" i="2"/>
  <c r="V11" i="2"/>
  <c r="W9" i="2"/>
  <c r="L39" i="19"/>
  <c r="I18" i="2"/>
  <c r="G9" i="2"/>
  <c r="G12" i="2"/>
  <c r="U19" i="2"/>
  <c r="X11" i="2"/>
  <c r="L19" i="19"/>
  <c r="F3" i="19"/>
  <c r="E25" i="19"/>
  <c r="O4" i="2"/>
  <c r="K9" i="19"/>
  <c r="G60" i="19"/>
  <c r="O3" i="2"/>
  <c r="B5" i="2"/>
  <c r="L18" i="19"/>
  <c r="J7" i="19"/>
  <c r="F2" i="19"/>
  <c r="E11" i="19"/>
  <c r="Q11" i="2"/>
  <c r="C8" i="19"/>
  <c r="V3" i="2"/>
  <c r="C58" i="19"/>
  <c r="K13" i="2"/>
  <c r="J21" i="19"/>
  <c r="Q12" i="2"/>
  <c r="H5" i="19"/>
  <c r="D5" i="2"/>
  <c r="H9" i="19"/>
  <c r="J4" i="19"/>
  <c r="T12" i="2"/>
  <c r="T11" i="2"/>
  <c r="J59" i="19"/>
  <c r="C23" i="19"/>
  <c r="J4" i="2"/>
  <c r="J16" i="2"/>
  <c r="C32" i="19"/>
  <c r="G14" i="2"/>
  <c r="B6" i="19"/>
  <c r="H30" i="19"/>
  <c r="C5" i="2"/>
  <c r="Q8" i="2"/>
  <c r="H13" i="2"/>
  <c r="F6" i="19"/>
  <c r="M60" i="19"/>
  <c r="D10" i="19"/>
  <c r="J9" i="2"/>
  <c r="P10" i="2"/>
  <c r="M40" i="19"/>
  <c r="K16" i="2"/>
  <c r="C7" i="2"/>
  <c r="K27" i="19"/>
  <c r="X9" i="2"/>
  <c r="M46" i="19"/>
  <c r="Q19" i="2"/>
  <c r="R15" i="2"/>
  <c r="C42" i="19"/>
  <c r="B20" i="19"/>
  <c r="M24" i="19"/>
  <c r="I6" i="2"/>
  <c r="H28" i="19"/>
  <c r="D8" i="19"/>
  <c r="B4" i="19"/>
  <c r="F13" i="2"/>
  <c r="E18" i="2"/>
  <c r="I24" i="19"/>
  <c r="K17" i="2"/>
  <c r="S11" i="2"/>
  <c r="G19" i="19"/>
  <c r="G13" i="2"/>
  <c r="D35" i="19"/>
  <c r="T10" i="2"/>
  <c r="R14" i="2"/>
  <c r="I21" i="19"/>
  <c r="D6" i="19"/>
  <c r="H56" i="19"/>
  <c r="L8" i="2"/>
  <c r="P19" i="2"/>
  <c r="L19" i="2"/>
  <c r="G14" i="19"/>
  <c r="L18" i="2"/>
  <c r="B27" i="19"/>
  <c r="D8" i="2"/>
  <c r="M12" i="2"/>
  <c r="U10" i="2"/>
  <c r="H13" i="19"/>
  <c r="B23" i="19"/>
  <c r="M15" i="19"/>
  <c r="L14" i="19"/>
  <c r="S6" i="2"/>
  <c r="H14" i="19"/>
  <c r="N14" i="2"/>
  <c r="B8" i="2"/>
  <c r="X4" i="2"/>
  <c r="W8" i="2"/>
  <c r="H11" i="19"/>
  <c r="B10" i="19"/>
  <c r="J12" i="2"/>
  <c r="F13" i="19"/>
  <c r="C13" i="19"/>
  <c r="J11" i="2"/>
  <c r="F49" i="19"/>
  <c r="R12" i="2"/>
  <c r="I17" i="19"/>
  <c r="C59" i="19"/>
  <c r="I29" i="19"/>
  <c r="J5" i="19"/>
  <c r="O11" i="2"/>
  <c r="K13" i="19"/>
  <c r="R7" i="2"/>
  <c r="Q4" i="2"/>
  <c r="F30" i="19"/>
  <c r="J15" i="2"/>
  <c r="B31" i="19"/>
  <c r="E23" i="19"/>
  <c r="M16" i="19"/>
  <c r="W19" i="2"/>
  <c r="F59" i="19"/>
  <c r="U17" i="2"/>
  <c r="S9" i="2"/>
  <c r="J17" i="19"/>
  <c r="F58" i="19"/>
  <c r="L25" i="19"/>
  <c r="I56" i="19"/>
  <c r="R8" i="2"/>
  <c r="L60" i="19"/>
  <c r="B12" i="2"/>
  <c r="G7" i="19"/>
  <c r="X19" i="2"/>
  <c r="K44" i="19"/>
  <c r="W7" i="2"/>
  <c r="E8" i="2"/>
  <c r="Q13" i="2"/>
  <c r="K15" i="2"/>
  <c r="R6" i="2"/>
  <c r="L9" i="2"/>
  <c r="M8" i="19"/>
  <c r="W18" i="2"/>
  <c r="H20" i="19"/>
  <c r="G32" i="19"/>
  <c r="G41" i="19"/>
  <c r="B60" i="19"/>
  <c r="X5" i="2"/>
  <c r="N11" i="2"/>
  <c r="V6" i="2"/>
  <c r="C6" i="2"/>
  <c r="B16" i="19"/>
  <c r="G37" i="19"/>
  <c r="D34" i="19"/>
  <c r="D21" i="19"/>
  <c r="K40" i="19"/>
  <c r="M34" i="19"/>
  <c r="U6" i="2"/>
  <c r="F21" i="19"/>
  <c r="L59" i="19"/>
  <c r="K58" i="19"/>
  <c r="B19" i="2"/>
  <c r="M9" i="2"/>
  <c r="G58" i="19"/>
  <c r="K57" i="19"/>
  <c r="V12" i="2"/>
  <c r="L31" i="19"/>
  <c r="B18" i="2"/>
  <c r="I13" i="2"/>
  <c r="H7" i="19"/>
  <c r="G8" i="2"/>
  <c r="D17" i="2"/>
  <c r="T4" i="2"/>
  <c r="I8" i="19"/>
  <c r="C57" i="19"/>
  <c r="B11" i="19"/>
  <c r="D17" i="19"/>
  <c r="E34" i="19"/>
  <c r="G24" i="19"/>
  <c r="K23" i="19"/>
  <c r="F5" i="2"/>
  <c r="D6" i="2"/>
  <c r="L12" i="2"/>
  <c r="H37" i="19"/>
  <c r="E4" i="19"/>
  <c r="O6" i="2"/>
  <c r="L3" i="2"/>
  <c r="E9" i="2"/>
  <c r="D13" i="19"/>
  <c r="H15" i="19"/>
  <c r="R3" i="2"/>
  <c r="K6" i="2"/>
  <c r="C16" i="2"/>
  <c r="B29" i="19"/>
  <c r="M15" i="2"/>
  <c r="W5" i="2"/>
  <c r="L15" i="19"/>
  <c r="C34" i="19"/>
  <c r="M32" i="19"/>
  <c r="T14" i="2"/>
  <c r="L13" i="2"/>
  <c r="J39" i="19"/>
  <c r="D13" i="2"/>
  <c r="C8" i="2"/>
  <c r="P3" i="2"/>
  <c r="J37" i="19"/>
  <c r="N7" i="2"/>
  <c r="L42" i="19"/>
  <c r="H18" i="2"/>
  <c r="B14" i="19"/>
  <c r="H35" i="19"/>
  <c r="C9" i="2"/>
  <c r="I16" i="19"/>
  <c r="J3" i="19"/>
  <c r="H57" i="19"/>
  <c r="I7" i="19"/>
  <c r="E15" i="19"/>
  <c r="B22" i="19"/>
  <c r="D18" i="19"/>
  <c r="S4" i="2"/>
  <c r="K30" i="19"/>
  <c r="F18" i="19"/>
  <c r="L3" i="19"/>
  <c r="D24" i="19"/>
  <c r="R16" i="2"/>
  <c r="F22" i="19"/>
  <c r="F14" i="2"/>
  <c r="E10" i="19"/>
  <c r="J24" i="19"/>
  <c r="I13" i="19"/>
  <c r="V10" i="2"/>
  <c r="D11" i="2"/>
  <c r="I31" i="19"/>
  <c r="H16" i="2"/>
  <c r="D57" i="19"/>
  <c r="M19" i="2"/>
  <c r="I4" i="19"/>
  <c r="M12" i="19"/>
  <c r="J33" i="19"/>
  <c r="H36" i="19"/>
  <c r="B2" i="19"/>
  <c r="H45" i="19"/>
  <c r="F27" i="19"/>
  <c r="T5" i="2"/>
  <c r="G4" i="2"/>
  <c r="G35" i="19"/>
  <c r="B10" i="2"/>
  <c r="L2" i="19"/>
  <c r="M35" i="19"/>
  <c r="F24" i="19"/>
  <c r="J18" i="2"/>
  <c r="X3" i="2"/>
  <c r="F14" i="19"/>
  <c r="J23" i="19"/>
  <c r="L11" i="19"/>
  <c r="G3" i="19"/>
  <c r="P4" i="2"/>
  <c r="W16" i="2"/>
  <c r="L38" i="19"/>
  <c r="M21" i="19"/>
  <c r="K48" i="19"/>
  <c r="C10" i="2"/>
  <c r="H27" i="19"/>
  <c r="L11" i="2"/>
  <c r="M7" i="2"/>
  <c r="O14" i="2"/>
  <c r="N8" i="2"/>
  <c r="U11" i="2"/>
  <c r="W3" i="2"/>
  <c r="M16" i="2"/>
  <c r="K12" i="19"/>
  <c r="M57" i="19"/>
  <c r="D16" i="2"/>
  <c r="P9" i="2"/>
  <c r="L33" i="19"/>
  <c r="I9" i="19"/>
  <c r="K5" i="19"/>
  <c r="I36" i="19"/>
  <c r="D3" i="2"/>
  <c r="K12" i="2"/>
  <c r="V5" i="2"/>
  <c r="G23" i="19"/>
  <c r="G38" i="19"/>
  <c r="W6" i="2"/>
  <c r="F11" i="19"/>
  <c r="D12" i="19"/>
  <c r="P15" i="2"/>
  <c r="U8" i="2"/>
  <c r="F3" i="2"/>
  <c r="C31" i="19"/>
  <c r="K7" i="19"/>
  <c r="I27" i="19"/>
  <c r="H8" i="2"/>
  <c r="N6" i="2"/>
  <c r="G17" i="19"/>
  <c r="D45" i="19"/>
  <c r="H39" i="19"/>
  <c r="L23" i="19"/>
  <c r="M43" i="19"/>
  <c r="P6" i="2"/>
  <c r="J17" i="2"/>
  <c r="D59" i="19"/>
  <c r="F9" i="2"/>
  <c r="F9" i="19"/>
  <c r="K11" i="19"/>
  <c r="M56" i="19"/>
  <c r="L15" i="2"/>
  <c r="B30" i="19"/>
  <c r="C60" i="19"/>
  <c r="B24" i="19"/>
  <c r="G3" i="2"/>
  <c r="E19" i="19"/>
  <c r="I14" i="19"/>
  <c r="O17" i="2"/>
  <c r="L16" i="2"/>
  <c r="G11" i="2"/>
  <c r="I12" i="19"/>
  <c r="J5" i="2"/>
  <c r="D33" i="19"/>
  <c r="W10" i="2"/>
  <c r="B7" i="19"/>
  <c r="L5" i="2"/>
  <c r="Q9" i="2"/>
  <c r="G29" i="19"/>
  <c r="E19" i="2"/>
  <c r="M22" i="19"/>
  <c r="X7" i="2"/>
  <c r="C16" i="19"/>
  <c r="R5" i="2"/>
  <c r="K17" i="19"/>
  <c r="E29" i="19"/>
  <c r="J25" i="19"/>
  <c r="R10" i="2"/>
  <c r="U13" i="2"/>
  <c r="J14" i="19"/>
  <c r="E4" i="2"/>
  <c r="J57" i="19"/>
  <c r="M14" i="2"/>
  <c r="D31" i="19"/>
  <c r="E56" i="19"/>
  <c r="F26" i="19"/>
  <c r="L17" i="19"/>
  <c r="P8" i="2"/>
  <c r="N9" i="2"/>
  <c r="P14" i="2"/>
  <c r="M10" i="19"/>
  <c r="U9" i="2"/>
  <c r="J15" i="19"/>
  <c r="L26" i="19"/>
  <c r="P11" i="2"/>
  <c r="G19" i="2"/>
  <c r="V13" i="2"/>
  <c r="M31" i="19"/>
  <c r="S12" i="2"/>
  <c r="H12" i="2"/>
  <c r="C15" i="19"/>
  <c r="H7" i="2"/>
  <c r="H5" i="2"/>
  <c r="C12" i="19"/>
  <c r="J46" i="19"/>
  <c r="D11" i="19"/>
  <c r="M7" i="19"/>
  <c r="L29" i="19"/>
  <c r="M26" i="19"/>
  <c r="E36" i="19"/>
  <c r="T17" i="2"/>
  <c r="D23" i="19"/>
  <c r="I59" i="19"/>
  <c r="B48" i="19"/>
  <c r="J20" i="19"/>
  <c r="D58" i="19"/>
  <c r="M11" i="19"/>
  <c r="F12" i="2"/>
  <c r="C5" i="19"/>
  <c r="X13" i="2"/>
  <c r="N15" i="2"/>
  <c r="B25" i="19"/>
  <c r="G39" i="19"/>
  <c r="B26" i="19"/>
  <c r="G21" i="19"/>
  <c r="T13" i="2"/>
  <c r="M25" i="19"/>
  <c r="G59" i="19"/>
  <c r="H17" i="19"/>
  <c r="L6" i="2"/>
  <c r="H31" i="19"/>
  <c r="T9" i="2"/>
  <c r="M30" i="19"/>
  <c r="H23" i="19"/>
  <c r="E5" i="2"/>
  <c r="P17" i="2"/>
  <c r="M4" i="2"/>
  <c r="C28" i="19"/>
  <c r="E27" i="19"/>
  <c r="H38" i="19"/>
  <c r="C18" i="2"/>
  <c r="J19" i="19"/>
  <c r="I18" i="19"/>
  <c r="G4" i="19"/>
  <c r="E11" i="2"/>
  <c r="I3" i="19"/>
  <c r="C15" i="2"/>
  <c r="U3" i="2"/>
  <c r="C19" i="2"/>
  <c r="C6" i="19"/>
  <c r="C4" i="2"/>
  <c r="M4" i="19"/>
  <c r="J18" i="19"/>
  <c r="D18" i="2"/>
  <c r="J45" i="19"/>
  <c r="F23" i="19"/>
  <c r="L53" i="19"/>
  <c r="M3" i="19"/>
  <c r="H54" i="19"/>
  <c r="D55" i="19"/>
  <c r="D40" i="19"/>
  <c r="K42" i="19"/>
  <c r="I35" i="19"/>
  <c r="B43" i="19"/>
  <c r="K51" i="19"/>
  <c r="E49" i="19"/>
  <c r="G45" i="19"/>
  <c r="F48" i="19"/>
  <c r="E40" i="19"/>
  <c r="B42" i="19"/>
  <c r="D50" i="19"/>
  <c r="D46" i="19"/>
  <c r="F41" i="19"/>
  <c r="G49" i="19"/>
  <c r="G48" i="19"/>
  <c r="D41" i="19"/>
  <c r="I53" i="19"/>
  <c r="G36" i="19"/>
  <c r="K35" i="19"/>
  <c r="H51" i="19"/>
  <c r="D43" i="19"/>
  <c r="E48" i="19"/>
  <c r="C41" i="19"/>
  <c r="E39" i="19"/>
  <c r="M9" i="19"/>
  <c r="E51" i="19"/>
  <c r="M47" i="19"/>
  <c r="F38" i="19"/>
  <c r="C52" i="19"/>
  <c r="K43" i="19"/>
  <c r="B36" i="19"/>
  <c r="L10" i="19"/>
  <c r="C48" i="19"/>
  <c r="F52" i="19"/>
  <c r="G50" i="19"/>
  <c r="J53" i="19"/>
  <c r="B41" i="19"/>
  <c r="H48" i="19"/>
  <c r="F45" i="19"/>
  <c r="K4" i="19"/>
  <c r="I32" i="19"/>
  <c r="F53" i="19"/>
  <c r="J28" i="19"/>
  <c r="K46" i="19"/>
  <c r="B33" i="19"/>
  <c r="B38" i="19"/>
  <c r="C51" i="19"/>
  <c r="I49" i="19"/>
  <c r="C55" i="19"/>
  <c r="D27" i="19"/>
  <c r="I47" i="19"/>
  <c r="G47" i="19"/>
  <c r="H44" i="19"/>
  <c r="K45" i="19"/>
  <c r="M18" i="19"/>
  <c r="G51" i="19"/>
  <c r="B53" i="19"/>
  <c r="J30" i="19"/>
  <c r="I51" i="19"/>
  <c r="M50" i="19"/>
  <c r="J52" i="19"/>
  <c r="M55" i="19"/>
  <c r="C45" i="19"/>
  <c r="C53" i="19"/>
  <c r="I52" i="19"/>
  <c r="D42" i="19"/>
  <c r="H53" i="19"/>
  <c r="J32" i="19"/>
  <c r="B51" i="19"/>
  <c r="I40" i="19"/>
  <c r="D48" i="19"/>
  <c r="L45" i="19"/>
  <c r="L48" i="19"/>
  <c r="B37" i="19"/>
  <c r="H2" i="19"/>
  <c r="G53" i="19"/>
  <c r="E38" i="19"/>
  <c r="E24" i="19"/>
  <c r="E52" i="19"/>
  <c r="E31" i="19"/>
  <c r="G46" i="19"/>
  <c r="C47" i="19"/>
  <c r="C35" i="19"/>
  <c r="F54" i="19"/>
  <c r="M49" i="19"/>
  <c r="L7" i="19"/>
  <c r="H55" i="19"/>
  <c r="G27" i="19"/>
  <c r="F15" i="19"/>
  <c r="D36" i="19"/>
  <c r="G52" i="19"/>
  <c r="B45" i="19"/>
  <c r="H19" i="19"/>
  <c r="E35" i="19"/>
  <c r="K24" i="19"/>
  <c r="M36" i="19"/>
  <c r="I54" i="19"/>
  <c r="H47" i="19"/>
  <c r="I37" i="19"/>
  <c r="I26" i="19"/>
  <c r="H43" i="19"/>
  <c r="L55" i="19"/>
  <c r="B47" i="19"/>
  <c r="C54" i="19"/>
  <c r="J54" i="19"/>
  <c r="B54" i="19"/>
  <c r="C37" i="19"/>
  <c r="G26" i="19"/>
  <c r="G55" i="19"/>
  <c r="L49" i="19"/>
  <c r="K29" i="19"/>
  <c r="C30" i="19"/>
  <c r="I48" i="19"/>
  <c r="G16" i="19"/>
  <c r="D38" i="19"/>
  <c r="J51" i="19"/>
  <c r="C43" i="19"/>
  <c r="J12" i="19"/>
  <c r="B44" i="19"/>
  <c r="I45" i="19"/>
  <c r="H52" i="19"/>
  <c r="D54" i="19"/>
  <c r="G44" i="19"/>
  <c r="B52" i="19"/>
  <c r="F47" i="19"/>
  <c r="L32" i="19"/>
  <c r="C44" i="19"/>
  <c r="E42" i="19"/>
  <c r="D53" i="19"/>
  <c r="J55" i="19"/>
  <c r="J34" i="19"/>
  <c r="M52" i="19"/>
  <c r="H42" i="19"/>
  <c r="K31" i="19"/>
  <c r="B55" i="19"/>
  <c r="L8" i="19"/>
  <c r="M48" i="19"/>
  <c r="B39" i="19"/>
  <c r="J44" i="19"/>
  <c r="F50" i="19"/>
  <c r="K54" i="19"/>
  <c r="J11" i="19"/>
  <c r="L51" i="19"/>
  <c r="M41" i="19"/>
  <c r="I23" i="19"/>
  <c r="K50" i="19"/>
  <c r="F51" i="19"/>
  <c r="L54" i="19"/>
  <c r="J31" i="19"/>
  <c r="D44" i="19"/>
  <c r="B40" i="19"/>
  <c r="M27" i="19"/>
  <c r="K22" i="19"/>
  <c r="M45" i="19"/>
  <c r="J42" i="19"/>
  <c r="M54" i="19"/>
  <c r="G40" i="19"/>
  <c r="D51" i="19"/>
  <c r="K34" i="19"/>
  <c r="D52" i="19"/>
  <c r="G34" i="19"/>
  <c r="E50" i="19"/>
  <c r="F42" i="19"/>
  <c r="E22" i="19"/>
  <c r="H49" i="19"/>
  <c r="F44" i="19"/>
  <c r="L46" i="19"/>
  <c r="M33" i="19"/>
  <c r="J47" i="19"/>
  <c r="L5" i="19"/>
  <c r="M29" i="19"/>
  <c r="B49" i="19"/>
  <c r="F40" i="19"/>
  <c r="K6" i="19"/>
  <c r="M39" i="19"/>
  <c r="M53" i="19"/>
  <c r="C46" i="19"/>
  <c r="H41" i="19"/>
  <c r="D30" i="19"/>
  <c r="I41" i="19"/>
  <c r="E53" i="19"/>
  <c r="K55" i="19"/>
  <c r="C50" i="19"/>
  <c r="L43" i="19"/>
  <c r="L21" i="19"/>
  <c r="E41" i="19"/>
  <c r="F37" i="19"/>
  <c r="E47" i="19"/>
  <c r="L36" i="19"/>
  <c r="D25" i="19"/>
  <c r="H26" i="19"/>
  <c r="C14" i="19"/>
  <c r="C38" i="19"/>
  <c r="I46" i="19"/>
  <c r="I28" i="19"/>
  <c r="D37" i="19"/>
  <c r="I25" i="19"/>
  <c r="K53" i="19"/>
  <c r="I39" i="19"/>
  <c r="L52" i="19"/>
  <c r="L44" i="19"/>
  <c r="H29" i="19"/>
  <c r="J13" i="19"/>
  <c r="E55" i="19"/>
  <c r="E54" i="19"/>
  <c r="C49" i="19"/>
  <c r="E44" i="19"/>
  <c r="M17" i="19"/>
  <c r="F39" i="19"/>
  <c r="K49" i="19"/>
  <c r="H40" i="19"/>
  <c r="J43" i="19"/>
  <c r="F33" i="19"/>
  <c r="L20" i="19"/>
  <c r="G43" i="19"/>
  <c r="H50" i="19"/>
  <c r="I55" i="19"/>
  <c r="B46" i="19"/>
  <c r="F55" i="19"/>
  <c r="J50" i="19"/>
  <c r="H46" i="19"/>
  <c r="L50" i="19"/>
  <c r="G28" i="19"/>
  <c r="G54" i="19"/>
  <c r="K39" i="19"/>
  <c r="M42" i="19"/>
  <c r="H34" i="19"/>
  <c r="J48" i="19"/>
  <c r="F46" i="19"/>
  <c r="E43" i="19"/>
  <c r="D49" i="19"/>
  <c r="C40" i="19"/>
  <c r="B50" i="19"/>
  <c r="K52" i="19"/>
  <c r="C23" i="2" l="1"/>
  <c r="D23" i="2" s="1"/>
  <c r="E23" i="2" s="1"/>
  <c r="F23" i="2" s="1"/>
  <c r="Y4" i="2"/>
  <c r="Y19" i="2"/>
  <c r="Z19" i="2" s="1"/>
  <c r="Y15" i="2"/>
  <c r="Z15" i="2" s="1"/>
  <c r="Y18" i="2"/>
  <c r="Z18" i="2" s="1"/>
  <c r="C29" i="2"/>
  <c r="D29" i="2" s="1"/>
  <c r="E29" i="2" s="1"/>
  <c r="F29" i="2" s="1"/>
  <c r="Y10" i="2"/>
  <c r="B29" i="2"/>
  <c r="B45" i="2" s="1"/>
  <c r="AB45" i="2" s="1"/>
  <c r="C28" i="2"/>
  <c r="D28" i="2" s="1"/>
  <c r="E28" i="2" s="1"/>
  <c r="F28" i="2" s="1"/>
  <c r="G28" i="2" s="1"/>
  <c r="Y9" i="2"/>
  <c r="Y8" i="2"/>
  <c r="C27" i="2"/>
  <c r="D27" i="2" s="1"/>
  <c r="E27" i="2" s="1"/>
  <c r="F27" i="2" s="1"/>
  <c r="Y16" i="2"/>
  <c r="Z16" i="2" s="1"/>
  <c r="C25" i="2"/>
  <c r="D25" i="2" s="1"/>
  <c r="E25" i="2" s="1"/>
  <c r="F25" i="2" s="1"/>
  <c r="G25" i="2" s="1"/>
  <c r="Y6" i="2"/>
  <c r="B31" i="2"/>
  <c r="AB31" i="2" s="1"/>
  <c r="B27" i="2"/>
  <c r="AB27" i="2" s="1"/>
  <c r="C26" i="2"/>
  <c r="D26" i="2" s="1"/>
  <c r="E26" i="2" s="1"/>
  <c r="F26" i="2" s="1"/>
  <c r="Y7" i="2"/>
  <c r="Y5" i="2"/>
  <c r="C24" i="2"/>
  <c r="D24" i="2" s="1"/>
  <c r="E24" i="2" s="1"/>
  <c r="F24" i="2" s="1"/>
  <c r="B24" i="2"/>
  <c r="B26" i="2"/>
  <c r="AB26" i="2" s="1"/>
  <c r="C33" i="2"/>
  <c r="D33" i="2" s="1"/>
  <c r="E33" i="2" s="1"/>
  <c r="F33" i="2" s="1"/>
  <c r="G33" i="2" s="1"/>
  <c r="Y14" i="2"/>
  <c r="B33" i="2"/>
  <c r="AB33" i="2" s="1"/>
  <c r="B28" i="2"/>
  <c r="AB28" i="2" s="1"/>
  <c r="Y13" i="2"/>
  <c r="C32" i="2"/>
  <c r="D32" i="2" s="1"/>
  <c r="E32" i="2" s="1"/>
  <c r="F32" i="2" s="1"/>
  <c r="G32" i="2" s="1"/>
  <c r="B22" i="2"/>
  <c r="AB22" i="2" s="1"/>
  <c r="B32" i="2"/>
  <c r="B48" i="2" s="1"/>
  <c r="AB48" i="2" s="1"/>
  <c r="C31" i="2"/>
  <c r="D31" i="2" s="1"/>
  <c r="E31" i="2" s="1"/>
  <c r="F31" i="2" s="1"/>
  <c r="G31" i="2" s="1"/>
  <c r="H31" i="2" s="1"/>
  <c r="Y12" i="2"/>
  <c r="B30" i="2"/>
  <c r="B46" i="2" s="1"/>
  <c r="AB46" i="2" s="1"/>
  <c r="Y3" i="2"/>
  <c r="C22" i="2"/>
  <c r="D22" i="2" s="1"/>
  <c r="E22" i="2" s="1"/>
  <c r="F22" i="2" s="1"/>
  <c r="G22" i="2" s="1"/>
  <c r="Y17" i="2"/>
  <c r="Z17" i="2" s="1"/>
  <c r="C30" i="2"/>
  <c r="D30" i="2" s="1"/>
  <c r="E30" i="2" s="1"/>
  <c r="F30" i="2" s="1"/>
  <c r="G30" i="2" s="1"/>
  <c r="H30" i="2" s="1"/>
  <c r="Y11" i="2"/>
  <c r="B25" i="2"/>
  <c r="B41" i="2" s="1"/>
  <c r="AB41" i="2" s="1"/>
  <c r="B23" i="2"/>
  <c r="B39" i="2" s="1"/>
  <c r="AB39" i="2" s="1"/>
  <c r="B47" i="2"/>
  <c r="AB47" i="2" s="1"/>
  <c r="AB32" i="2"/>
  <c r="I62" i="19"/>
  <c r="I67" i="19"/>
  <c r="I61" i="19" s="1"/>
  <c r="K67" i="19"/>
  <c r="K61" i="19" s="1"/>
  <c r="K62" i="19"/>
  <c r="C62" i="19"/>
  <c r="C67" i="19"/>
  <c r="C61" i="19" s="1"/>
  <c r="J67" i="19"/>
  <c r="J61" i="19" s="1"/>
  <c r="J62" i="19"/>
  <c r="D62" i="19"/>
  <c r="D67" i="19"/>
  <c r="D61" i="19" s="1"/>
  <c r="B67" i="19"/>
  <c r="B61" i="19" s="1"/>
  <c r="B62" i="19"/>
  <c r="F67" i="19"/>
  <c r="F61" i="19" s="1"/>
  <c r="F62" i="19"/>
  <c r="E62" i="19"/>
  <c r="E67" i="19"/>
  <c r="E61" i="19" s="1"/>
  <c r="G62" i="19"/>
  <c r="G67" i="19"/>
  <c r="G61" i="19" s="1"/>
  <c r="H67" i="19"/>
  <c r="H61" i="19" s="1"/>
  <c r="H62" i="19"/>
  <c r="L67" i="19"/>
  <c r="L61" i="19" s="1"/>
  <c r="L62" i="19"/>
  <c r="M67" i="19"/>
  <c r="M61" i="19" s="1"/>
  <c r="M62" i="19"/>
  <c r="AH12" i="10"/>
  <c r="AF12" i="10"/>
  <c r="AF13" i="10"/>
  <c r="AH13" i="10"/>
  <c r="AH17" i="10"/>
  <c r="AF17" i="10"/>
  <c r="AF6" i="10"/>
  <c r="AH6" i="10"/>
  <c r="AH11" i="10"/>
  <c r="AF11" i="10"/>
  <c r="AH7" i="10"/>
  <c r="AF7" i="10"/>
  <c r="AH10" i="10"/>
  <c r="AF10" i="10"/>
  <c r="AF20" i="10"/>
  <c r="AH20" i="10"/>
  <c r="AH14" i="10"/>
  <c r="AF14" i="10"/>
  <c r="AG20" i="10"/>
  <c r="AF2" i="10"/>
  <c r="AH2" i="10"/>
  <c r="AH16" i="10"/>
  <c r="AF16" i="10"/>
  <c r="AF19" i="10"/>
  <c r="AH19" i="10"/>
  <c r="AF4" i="10"/>
  <c r="AH4" i="10"/>
  <c r="AF9" i="10"/>
  <c r="AH9" i="10"/>
  <c r="AF3" i="10"/>
  <c r="AH3" i="10"/>
  <c r="AF8" i="10"/>
  <c r="AH8" i="10"/>
  <c r="AH15" i="10"/>
  <c r="AF15" i="10"/>
  <c r="AF5" i="10"/>
  <c r="AH5" i="10"/>
  <c r="AF18" i="10"/>
  <c r="AH18" i="10"/>
  <c r="G23" i="2"/>
  <c r="B44" i="2" l="1"/>
  <c r="AB44" i="2" s="1"/>
  <c r="Z11" i="2"/>
  <c r="B49" i="2"/>
  <c r="AB49" i="2" s="1"/>
  <c r="Z3" i="2"/>
  <c r="Z6" i="2"/>
  <c r="Z8" i="2"/>
  <c r="Z7" i="2"/>
  <c r="Z5" i="2"/>
  <c r="B42" i="2"/>
  <c r="AB42" i="2" s="1"/>
  <c r="Z10" i="2"/>
  <c r="Z14" i="2"/>
  <c r="AB29" i="2"/>
  <c r="AD34" i="2"/>
  <c r="AD24" i="2" s="1"/>
  <c r="Z13" i="2"/>
  <c r="Z4" i="2"/>
  <c r="Z12" i="2"/>
  <c r="B43" i="2"/>
  <c r="AB43" i="2" s="1"/>
  <c r="Z9" i="2"/>
  <c r="AB23" i="2"/>
  <c r="AB25" i="2"/>
  <c r="B38" i="2"/>
  <c r="AB38" i="2" s="1"/>
  <c r="AC34" i="2"/>
  <c r="AC31" i="2" s="1"/>
  <c r="AB24" i="2"/>
  <c r="B40" i="2"/>
  <c r="AB40" i="2" s="1"/>
  <c r="AE34" i="2"/>
  <c r="AE22" i="2" s="1"/>
  <c r="AB30" i="2"/>
  <c r="G63" i="19"/>
  <c r="G64" i="19" s="1"/>
  <c r="AA8" i="2" s="1"/>
  <c r="G29" i="2"/>
  <c r="M63" i="19"/>
  <c r="M64" i="19" s="1"/>
  <c r="AA14" i="2" s="1"/>
  <c r="C49" i="2" s="1"/>
  <c r="B63" i="19"/>
  <c r="B64" i="19" s="1"/>
  <c r="AA3" i="2" s="1"/>
  <c r="C63" i="19"/>
  <c r="C64" i="19" s="1"/>
  <c r="AA4" i="2" s="1"/>
  <c r="H33" i="2"/>
  <c r="H32" i="2"/>
  <c r="L63" i="19"/>
  <c r="L64" i="19" s="1"/>
  <c r="AA13" i="2" s="1"/>
  <c r="C48" i="2" s="1"/>
  <c r="K63" i="19"/>
  <c r="K64" i="19" s="1"/>
  <c r="AA12" i="2" s="1"/>
  <c r="I31" i="2"/>
  <c r="H23" i="2"/>
  <c r="H22" i="2"/>
  <c r="E63" i="19"/>
  <c r="E64" i="19" s="1"/>
  <c r="AA6" i="2" s="1"/>
  <c r="D63" i="19"/>
  <c r="D64" i="19" s="1"/>
  <c r="AA5" i="2" s="1"/>
  <c r="I30" i="2"/>
  <c r="H28" i="2"/>
  <c r="H63" i="19"/>
  <c r="H64" i="19" s="1"/>
  <c r="AA9" i="2" s="1"/>
  <c r="F63" i="19"/>
  <c r="F64" i="19" s="1"/>
  <c r="AA7" i="2" s="1"/>
  <c r="J63" i="19"/>
  <c r="J64" i="19" s="1"/>
  <c r="AA11" i="2" s="1"/>
  <c r="H25" i="2"/>
  <c r="G26" i="2"/>
  <c r="G27" i="2"/>
  <c r="G24" i="2"/>
  <c r="AF34" i="2"/>
  <c r="AF29" i="2" s="1"/>
  <c r="I63" i="19"/>
  <c r="I64" i="19" s="1"/>
  <c r="AA10" i="2" s="1"/>
  <c r="B54" i="2" l="1"/>
  <c r="I54" i="2" s="1"/>
  <c r="AE30" i="2"/>
  <c r="AE31" i="2"/>
  <c r="AC33" i="2"/>
  <c r="AE27" i="2"/>
  <c r="AC25" i="2"/>
  <c r="AE32" i="2"/>
  <c r="AD32" i="2"/>
  <c r="AD28" i="2"/>
  <c r="B57" i="2"/>
  <c r="O57" i="2" s="1"/>
  <c r="B59" i="2"/>
  <c r="V59" i="2" s="1"/>
  <c r="AE24" i="2"/>
  <c r="AD27" i="2"/>
  <c r="B56" i="2"/>
  <c r="F56" i="2" s="1"/>
  <c r="B55" i="2"/>
  <c r="W55" i="2" s="1"/>
  <c r="AE29" i="2"/>
  <c r="AD23" i="2"/>
  <c r="AE28" i="2"/>
  <c r="B52" i="2"/>
  <c r="X52" i="2" s="1"/>
  <c r="AE33" i="2"/>
  <c r="AD25" i="2"/>
  <c r="B61" i="2"/>
  <c r="W61" i="2" s="1"/>
  <c r="AC32" i="2"/>
  <c r="B63" i="2"/>
  <c r="F63" i="2" s="1"/>
  <c r="B53" i="2"/>
  <c r="P53" i="2" s="1"/>
  <c r="AC22" i="2"/>
  <c r="AC27" i="2"/>
  <c r="AD31" i="2"/>
  <c r="AC30" i="2"/>
  <c r="B58" i="2"/>
  <c r="K58" i="2" s="1"/>
  <c r="B62" i="2"/>
  <c r="L62" i="2" s="1"/>
  <c r="AC29" i="2"/>
  <c r="AC26" i="2"/>
  <c r="AD33" i="2"/>
  <c r="AD22" i="2"/>
  <c r="AD26" i="2"/>
  <c r="AC24" i="2"/>
  <c r="B60" i="2"/>
  <c r="L60" i="2" s="1"/>
  <c r="AC28" i="2"/>
  <c r="AC23" i="2"/>
  <c r="AD30" i="2"/>
  <c r="AD29" i="2"/>
  <c r="AE26" i="2"/>
  <c r="AE25" i="2"/>
  <c r="AE23" i="2"/>
  <c r="E43" i="2"/>
  <c r="Y43" i="2"/>
  <c r="D43" i="2"/>
  <c r="C43" i="2"/>
  <c r="F43" i="2"/>
  <c r="G43" i="2"/>
  <c r="H54" i="2"/>
  <c r="M54" i="2"/>
  <c r="L54" i="2"/>
  <c r="N54" i="2"/>
  <c r="P54" i="2"/>
  <c r="D54" i="2"/>
  <c r="Q54" i="2"/>
  <c r="V54" i="2"/>
  <c r="F54" i="2"/>
  <c r="E54" i="2"/>
  <c r="C54" i="2"/>
  <c r="G54" i="2"/>
  <c r="U54" i="2"/>
  <c r="O54" i="2"/>
  <c r="X54" i="2"/>
  <c r="J54" i="2"/>
  <c r="AF27" i="2"/>
  <c r="AF24" i="2"/>
  <c r="AF26" i="2"/>
  <c r="C44" i="2"/>
  <c r="Y44" i="2"/>
  <c r="F44" i="2"/>
  <c r="H44" i="2"/>
  <c r="G44" i="2"/>
  <c r="E44" i="2"/>
  <c r="D44" i="2"/>
  <c r="I28" i="2"/>
  <c r="I33" i="2"/>
  <c r="I49" i="2" s="1"/>
  <c r="Y38" i="2"/>
  <c r="E38" i="2"/>
  <c r="F38" i="2"/>
  <c r="G38" i="2"/>
  <c r="C38" i="2"/>
  <c r="H38" i="2"/>
  <c r="D38" i="2"/>
  <c r="C40" i="2"/>
  <c r="D40" i="2"/>
  <c r="Y40" i="2"/>
  <c r="F40" i="2"/>
  <c r="G40" i="2"/>
  <c r="E40" i="2"/>
  <c r="F45" i="2"/>
  <c r="E45" i="2"/>
  <c r="F47" i="2"/>
  <c r="Y47" i="2"/>
  <c r="E47" i="2"/>
  <c r="G47" i="2"/>
  <c r="H47" i="2"/>
  <c r="D45" i="2"/>
  <c r="D47" i="2"/>
  <c r="G45" i="2"/>
  <c r="C45" i="2"/>
  <c r="Y45" i="2"/>
  <c r="I47" i="2"/>
  <c r="I25" i="2"/>
  <c r="J31" i="2"/>
  <c r="J47" i="2" s="1"/>
  <c r="C41" i="2"/>
  <c r="F41" i="2"/>
  <c r="D41" i="2"/>
  <c r="H41" i="2"/>
  <c r="Y41" i="2"/>
  <c r="E41" i="2"/>
  <c r="G41" i="2"/>
  <c r="AF31" i="2"/>
  <c r="AF30" i="2"/>
  <c r="AF28" i="2"/>
  <c r="AF22" i="2"/>
  <c r="AF23" i="2"/>
  <c r="AF32" i="2"/>
  <c r="AF33" i="2"/>
  <c r="AF25" i="2"/>
  <c r="I22" i="2"/>
  <c r="G39" i="2"/>
  <c r="E39" i="2"/>
  <c r="Y39" i="2"/>
  <c r="F39" i="2"/>
  <c r="C39" i="2"/>
  <c r="D39" i="2"/>
  <c r="H39" i="2"/>
  <c r="H24" i="2"/>
  <c r="H26" i="2"/>
  <c r="H42" i="2" s="1"/>
  <c r="C46" i="2"/>
  <c r="F46" i="2"/>
  <c r="Y46" i="2"/>
  <c r="Y48" i="2"/>
  <c r="D48" i="2"/>
  <c r="E48" i="2"/>
  <c r="F48" i="2"/>
  <c r="D46" i="2"/>
  <c r="H48" i="2"/>
  <c r="G46" i="2"/>
  <c r="G48" i="2"/>
  <c r="E46" i="2"/>
  <c r="H46" i="2"/>
  <c r="AG34" i="2"/>
  <c r="AG24" i="2" s="1"/>
  <c r="Y49" i="2"/>
  <c r="G49" i="2"/>
  <c r="D49" i="2"/>
  <c r="F49" i="2"/>
  <c r="C47" i="2"/>
  <c r="H49" i="2"/>
  <c r="E49" i="2"/>
  <c r="I32" i="2"/>
  <c r="H27" i="2"/>
  <c r="C42" i="2"/>
  <c r="E42" i="2"/>
  <c r="D42" i="2"/>
  <c r="G42" i="2"/>
  <c r="F42" i="2"/>
  <c r="Y42" i="2"/>
  <c r="J30" i="2"/>
  <c r="I23" i="2"/>
  <c r="H29" i="2"/>
  <c r="T54" i="2" l="1"/>
  <c r="W54" i="2"/>
  <c r="S54" i="2"/>
  <c r="R54" i="2"/>
  <c r="K54" i="2"/>
  <c r="O56" i="2"/>
  <c r="T56" i="2"/>
  <c r="J56" i="2"/>
  <c r="W57" i="2"/>
  <c r="C57" i="2"/>
  <c r="AC57" i="2" s="1"/>
  <c r="V57" i="2"/>
  <c r="X57" i="2"/>
  <c r="I56" i="2"/>
  <c r="J60" i="2"/>
  <c r="G57" i="2"/>
  <c r="U61" i="2"/>
  <c r="J57" i="2"/>
  <c r="M60" i="2"/>
  <c r="V56" i="2"/>
  <c r="T57" i="2"/>
  <c r="U57" i="2"/>
  <c r="M61" i="2"/>
  <c r="I57" i="2"/>
  <c r="P57" i="2"/>
  <c r="L61" i="2"/>
  <c r="H57" i="2"/>
  <c r="H55" i="2"/>
  <c r="K59" i="2"/>
  <c r="E59" i="2"/>
  <c r="G60" i="2"/>
  <c r="D59" i="2"/>
  <c r="F59" i="2"/>
  <c r="T59" i="2"/>
  <c r="K57" i="2"/>
  <c r="E57" i="2"/>
  <c r="R57" i="2"/>
  <c r="C59" i="2"/>
  <c r="AC59" i="2" s="1"/>
  <c r="Q59" i="2"/>
  <c r="S57" i="2"/>
  <c r="N57" i="2"/>
  <c r="Q57" i="2"/>
  <c r="D57" i="2"/>
  <c r="L59" i="2"/>
  <c r="M57" i="2"/>
  <c r="L57" i="2"/>
  <c r="F57" i="2"/>
  <c r="L63" i="2"/>
  <c r="N59" i="2"/>
  <c r="O59" i="2"/>
  <c r="U60" i="2"/>
  <c r="D58" i="2"/>
  <c r="H59" i="2"/>
  <c r="U59" i="2"/>
  <c r="J58" i="2"/>
  <c r="G59" i="2"/>
  <c r="X59" i="2"/>
  <c r="W58" i="2"/>
  <c r="R53" i="2"/>
  <c r="P62" i="2"/>
  <c r="N58" i="2"/>
  <c r="W59" i="2"/>
  <c r="P59" i="2"/>
  <c r="M59" i="2"/>
  <c r="S59" i="2"/>
  <c r="F52" i="2"/>
  <c r="Q60" i="2"/>
  <c r="G58" i="2"/>
  <c r="O53" i="2"/>
  <c r="I59" i="2"/>
  <c r="J59" i="2"/>
  <c r="R59" i="2"/>
  <c r="C52" i="2"/>
  <c r="Q58" i="2"/>
  <c r="D63" i="2"/>
  <c r="V52" i="2"/>
  <c r="C62" i="2"/>
  <c r="AC62" i="2" s="1"/>
  <c r="T62" i="2"/>
  <c r="S58" i="2"/>
  <c r="U58" i="2"/>
  <c r="M58" i="2"/>
  <c r="S53" i="2"/>
  <c r="V53" i="2"/>
  <c r="H63" i="2"/>
  <c r="P63" i="2"/>
  <c r="R52" i="2"/>
  <c r="G62" i="2"/>
  <c r="J62" i="2"/>
  <c r="R58" i="2"/>
  <c r="E58" i="2"/>
  <c r="I58" i="2"/>
  <c r="D53" i="2"/>
  <c r="H53" i="2"/>
  <c r="G63" i="2"/>
  <c r="U63" i="2"/>
  <c r="T52" i="2"/>
  <c r="H62" i="2"/>
  <c r="C53" i="2"/>
  <c r="AC53" i="2" s="1"/>
  <c r="W63" i="2"/>
  <c r="Q52" i="2"/>
  <c r="K52" i="2"/>
  <c r="M62" i="2"/>
  <c r="X62" i="2"/>
  <c r="O58" i="2"/>
  <c r="H58" i="2"/>
  <c r="T58" i="2"/>
  <c r="G53" i="2"/>
  <c r="U53" i="2"/>
  <c r="S63" i="2"/>
  <c r="I63" i="2"/>
  <c r="J53" i="2"/>
  <c r="C63" i="2"/>
  <c r="AC63" i="2" s="1"/>
  <c r="S52" i="2"/>
  <c r="H52" i="2"/>
  <c r="I52" i="2"/>
  <c r="E62" i="2"/>
  <c r="U62" i="2"/>
  <c r="L58" i="2"/>
  <c r="P58" i="2"/>
  <c r="V58" i="2"/>
  <c r="Q53" i="2"/>
  <c r="L53" i="2"/>
  <c r="M63" i="2"/>
  <c r="N63" i="2"/>
  <c r="R56" i="2"/>
  <c r="J52" i="2"/>
  <c r="W52" i="2"/>
  <c r="D52" i="2"/>
  <c r="N52" i="2"/>
  <c r="P56" i="2"/>
  <c r="N56" i="2"/>
  <c r="F60" i="2"/>
  <c r="T60" i="2"/>
  <c r="K55" i="2"/>
  <c r="F62" i="2"/>
  <c r="S62" i="2"/>
  <c r="O62" i="2"/>
  <c r="D62" i="2"/>
  <c r="I53" i="2"/>
  <c r="N53" i="2"/>
  <c r="X53" i="2"/>
  <c r="X56" i="2"/>
  <c r="D60" i="2"/>
  <c r="S60" i="2"/>
  <c r="S55" i="2"/>
  <c r="O55" i="2"/>
  <c r="P52" i="2"/>
  <c r="O52" i="2"/>
  <c r="G52" i="2"/>
  <c r="U52" i="2"/>
  <c r="D56" i="2"/>
  <c r="E56" i="2"/>
  <c r="N60" i="2"/>
  <c r="I60" i="2"/>
  <c r="C55" i="2"/>
  <c r="W62" i="2"/>
  <c r="I62" i="2"/>
  <c r="Q62" i="2"/>
  <c r="R62" i="2"/>
  <c r="E53" i="2"/>
  <c r="K53" i="2"/>
  <c r="F53" i="2"/>
  <c r="X55" i="2"/>
  <c r="M55" i="2"/>
  <c r="L56" i="2"/>
  <c r="O60" i="2"/>
  <c r="E52" i="2"/>
  <c r="M52" i="2"/>
  <c r="L52" i="2"/>
  <c r="C56" i="2"/>
  <c r="AC56" i="2" s="1"/>
  <c r="W56" i="2"/>
  <c r="W60" i="2"/>
  <c r="R60" i="2"/>
  <c r="J55" i="2"/>
  <c r="V62" i="2"/>
  <c r="N62" i="2"/>
  <c r="K62" i="2"/>
  <c r="F58" i="2"/>
  <c r="X58" i="2"/>
  <c r="C58" i="2"/>
  <c r="M53" i="2"/>
  <c r="W53" i="2"/>
  <c r="T53" i="2"/>
  <c r="X61" i="2"/>
  <c r="J61" i="2"/>
  <c r="K56" i="2"/>
  <c r="H56" i="2"/>
  <c r="S56" i="2"/>
  <c r="M56" i="2"/>
  <c r="V60" i="2"/>
  <c r="K60" i="2"/>
  <c r="E60" i="2"/>
  <c r="H60" i="2"/>
  <c r="G61" i="2"/>
  <c r="Q61" i="2"/>
  <c r="D61" i="2"/>
  <c r="T61" i="2"/>
  <c r="I55" i="2"/>
  <c r="Q55" i="2"/>
  <c r="V55" i="2"/>
  <c r="F55" i="2"/>
  <c r="P61" i="2"/>
  <c r="E61" i="2"/>
  <c r="V61" i="2"/>
  <c r="H61" i="2"/>
  <c r="C61" i="2"/>
  <c r="E55" i="2"/>
  <c r="N55" i="2"/>
  <c r="R55" i="2"/>
  <c r="L55" i="2"/>
  <c r="G56" i="2"/>
  <c r="Q56" i="2"/>
  <c r="U56" i="2"/>
  <c r="P60" i="2"/>
  <c r="X60" i="2"/>
  <c r="C60" i="2"/>
  <c r="F61" i="2"/>
  <c r="N61" i="2"/>
  <c r="I61" i="2"/>
  <c r="O61" i="2"/>
  <c r="T55" i="2"/>
  <c r="P55" i="2"/>
  <c r="G55" i="2"/>
  <c r="K61" i="2"/>
  <c r="S61" i="2"/>
  <c r="R61" i="2"/>
  <c r="U55" i="2"/>
  <c r="D55" i="2"/>
  <c r="V63" i="2"/>
  <c r="K63" i="2"/>
  <c r="J63" i="2"/>
  <c r="E63" i="2"/>
  <c r="Q63" i="2"/>
  <c r="X63" i="2"/>
  <c r="O63" i="2"/>
  <c r="R63" i="2"/>
  <c r="T63" i="2"/>
  <c r="AG29" i="2"/>
  <c r="AG54" i="2"/>
  <c r="AE54" i="2"/>
  <c r="AC54" i="2"/>
  <c r="AD54" i="2"/>
  <c r="AF54" i="2"/>
  <c r="AH54" i="2"/>
  <c r="I29" i="2"/>
  <c r="AG27" i="2"/>
  <c r="H45" i="2"/>
  <c r="AD50" i="2"/>
  <c r="AD43" i="2" s="1"/>
  <c r="J23" i="2"/>
  <c r="J32" i="2"/>
  <c r="I39" i="2"/>
  <c r="J28" i="2"/>
  <c r="I46" i="2"/>
  <c r="I26" i="2"/>
  <c r="J22" i="2"/>
  <c r="K31" i="2"/>
  <c r="J25" i="2"/>
  <c r="I38" i="2"/>
  <c r="AG50" i="2"/>
  <c r="AG43" i="2" s="1"/>
  <c r="I41" i="2"/>
  <c r="AF50" i="2"/>
  <c r="AF43" i="2" s="1"/>
  <c r="AC50" i="2"/>
  <c r="AC42" i="2" s="1"/>
  <c r="K30" i="2"/>
  <c r="AG30" i="2"/>
  <c r="AG31" i="2"/>
  <c r="AG32" i="2"/>
  <c r="AG22" i="2"/>
  <c r="AG25" i="2"/>
  <c r="AG33" i="2"/>
  <c r="AG23" i="2"/>
  <c r="AG28" i="2"/>
  <c r="I48" i="2"/>
  <c r="AG26" i="2"/>
  <c r="I27" i="2"/>
  <c r="H43" i="2"/>
  <c r="I24" i="2"/>
  <c r="AH34" i="2"/>
  <c r="AH27" i="2" s="1"/>
  <c r="H40" i="2"/>
  <c r="AE50" i="2"/>
  <c r="AE43" i="2" s="1"/>
  <c r="J33" i="2"/>
  <c r="I44" i="2"/>
  <c r="Z54" i="2" l="1"/>
  <c r="AB54" i="2" s="1"/>
  <c r="AD60" i="2"/>
  <c r="AG59" i="2"/>
  <c r="AD63" i="2"/>
  <c r="AF59" i="2"/>
  <c r="AD53" i="2"/>
  <c r="AD59" i="2"/>
  <c r="AE57" i="2"/>
  <c r="AE62" i="2"/>
  <c r="AE59" i="2"/>
  <c r="AG63" i="2"/>
  <c r="AE53" i="2"/>
  <c r="O68" i="2"/>
  <c r="L66" i="2"/>
  <c r="AE55" i="2"/>
  <c r="AE58" i="2"/>
  <c r="AG60" i="2"/>
  <c r="AH59" i="2"/>
  <c r="AF57" i="2"/>
  <c r="AD57" i="2"/>
  <c r="AG57" i="2"/>
  <c r="Z57" i="2"/>
  <c r="AB57" i="2" s="1"/>
  <c r="H65" i="2"/>
  <c r="AH57" i="2"/>
  <c r="AD55" i="2"/>
  <c r="Z59" i="2"/>
  <c r="AB59" i="2" s="1"/>
  <c r="AD62" i="2"/>
  <c r="AC58" i="2"/>
  <c r="AF52" i="2"/>
  <c r="AD58" i="2"/>
  <c r="I66" i="2"/>
  <c r="AC55" i="2"/>
  <c r="AE52" i="2"/>
  <c r="AE56" i="2"/>
  <c r="AC52" i="2"/>
  <c r="T67" i="2"/>
  <c r="J65" i="2"/>
  <c r="U66" i="2"/>
  <c r="M66" i="2"/>
  <c r="K67" i="2"/>
  <c r="W68" i="2"/>
  <c r="L65" i="2"/>
  <c r="P65" i="2"/>
  <c r="X66" i="2"/>
  <c r="AG62" i="2"/>
  <c r="N67" i="2"/>
  <c r="AH58" i="2"/>
  <c r="H67" i="2"/>
  <c r="J66" i="2"/>
  <c r="AF60" i="2"/>
  <c r="C65" i="2"/>
  <c r="K66" i="2"/>
  <c r="AD52" i="2"/>
  <c r="C66" i="2"/>
  <c r="R66" i="2"/>
  <c r="G68" i="2"/>
  <c r="W66" i="2"/>
  <c r="M65" i="2"/>
  <c r="AG56" i="2"/>
  <c r="T65" i="2"/>
  <c r="N65" i="2"/>
  <c r="L67" i="2"/>
  <c r="AH60" i="2"/>
  <c r="AC60" i="2"/>
  <c r="L68" i="2"/>
  <c r="W67" i="2"/>
  <c r="AE60" i="2"/>
  <c r="R67" i="2"/>
  <c r="P66" i="2"/>
  <c r="N66" i="2"/>
  <c r="AD61" i="2"/>
  <c r="X67" i="2"/>
  <c r="Z58" i="2"/>
  <c r="AB58" i="2" s="1"/>
  <c r="W65" i="2"/>
  <c r="AF53" i="2"/>
  <c r="Z60" i="2"/>
  <c r="AB60" i="2" s="1"/>
  <c r="O67" i="2"/>
  <c r="Z62" i="2"/>
  <c r="AB62" i="2" s="1"/>
  <c r="Z53" i="2"/>
  <c r="AB53" i="2" s="1"/>
  <c r="R65" i="2"/>
  <c r="I65" i="2"/>
  <c r="I67" i="2"/>
  <c r="AG58" i="2"/>
  <c r="V66" i="2"/>
  <c r="AD56" i="2"/>
  <c r="G65" i="2"/>
  <c r="Z56" i="2"/>
  <c r="AB56" i="2" s="1"/>
  <c r="Q66" i="2"/>
  <c r="H68" i="2"/>
  <c r="O65" i="2"/>
  <c r="E66" i="2"/>
  <c r="AH62" i="2"/>
  <c r="T66" i="2"/>
  <c r="R68" i="2"/>
  <c r="P68" i="2"/>
  <c r="AG53" i="2"/>
  <c r="I68" i="2"/>
  <c r="AE63" i="2"/>
  <c r="S68" i="2"/>
  <c r="F65" i="2"/>
  <c r="D65" i="2"/>
  <c r="Z52" i="2"/>
  <c r="O66" i="2"/>
  <c r="K65" i="2"/>
  <c r="S65" i="2"/>
  <c r="D66" i="2"/>
  <c r="AC61" i="2"/>
  <c r="AF58" i="2"/>
  <c r="C67" i="2"/>
  <c r="F68" i="2"/>
  <c r="U67" i="2"/>
  <c r="AH56" i="2"/>
  <c r="AH53" i="2"/>
  <c r="AH63" i="2"/>
  <c r="N68" i="2"/>
  <c r="D68" i="2"/>
  <c r="AE61" i="2"/>
  <c r="AG52" i="2"/>
  <c r="AF56" i="2"/>
  <c r="AF63" i="2"/>
  <c r="C68" i="2"/>
  <c r="G66" i="2"/>
  <c r="P67" i="2"/>
  <c r="AH52" i="2"/>
  <c r="AH61" i="2"/>
  <c r="D67" i="2"/>
  <c r="J68" i="2"/>
  <c r="V68" i="2"/>
  <c r="AF62" i="2"/>
  <c r="U68" i="2"/>
  <c r="J67" i="2"/>
  <c r="V67" i="2"/>
  <c r="F67" i="2"/>
  <c r="AG55" i="2"/>
  <c r="H66" i="2"/>
  <c r="Z61" i="2"/>
  <c r="AB61" i="2" s="1"/>
  <c r="V65" i="2"/>
  <c r="S66" i="2"/>
  <c r="Q67" i="2"/>
  <c r="M68" i="2"/>
  <c r="E67" i="2"/>
  <c r="G67" i="2"/>
  <c r="AG61" i="2"/>
  <c r="X65" i="2"/>
  <c r="Z55" i="2"/>
  <c r="AB55" i="2" s="1"/>
  <c r="T68" i="2"/>
  <c r="F66" i="2"/>
  <c r="E65" i="2"/>
  <c r="S67" i="2"/>
  <c r="K68" i="2"/>
  <c r="E68" i="2"/>
  <c r="AH55" i="2"/>
  <c r="AF61" i="2"/>
  <c r="AF55" i="2"/>
  <c r="M67" i="2"/>
  <c r="U65" i="2"/>
  <c r="Q65" i="2"/>
  <c r="X68" i="2"/>
  <c r="Q68" i="2"/>
  <c r="Z63" i="2"/>
  <c r="AB63" i="2" s="1"/>
  <c r="AD45" i="2"/>
  <c r="AD49" i="2"/>
  <c r="AD48" i="2"/>
  <c r="AD40" i="2"/>
  <c r="AD42" i="2"/>
  <c r="AD46" i="2"/>
  <c r="AD47" i="2"/>
  <c r="AD44" i="2"/>
  <c r="AF40" i="2"/>
  <c r="AD41" i="2"/>
  <c r="AF46" i="2"/>
  <c r="AG46" i="2"/>
  <c r="AI60" i="2"/>
  <c r="AF38" i="2"/>
  <c r="AG41" i="2"/>
  <c r="AE38" i="2"/>
  <c r="AG40" i="2"/>
  <c r="AC45" i="2"/>
  <c r="AG45" i="2"/>
  <c r="AG39" i="2"/>
  <c r="AH50" i="2"/>
  <c r="AH39" i="2" s="1"/>
  <c r="AC46" i="2"/>
  <c r="AF49" i="2"/>
  <c r="AC39" i="2"/>
  <c r="AC40" i="2"/>
  <c r="AG47" i="2"/>
  <c r="AD38" i="2"/>
  <c r="AH24" i="2"/>
  <c r="AF48" i="2"/>
  <c r="AF41" i="2"/>
  <c r="AG42" i="2"/>
  <c r="AF45" i="2"/>
  <c r="AF42" i="2"/>
  <c r="J27" i="2"/>
  <c r="I43" i="2"/>
  <c r="AE47" i="2"/>
  <c r="AH31" i="2"/>
  <c r="AH30" i="2"/>
  <c r="AH22" i="2"/>
  <c r="AH25" i="2"/>
  <c r="AH23" i="2"/>
  <c r="AH28" i="2"/>
  <c r="AH33" i="2"/>
  <c r="AH32" i="2"/>
  <c r="AE42" i="2"/>
  <c r="AC49" i="2"/>
  <c r="AC43" i="2"/>
  <c r="AC48" i="2"/>
  <c r="AF47" i="2"/>
  <c r="L31" i="2"/>
  <c r="K47" i="2"/>
  <c r="AI61" i="2"/>
  <c r="AI57" i="2"/>
  <c r="AH26" i="2"/>
  <c r="AE49" i="2"/>
  <c r="AI58" i="2"/>
  <c r="AE40" i="2"/>
  <c r="AI55" i="2"/>
  <c r="AE45" i="2"/>
  <c r="AI56" i="2"/>
  <c r="AI54" i="2"/>
  <c r="AF39" i="2"/>
  <c r="AC47" i="2"/>
  <c r="AC44" i="2"/>
  <c r="AG48" i="2"/>
  <c r="AH29" i="2"/>
  <c r="AE39" i="2"/>
  <c r="AI62" i="2"/>
  <c r="AI53" i="2"/>
  <c r="AE48" i="2"/>
  <c r="K25" i="2"/>
  <c r="J41" i="2"/>
  <c r="AI59" i="2"/>
  <c r="AF44" i="2"/>
  <c r="AD39" i="2"/>
  <c r="AG49" i="2"/>
  <c r="AG44" i="2"/>
  <c r="J24" i="2"/>
  <c r="I40" i="2"/>
  <c r="L30" i="2"/>
  <c r="AI34" i="2"/>
  <c r="AI24" i="2" s="1"/>
  <c r="K23" i="2"/>
  <c r="J39" i="2"/>
  <c r="J29" i="2"/>
  <c r="I45" i="2"/>
  <c r="K33" i="2"/>
  <c r="J49" i="2"/>
  <c r="AE41" i="2"/>
  <c r="AC38" i="2"/>
  <c r="AC41" i="2"/>
  <c r="AE46" i="2"/>
  <c r="AG38" i="2"/>
  <c r="AI63" i="2"/>
  <c r="AI52" i="2"/>
  <c r="K22" i="2"/>
  <c r="J38" i="2"/>
  <c r="J26" i="2"/>
  <c r="I42" i="2"/>
  <c r="K28" i="2"/>
  <c r="J44" i="2"/>
  <c r="K32" i="2"/>
  <c r="J48" i="2"/>
  <c r="J46" i="2"/>
  <c r="AE44" i="2"/>
  <c r="Z66" i="2" l="1"/>
  <c r="AB52" i="2"/>
  <c r="Z67" i="2"/>
  <c r="Z65" i="2"/>
  <c r="AJ63" i="2"/>
  <c r="AH43" i="2"/>
  <c r="AJ53" i="2"/>
  <c r="AI29" i="2"/>
  <c r="AH44" i="2"/>
  <c r="AH41" i="2"/>
  <c r="AH47" i="2"/>
  <c r="AH42" i="2"/>
  <c r="AJ59" i="2"/>
  <c r="AI27" i="2"/>
  <c r="AH49" i="2"/>
  <c r="AH48" i="2"/>
  <c r="AH46" i="2"/>
  <c r="AH45" i="2"/>
  <c r="AI26" i="2"/>
  <c r="AH40" i="2"/>
  <c r="AH38" i="2"/>
  <c r="L23" i="2"/>
  <c r="K39" i="2"/>
  <c r="AJ58" i="2"/>
  <c r="AJ55" i="2"/>
  <c r="AJ34" i="2"/>
  <c r="AJ29" i="2" s="1"/>
  <c r="K29" i="2"/>
  <c r="J45" i="2"/>
  <c r="AI50" i="2"/>
  <c r="AI42" i="2" s="1"/>
  <c r="K27" i="2"/>
  <c r="J43" i="2"/>
  <c r="AJ57" i="2"/>
  <c r="AJ52" i="2"/>
  <c r="AJ54" i="2"/>
  <c r="AI31" i="2"/>
  <c r="AI30" i="2"/>
  <c r="AI25" i="2"/>
  <c r="AI23" i="2"/>
  <c r="AI32" i="2"/>
  <c r="AI28" i="2"/>
  <c r="AI22" i="2"/>
  <c r="AI33" i="2"/>
  <c r="AJ56" i="2"/>
  <c r="L33" i="2"/>
  <c r="K49" i="2"/>
  <c r="M31" i="2"/>
  <c r="L47" i="2"/>
  <c r="AJ61" i="2"/>
  <c r="M30" i="2"/>
  <c r="L32" i="2"/>
  <c r="K48" i="2"/>
  <c r="K46" i="2"/>
  <c r="K24" i="2"/>
  <c r="J40" i="2"/>
  <c r="K26" i="2"/>
  <c r="J42" i="2"/>
  <c r="L28" i="2"/>
  <c r="K44" i="2"/>
  <c r="AJ62" i="2"/>
  <c r="AJ60" i="2"/>
  <c r="L22" i="2"/>
  <c r="K38" i="2"/>
  <c r="L25" i="2"/>
  <c r="K41" i="2"/>
  <c r="AK55" i="2" l="1"/>
  <c r="AK60" i="2"/>
  <c r="AJ50" i="2"/>
  <c r="AJ44" i="2" s="1"/>
  <c r="AK61" i="2"/>
  <c r="AI45" i="2"/>
  <c r="AI43" i="2"/>
  <c r="AK56" i="2"/>
  <c r="AJ24" i="2"/>
  <c r="AK34" i="2"/>
  <c r="AK23" i="2" s="1"/>
  <c r="AJ27" i="2"/>
  <c r="AJ26" i="2"/>
  <c r="AK63" i="2"/>
  <c r="AI40" i="2"/>
  <c r="AK58" i="2"/>
  <c r="AK57" i="2"/>
  <c r="AK62" i="2"/>
  <c r="L26" i="2"/>
  <c r="K42" i="2"/>
  <c r="N31" i="2"/>
  <c r="M47" i="2"/>
  <c r="M28" i="2"/>
  <c r="L44" i="2"/>
  <c r="M32" i="2"/>
  <c r="L48" i="2"/>
  <c r="L46" i="2"/>
  <c r="AK53" i="2"/>
  <c r="M33" i="2"/>
  <c r="L49" i="2"/>
  <c r="L29" i="2"/>
  <c r="K45" i="2"/>
  <c r="M22" i="2"/>
  <c r="L38" i="2"/>
  <c r="L27" i="2"/>
  <c r="K43" i="2"/>
  <c r="AK52" i="2"/>
  <c r="M25" i="2"/>
  <c r="L41" i="2"/>
  <c r="AK54" i="2"/>
  <c r="AK59" i="2"/>
  <c r="L24" i="2"/>
  <c r="K40" i="2"/>
  <c r="M23" i="2"/>
  <c r="L39" i="2"/>
  <c r="N30" i="2"/>
  <c r="AI47" i="2"/>
  <c r="AI49" i="2"/>
  <c r="AI39" i="2"/>
  <c r="AI38" i="2"/>
  <c r="AI48" i="2"/>
  <c r="AI46" i="2"/>
  <c r="AI44" i="2"/>
  <c r="AI41" i="2"/>
  <c r="AJ30" i="2"/>
  <c r="AJ31" i="2"/>
  <c r="AJ22" i="2"/>
  <c r="AJ33" i="2"/>
  <c r="AJ32" i="2"/>
  <c r="AJ25" i="2"/>
  <c r="AJ28" i="2"/>
  <c r="AJ23" i="2"/>
  <c r="AJ42" i="2" l="1"/>
  <c r="AJ45" i="2"/>
  <c r="AK32" i="2"/>
  <c r="AK31" i="2"/>
  <c r="AJ46" i="2"/>
  <c r="AJ39" i="2"/>
  <c r="AJ47" i="2"/>
  <c r="AL58" i="2"/>
  <c r="AJ43" i="2"/>
  <c r="AJ40" i="2"/>
  <c r="AK26" i="2"/>
  <c r="AK22" i="2"/>
  <c r="AJ38" i="2"/>
  <c r="AK24" i="2"/>
  <c r="AK33" i="2"/>
  <c r="AJ48" i="2"/>
  <c r="AK30" i="2"/>
  <c r="AJ41" i="2"/>
  <c r="AK27" i="2"/>
  <c r="AK29" i="2"/>
  <c r="AK25" i="2"/>
  <c r="AK28" i="2"/>
  <c r="AJ49" i="2"/>
  <c r="AL61" i="2"/>
  <c r="AL54" i="2"/>
  <c r="AL59" i="2"/>
  <c r="N28" i="2"/>
  <c r="M44" i="2"/>
  <c r="O31" i="2"/>
  <c r="P31" i="2" s="1"/>
  <c r="Q31" i="2" s="1"/>
  <c r="R31" i="2" s="1"/>
  <c r="S31" i="2" s="1"/>
  <c r="T31" i="2" s="1"/>
  <c r="U31" i="2" s="1"/>
  <c r="V31" i="2" s="1"/>
  <c r="W31" i="2" s="1"/>
  <c r="X31" i="2" s="1"/>
  <c r="N47" i="2"/>
  <c r="N33" i="2"/>
  <c r="M49" i="2"/>
  <c r="M24" i="2"/>
  <c r="L40" i="2"/>
  <c r="AL62" i="2"/>
  <c r="AL63" i="2"/>
  <c r="AL53" i="2"/>
  <c r="N22" i="2"/>
  <c r="M38" i="2"/>
  <c r="N32" i="2"/>
  <c r="M48" i="2"/>
  <c r="M46" i="2"/>
  <c r="N25" i="2"/>
  <c r="M41" i="2"/>
  <c r="AL55" i="2"/>
  <c r="AL56" i="2"/>
  <c r="AL52" i="2"/>
  <c r="AL34" i="2"/>
  <c r="AL29" i="2" s="1"/>
  <c r="M29" i="2"/>
  <c r="L45" i="2"/>
  <c r="AK50" i="2"/>
  <c r="AK40" i="2" s="1"/>
  <c r="M26" i="2"/>
  <c r="L42" i="2"/>
  <c r="O30" i="2"/>
  <c r="P30" i="2" s="1"/>
  <c r="Q30" i="2" s="1"/>
  <c r="R30" i="2" s="1"/>
  <c r="S30" i="2" s="1"/>
  <c r="T30" i="2" s="1"/>
  <c r="U30" i="2" s="1"/>
  <c r="V30" i="2" s="1"/>
  <c r="W30" i="2" s="1"/>
  <c r="X30" i="2" s="1"/>
  <c r="N23" i="2"/>
  <c r="M39" i="2"/>
  <c r="M27" i="2"/>
  <c r="L43" i="2"/>
  <c r="AL60" i="2"/>
  <c r="AL57" i="2"/>
  <c r="X47" i="2" l="1"/>
  <c r="W47" i="2"/>
  <c r="V47" i="2"/>
  <c r="U47" i="2"/>
  <c r="T47" i="2"/>
  <c r="S47" i="2"/>
  <c r="R47" i="2"/>
  <c r="Q47" i="2"/>
  <c r="P47" i="2"/>
  <c r="AM52" i="2"/>
  <c r="AK43" i="2"/>
  <c r="AM61" i="2"/>
  <c r="AM57" i="2"/>
  <c r="AM34" i="2"/>
  <c r="AM32" i="2" s="1"/>
  <c r="O28" i="2"/>
  <c r="P28" i="2" s="1"/>
  <c r="Q28" i="2" s="1"/>
  <c r="R28" i="2" s="1"/>
  <c r="S28" i="2" s="1"/>
  <c r="T28" i="2" s="1"/>
  <c r="U28" i="2" s="1"/>
  <c r="V28" i="2" s="1"/>
  <c r="W28" i="2" s="1"/>
  <c r="X28" i="2" s="1"/>
  <c r="N44" i="2"/>
  <c r="AM56" i="2"/>
  <c r="AK47" i="2"/>
  <c r="AK41" i="2"/>
  <c r="AK48" i="2"/>
  <c r="AK39" i="2"/>
  <c r="AK38" i="2"/>
  <c r="AK46" i="2"/>
  <c r="AK44" i="2"/>
  <c r="AK49" i="2"/>
  <c r="AK42" i="2"/>
  <c r="AM54" i="2"/>
  <c r="AM53" i="2"/>
  <c r="O33" i="2"/>
  <c r="P33" i="2" s="1"/>
  <c r="Q33" i="2" s="1"/>
  <c r="R33" i="2" s="1"/>
  <c r="S33" i="2" s="1"/>
  <c r="T33" i="2" s="1"/>
  <c r="U33" i="2" s="1"/>
  <c r="V33" i="2" s="1"/>
  <c r="W33" i="2" s="1"/>
  <c r="X33" i="2" s="1"/>
  <c r="N49" i="2"/>
  <c r="O23" i="2"/>
  <c r="P23" i="2" s="1"/>
  <c r="Q23" i="2" s="1"/>
  <c r="R23" i="2" s="1"/>
  <c r="S23" i="2" s="1"/>
  <c r="T23" i="2" s="1"/>
  <c r="U23" i="2" s="1"/>
  <c r="V23" i="2" s="1"/>
  <c r="W23" i="2" s="1"/>
  <c r="X23" i="2" s="1"/>
  <c r="N39" i="2"/>
  <c r="AM55" i="2"/>
  <c r="N24" i="2"/>
  <c r="M40" i="2"/>
  <c r="O22" i="2"/>
  <c r="P22" i="2" s="1"/>
  <c r="Q22" i="2" s="1"/>
  <c r="R22" i="2" s="1"/>
  <c r="S22" i="2" s="1"/>
  <c r="T22" i="2" s="1"/>
  <c r="U22" i="2" s="1"/>
  <c r="V22" i="2" s="1"/>
  <c r="W22" i="2" s="1"/>
  <c r="X22" i="2" s="1"/>
  <c r="N38" i="2"/>
  <c r="N29" i="2"/>
  <c r="M45" i="2"/>
  <c r="AM62" i="2"/>
  <c r="O32" i="2"/>
  <c r="P32" i="2" s="1"/>
  <c r="Q32" i="2" s="1"/>
  <c r="R32" i="2" s="1"/>
  <c r="S32" i="2" s="1"/>
  <c r="T32" i="2" s="1"/>
  <c r="U32" i="2" s="1"/>
  <c r="V32" i="2" s="1"/>
  <c r="W32" i="2" s="1"/>
  <c r="X32" i="2" s="1"/>
  <c r="N46" i="2"/>
  <c r="N48" i="2"/>
  <c r="N26" i="2"/>
  <c r="M42" i="2"/>
  <c r="AL31" i="2"/>
  <c r="AL30" i="2"/>
  <c r="AL22" i="2"/>
  <c r="AL33" i="2"/>
  <c r="AL32" i="2"/>
  <c r="AL25" i="2"/>
  <c r="AL23" i="2"/>
  <c r="AL28" i="2"/>
  <c r="O25" i="2"/>
  <c r="P25" i="2" s="1"/>
  <c r="Q25" i="2" s="1"/>
  <c r="R25" i="2" s="1"/>
  <c r="S25" i="2" s="1"/>
  <c r="T25" i="2" s="1"/>
  <c r="U25" i="2" s="1"/>
  <c r="V25" i="2" s="1"/>
  <c r="W25" i="2" s="1"/>
  <c r="X25" i="2" s="1"/>
  <c r="N41" i="2"/>
  <c r="AM58" i="2"/>
  <c r="AM59" i="2"/>
  <c r="AL24" i="2"/>
  <c r="O47" i="2"/>
  <c r="N27" i="2"/>
  <c r="M43" i="2"/>
  <c r="AL27" i="2"/>
  <c r="AL50" i="2"/>
  <c r="AL40" i="2" s="1"/>
  <c r="AL26" i="2"/>
  <c r="AK45" i="2"/>
  <c r="AM63" i="2"/>
  <c r="AM60" i="2"/>
  <c r="X38" i="2" l="1"/>
  <c r="X49" i="2"/>
  <c r="X41" i="2"/>
  <c r="X46" i="2"/>
  <c r="X48" i="2"/>
  <c r="X44" i="2"/>
  <c r="X39" i="2"/>
  <c r="W49" i="2"/>
  <c r="W44" i="2"/>
  <c r="W39" i="2"/>
  <c r="W41" i="2"/>
  <c r="W38" i="2"/>
  <c r="V49" i="2"/>
  <c r="V38" i="2"/>
  <c r="V44" i="2"/>
  <c r="V41" i="2"/>
  <c r="V39" i="2"/>
  <c r="W46" i="2"/>
  <c r="W48" i="2"/>
  <c r="V46" i="2"/>
  <c r="V48" i="2"/>
  <c r="U39" i="2"/>
  <c r="U38" i="2"/>
  <c r="U46" i="2"/>
  <c r="U48" i="2"/>
  <c r="U49" i="2"/>
  <c r="U41" i="2"/>
  <c r="U44" i="2"/>
  <c r="T39" i="2"/>
  <c r="T44" i="2"/>
  <c r="T41" i="2"/>
  <c r="T49" i="2"/>
  <c r="T38" i="2"/>
  <c r="T46" i="2"/>
  <c r="T48" i="2"/>
  <c r="S44" i="2"/>
  <c r="S39" i="2"/>
  <c r="S41" i="2"/>
  <c r="S38" i="2"/>
  <c r="S48" i="2"/>
  <c r="S46" i="2"/>
  <c r="S49" i="2"/>
  <c r="R49" i="2"/>
  <c r="R44" i="2"/>
  <c r="R39" i="2"/>
  <c r="R41" i="2"/>
  <c r="R38" i="2"/>
  <c r="R48" i="2"/>
  <c r="R46" i="2"/>
  <c r="Q41" i="2"/>
  <c r="Q44" i="2"/>
  <c r="Q46" i="2"/>
  <c r="Q48" i="2"/>
  <c r="Q38" i="2"/>
  <c r="Q49" i="2"/>
  <c r="Q39" i="2"/>
  <c r="P44" i="2"/>
  <c r="P39" i="2"/>
  <c r="P48" i="2"/>
  <c r="P46" i="2"/>
  <c r="AN60" i="2"/>
  <c r="AM22" i="2"/>
  <c r="AM30" i="2"/>
  <c r="P49" i="2"/>
  <c r="P41" i="2"/>
  <c r="AN56" i="2"/>
  <c r="P38" i="2"/>
  <c r="AM26" i="2"/>
  <c r="AM33" i="2"/>
  <c r="AM28" i="2"/>
  <c r="AM27" i="2"/>
  <c r="AM29" i="2"/>
  <c r="AM24" i="2"/>
  <c r="AM25" i="2"/>
  <c r="AM23" i="2"/>
  <c r="AM31" i="2"/>
  <c r="AN54" i="2"/>
  <c r="O46" i="2"/>
  <c r="O48" i="2"/>
  <c r="O29" i="2"/>
  <c r="P29" i="2" s="1"/>
  <c r="Q29" i="2" s="1"/>
  <c r="R29" i="2" s="1"/>
  <c r="S29" i="2" s="1"/>
  <c r="T29" i="2" s="1"/>
  <c r="U29" i="2" s="1"/>
  <c r="V29" i="2" s="1"/>
  <c r="W29" i="2" s="1"/>
  <c r="X29" i="2" s="1"/>
  <c r="N45" i="2"/>
  <c r="AN63" i="2"/>
  <c r="AL45" i="2"/>
  <c r="O49" i="2"/>
  <c r="O44" i="2"/>
  <c r="AL42" i="2"/>
  <c r="O26" i="2"/>
  <c r="P26" i="2" s="1"/>
  <c r="Q26" i="2" s="1"/>
  <c r="R26" i="2" s="1"/>
  <c r="S26" i="2" s="1"/>
  <c r="T26" i="2" s="1"/>
  <c r="U26" i="2" s="1"/>
  <c r="V26" i="2" s="1"/>
  <c r="W26" i="2" s="1"/>
  <c r="X26" i="2" s="1"/>
  <c r="N42" i="2"/>
  <c r="AN53" i="2"/>
  <c r="AN57" i="2"/>
  <c r="O39" i="2"/>
  <c r="O41" i="2"/>
  <c r="AN58" i="2"/>
  <c r="AN52" i="2"/>
  <c r="O38" i="2"/>
  <c r="O24" i="2"/>
  <c r="P24" i="2" s="1"/>
  <c r="Q24" i="2" s="1"/>
  <c r="R24" i="2" s="1"/>
  <c r="S24" i="2" s="1"/>
  <c r="T24" i="2" s="1"/>
  <c r="U24" i="2" s="1"/>
  <c r="V24" i="2" s="1"/>
  <c r="N40" i="2"/>
  <c r="AN59" i="2"/>
  <c r="AN61" i="2"/>
  <c r="AN34" i="2"/>
  <c r="AN26" i="2" s="1"/>
  <c r="AM50" i="2"/>
  <c r="AM45" i="2" s="1"/>
  <c r="AL47" i="2"/>
  <c r="AL41" i="2"/>
  <c r="AL39" i="2"/>
  <c r="AL49" i="2"/>
  <c r="AL48" i="2"/>
  <c r="AL38" i="2"/>
  <c r="AL44" i="2"/>
  <c r="AL46" i="2"/>
  <c r="AL43" i="2"/>
  <c r="O27" i="2"/>
  <c r="P27" i="2" s="1"/>
  <c r="Q27" i="2" s="1"/>
  <c r="R27" i="2" s="1"/>
  <c r="S27" i="2" s="1"/>
  <c r="T27" i="2" s="1"/>
  <c r="U27" i="2" s="1"/>
  <c r="V27" i="2" s="1"/>
  <c r="W27" i="2" s="1"/>
  <c r="X27" i="2" s="1"/>
  <c r="N43" i="2"/>
  <c r="AN55" i="2"/>
  <c r="AN62" i="2"/>
  <c r="X42" i="2" l="1"/>
  <c r="X43" i="2"/>
  <c r="X45" i="2"/>
  <c r="AV59" i="2"/>
  <c r="W45" i="2"/>
  <c r="AV52" i="2"/>
  <c r="W43" i="2"/>
  <c r="AV55" i="2"/>
  <c r="AV58" i="2"/>
  <c r="AV34" i="2"/>
  <c r="AV25" i="2" s="1"/>
  <c r="W24" i="2"/>
  <c r="X24" i="2" s="1"/>
  <c r="W42" i="2"/>
  <c r="V43" i="2"/>
  <c r="V42" i="2"/>
  <c r="AV53" i="2"/>
  <c r="AV63" i="2"/>
  <c r="AV54" i="2"/>
  <c r="AV62" i="2"/>
  <c r="AV57" i="2"/>
  <c r="AV60" i="2"/>
  <c r="V45" i="2"/>
  <c r="V40" i="2"/>
  <c r="AV56" i="2"/>
  <c r="AV61" i="2"/>
  <c r="AU34" i="2"/>
  <c r="AU22" i="2" s="1"/>
  <c r="AU55" i="2"/>
  <c r="U42" i="2"/>
  <c r="AU56" i="2"/>
  <c r="AU61" i="2"/>
  <c r="AU58" i="2"/>
  <c r="AU54" i="2"/>
  <c r="AU57" i="2"/>
  <c r="U40" i="2"/>
  <c r="AU53" i="2"/>
  <c r="AU52" i="2"/>
  <c r="U43" i="2"/>
  <c r="AU63" i="2"/>
  <c r="AU59" i="2"/>
  <c r="U45" i="2"/>
  <c r="AU62" i="2"/>
  <c r="AU60" i="2"/>
  <c r="AT52" i="2"/>
  <c r="T45" i="2"/>
  <c r="AT61" i="2"/>
  <c r="AT55" i="2"/>
  <c r="T43" i="2"/>
  <c r="AT62" i="2"/>
  <c r="AT63" i="2"/>
  <c r="AT56" i="2"/>
  <c r="AT57" i="2"/>
  <c r="T42" i="2"/>
  <c r="AT54" i="2"/>
  <c r="T40" i="2"/>
  <c r="AT59" i="2"/>
  <c r="AT60" i="2"/>
  <c r="AT34" i="2"/>
  <c r="AT53" i="2"/>
  <c r="AT58" i="2"/>
  <c r="AS54" i="2"/>
  <c r="AS59" i="2"/>
  <c r="S42" i="2"/>
  <c r="S45" i="2"/>
  <c r="AS58" i="2"/>
  <c r="AS60" i="2"/>
  <c r="AS56" i="2"/>
  <c r="AS53" i="2"/>
  <c r="S40" i="2"/>
  <c r="AS55" i="2"/>
  <c r="AS57" i="2"/>
  <c r="AS61" i="2"/>
  <c r="AS52" i="2"/>
  <c r="AS34" i="2"/>
  <c r="AS27" i="2" s="1"/>
  <c r="S43" i="2"/>
  <c r="AS62" i="2"/>
  <c r="AS63" i="2"/>
  <c r="AR52" i="2"/>
  <c r="AR62" i="2"/>
  <c r="AR63" i="2"/>
  <c r="AR58" i="2"/>
  <c r="AR56" i="2"/>
  <c r="AR61" i="2"/>
  <c r="AR55" i="2"/>
  <c r="AR34" i="2"/>
  <c r="AR54" i="2"/>
  <c r="AR60" i="2"/>
  <c r="R42" i="2"/>
  <c r="AR59" i="2"/>
  <c r="R40" i="2"/>
  <c r="AR57" i="2"/>
  <c r="R43" i="2"/>
  <c r="R45" i="2"/>
  <c r="AR53" i="2"/>
  <c r="AQ55" i="2"/>
  <c r="Q42" i="2"/>
  <c r="AQ52" i="2"/>
  <c r="AQ57" i="2"/>
  <c r="AQ56" i="2"/>
  <c r="AQ53" i="2"/>
  <c r="AQ60" i="2"/>
  <c r="AQ63" i="2"/>
  <c r="AQ58" i="2"/>
  <c r="AQ34" i="2"/>
  <c r="AQ30" i="2" s="1"/>
  <c r="Q45" i="2"/>
  <c r="AQ54" i="2"/>
  <c r="Q43" i="2"/>
  <c r="AQ61" i="2"/>
  <c r="Q40" i="2"/>
  <c r="AQ59" i="2"/>
  <c r="AQ62" i="2"/>
  <c r="P40" i="2"/>
  <c r="AP54" i="2"/>
  <c r="AP52" i="2"/>
  <c r="AP57" i="2"/>
  <c r="AP59" i="2"/>
  <c r="P45" i="2"/>
  <c r="AP58" i="2"/>
  <c r="AP61" i="2"/>
  <c r="AP63" i="2"/>
  <c r="P43" i="2"/>
  <c r="AN27" i="2"/>
  <c r="P42" i="2"/>
  <c r="AP53" i="2"/>
  <c r="AP62" i="2"/>
  <c r="AN24" i="2"/>
  <c r="AP60" i="2"/>
  <c r="AP56" i="2"/>
  <c r="AP34" i="2"/>
  <c r="AP55" i="2"/>
  <c r="AM42" i="2"/>
  <c r="AN29" i="2"/>
  <c r="AO34" i="2"/>
  <c r="AO22" i="2" s="1"/>
  <c r="AM43" i="2"/>
  <c r="O43" i="2"/>
  <c r="AO63" i="2"/>
  <c r="AO54" i="2"/>
  <c r="O45" i="2"/>
  <c r="AO56" i="2"/>
  <c r="AO61" i="2"/>
  <c r="AO62" i="2"/>
  <c r="AM40" i="2"/>
  <c r="O42" i="2"/>
  <c r="AO53" i="2"/>
  <c r="AO57" i="2"/>
  <c r="AO55" i="2"/>
  <c r="AO59" i="2"/>
  <c r="AO58" i="2"/>
  <c r="O40" i="2"/>
  <c r="AM47" i="2"/>
  <c r="AM38" i="2"/>
  <c r="AM49" i="2"/>
  <c r="AM44" i="2"/>
  <c r="AM39" i="2"/>
  <c r="AM41" i="2"/>
  <c r="AM46" i="2"/>
  <c r="AM48" i="2"/>
  <c r="AN31" i="2"/>
  <c r="AN30" i="2"/>
  <c r="AN22" i="2"/>
  <c r="AN25" i="2"/>
  <c r="AN33" i="2"/>
  <c r="AN28" i="2"/>
  <c r="AN23" i="2"/>
  <c r="AN32" i="2"/>
  <c r="AO60" i="2"/>
  <c r="AO52" i="2"/>
  <c r="AN50" i="2"/>
  <c r="AN40" i="2" s="1"/>
  <c r="X40" i="2" l="1"/>
  <c r="AX61" i="2"/>
  <c r="AX55" i="2"/>
  <c r="AX56" i="2"/>
  <c r="AX58" i="2"/>
  <c r="AX34" i="2"/>
  <c r="AX31" i="2" s="1"/>
  <c r="AX53" i="2"/>
  <c r="AX52" i="2"/>
  <c r="AX62" i="2"/>
  <c r="AX63" i="2"/>
  <c r="AX60" i="2"/>
  <c r="AX54" i="2"/>
  <c r="AX59" i="2"/>
  <c r="AX57" i="2"/>
  <c r="AV23" i="2"/>
  <c r="AV31" i="2"/>
  <c r="AV33" i="2"/>
  <c r="AV30" i="2"/>
  <c r="AV29" i="2"/>
  <c r="AV22" i="2"/>
  <c r="AV32" i="2"/>
  <c r="AV24" i="2"/>
  <c r="AV27" i="2"/>
  <c r="AV50" i="2"/>
  <c r="AV46" i="2" s="1"/>
  <c r="AV28" i="2"/>
  <c r="AV26" i="2"/>
  <c r="W40" i="2"/>
  <c r="AW50" i="2" s="1"/>
  <c r="AW43" i="2" s="1"/>
  <c r="AW57" i="2"/>
  <c r="AW53" i="2"/>
  <c r="AW52" i="2"/>
  <c r="AW61" i="2"/>
  <c r="AW62" i="2"/>
  <c r="AW63" i="2"/>
  <c r="AW60" i="2"/>
  <c r="AW34" i="2"/>
  <c r="AW56" i="2"/>
  <c r="AW54" i="2"/>
  <c r="AW59" i="2"/>
  <c r="AW55" i="2"/>
  <c r="AW58" i="2"/>
  <c r="AU27" i="2"/>
  <c r="AU28" i="2"/>
  <c r="AU23" i="2"/>
  <c r="AU29" i="2"/>
  <c r="AU31" i="2"/>
  <c r="AU25" i="2"/>
  <c r="AU24" i="2"/>
  <c r="AU33" i="2"/>
  <c r="AU26" i="2"/>
  <c r="AU30" i="2"/>
  <c r="AU32" i="2"/>
  <c r="AU50" i="2"/>
  <c r="AU45" i="2" s="1"/>
  <c r="AT50" i="2"/>
  <c r="AT41" i="2" s="1"/>
  <c r="AT30" i="2"/>
  <c r="AT31" i="2"/>
  <c r="AT23" i="2"/>
  <c r="AT32" i="2"/>
  <c r="AT22" i="2"/>
  <c r="AT28" i="2"/>
  <c r="AT25" i="2"/>
  <c r="AT33" i="2"/>
  <c r="AT24" i="2"/>
  <c r="AT27" i="2"/>
  <c r="AT26" i="2"/>
  <c r="AT29" i="2"/>
  <c r="AS50" i="2"/>
  <c r="AS44" i="2" s="1"/>
  <c r="AS31" i="2"/>
  <c r="AS30" i="2"/>
  <c r="AS28" i="2"/>
  <c r="AS22" i="2"/>
  <c r="AS33" i="2"/>
  <c r="AS23" i="2"/>
  <c r="AS32" i="2"/>
  <c r="AS25" i="2"/>
  <c r="AS29" i="2"/>
  <c r="AS26" i="2"/>
  <c r="AS24" i="2"/>
  <c r="AR24" i="2"/>
  <c r="AR33" i="2"/>
  <c r="AR50" i="2"/>
  <c r="AR40" i="2" s="1"/>
  <c r="AR30" i="2"/>
  <c r="AR31" i="2"/>
  <c r="AR28" i="2"/>
  <c r="AR22" i="2"/>
  <c r="AR32" i="2"/>
  <c r="AR25" i="2"/>
  <c r="AR23" i="2"/>
  <c r="AR29" i="2"/>
  <c r="AR27" i="2"/>
  <c r="AR26" i="2"/>
  <c r="AQ29" i="2"/>
  <c r="AQ24" i="2"/>
  <c r="AQ27" i="2"/>
  <c r="AQ26" i="2"/>
  <c r="AQ50" i="2"/>
  <c r="AQ40" i="2" s="1"/>
  <c r="AQ31" i="2"/>
  <c r="AQ25" i="2"/>
  <c r="AQ23" i="2"/>
  <c r="AQ33" i="2"/>
  <c r="AQ28" i="2"/>
  <c r="AQ22" i="2"/>
  <c r="AQ32" i="2"/>
  <c r="AP23" i="2"/>
  <c r="AP28" i="2"/>
  <c r="AP24" i="2"/>
  <c r="AO24" i="2"/>
  <c r="AO28" i="2"/>
  <c r="AO23" i="2"/>
  <c r="AP30" i="2"/>
  <c r="AP32" i="2"/>
  <c r="AN43" i="2"/>
  <c r="AP27" i="2"/>
  <c r="AN45" i="2"/>
  <c r="AO33" i="2"/>
  <c r="AO26" i="2"/>
  <c r="AO29" i="2"/>
  <c r="AO25" i="2"/>
  <c r="AO31" i="2"/>
  <c r="AP29" i="2"/>
  <c r="AP31" i="2"/>
  <c r="AP33" i="2"/>
  <c r="AP22" i="2"/>
  <c r="AP25" i="2"/>
  <c r="AO30" i="2"/>
  <c r="AP26" i="2"/>
  <c r="AP50" i="2"/>
  <c r="AP42" i="2" s="1"/>
  <c r="AO32" i="2"/>
  <c r="AO27" i="2"/>
  <c r="AN42" i="2"/>
  <c r="AO50" i="2"/>
  <c r="AN47" i="2"/>
  <c r="AN39" i="2"/>
  <c r="AN41" i="2"/>
  <c r="AN44" i="2"/>
  <c r="AN46" i="2"/>
  <c r="AN48" i="2"/>
  <c r="AN38" i="2"/>
  <c r="AN49" i="2"/>
  <c r="AW40" i="2" l="1"/>
  <c r="AW42" i="2"/>
  <c r="AW39" i="2"/>
  <c r="AX50" i="2"/>
  <c r="AX30" i="2"/>
  <c r="AX22" i="2"/>
  <c r="AX23" i="2"/>
  <c r="AX32" i="2"/>
  <c r="AX25" i="2"/>
  <c r="AX28" i="2"/>
  <c r="AX33" i="2"/>
  <c r="AX29" i="2"/>
  <c r="AX26" i="2"/>
  <c r="AX27" i="2"/>
  <c r="AX24" i="2"/>
  <c r="AW45" i="2"/>
  <c r="AV48" i="2"/>
  <c r="AW41" i="2"/>
  <c r="AW47" i="2"/>
  <c r="AW38" i="2"/>
  <c r="AW49" i="2"/>
  <c r="AW44" i="2"/>
  <c r="AV47" i="2"/>
  <c r="AV38" i="2"/>
  <c r="AV44" i="2"/>
  <c r="AV41" i="2"/>
  <c r="AV49" i="2"/>
  <c r="AV45" i="2"/>
  <c r="AV42" i="2"/>
  <c r="AV40" i="2"/>
  <c r="AV39" i="2"/>
  <c r="AV43" i="2"/>
  <c r="AW32" i="2"/>
  <c r="AW31" i="2"/>
  <c r="AW30" i="2"/>
  <c r="AW33" i="2"/>
  <c r="AW25" i="2"/>
  <c r="AW28" i="2"/>
  <c r="AW22" i="2"/>
  <c r="AW23" i="2"/>
  <c r="AW29" i="2"/>
  <c r="AW27" i="2"/>
  <c r="AW26" i="2"/>
  <c r="AW48" i="2"/>
  <c r="AW46" i="2"/>
  <c r="AW24" i="2"/>
  <c r="AT44" i="2"/>
  <c r="AT45" i="2"/>
  <c r="AT43" i="2"/>
  <c r="AT42" i="2"/>
  <c r="AT39" i="2"/>
  <c r="AT47" i="2"/>
  <c r="AT38" i="2"/>
  <c r="AT48" i="2"/>
  <c r="AT40" i="2"/>
  <c r="AT49" i="2"/>
  <c r="AU43" i="2"/>
  <c r="AU42" i="2"/>
  <c r="AU47" i="2"/>
  <c r="AU49" i="2"/>
  <c r="AU41" i="2"/>
  <c r="AU39" i="2"/>
  <c r="AU38" i="2"/>
  <c r="AU48" i="2"/>
  <c r="AU46" i="2"/>
  <c r="AU44" i="2"/>
  <c r="AT46" i="2"/>
  <c r="AU40" i="2"/>
  <c r="AS42" i="2"/>
  <c r="AS41" i="2"/>
  <c r="AS47" i="2"/>
  <c r="AS43" i="2"/>
  <c r="AS46" i="2"/>
  <c r="AS49" i="2"/>
  <c r="AS45" i="2"/>
  <c r="AS38" i="2"/>
  <c r="AS48" i="2"/>
  <c r="AS40" i="2"/>
  <c r="AS39" i="2"/>
  <c r="AR42" i="2"/>
  <c r="AR38" i="2"/>
  <c r="AR48" i="2"/>
  <c r="AR49" i="2"/>
  <c r="AR43" i="2"/>
  <c r="AR45" i="2"/>
  <c r="AR46" i="2"/>
  <c r="AR47" i="2"/>
  <c r="AR39" i="2"/>
  <c r="AR41" i="2"/>
  <c r="AR44" i="2"/>
  <c r="AQ43" i="2"/>
  <c r="AQ42" i="2"/>
  <c r="AQ47" i="2"/>
  <c r="AQ39" i="2"/>
  <c r="AQ41" i="2"/>
  <c r="AQ46" i="2"/>
  <c r="AQ48" i="2"/>
  <c r="AQ44" i="2"/>
  <c r="AQ38" i="2"/>
  <c r="AQ49" i="2"/>
  <c r="AQ45" i="2"/>
  <c r="AP43" i="2"/>
  <c r="AP45" i="2"/>
  <c r="AP44" i="2"/>
  <c r="AP40" i="2"/>
  <c r="AP39" i="2"/>
  <c r="AP46" i="2"/>
  <c r="AP48" i="2"/>
  <c r="AP47" i="2"/>
  <c r="AP49" i="2"/>
  <c r="AP38" i="2"/>
  <c r="AP41" i="2"/>
  <c r="AO47" i="2"/>
  <c r="AO39" i="2"/>
  <c r="AO41" i="2"/>
  <c r="AO38" i="2"/>
  <c r="AO49" i="2"/>
  <c r="AO46" i="2"/>
  <c r="AO44" i="2"/>
  <c r="AO48" i="2"/>
  <c r="AO42" i="2"/>
  <c r="AO43" i="2"/>
  <c r="AO40" i="2"/>
  <c r="AO45" i="2"/>
  <c r="AX43" i="2" l="1"/>
  <c r="AX47" i="2"/>
  <c r="AX44" i="2"/>
  <c r="AX39" i="2"/>
  <c r="AX41" i="2"/>
  <c r="AX46" i="2"/>
  <c r="AX48" i="2"/>
  <c r="AX38" i="2"/>
  <c r="AX49" i="2"/>
  <c r="AX42" i="2"/>
  <c r="AX45" i="2"/>
  <c r="AX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Ernie B.</author>
  </authors>
  <commentList>
    <comment ref="Y3" authorId="0" shapeId="0" xr:uid="{478443A4-36A3-4C1A-947E-F6896AEF4C35}">
      <text>
        <r>
          <rPr>
            <b/>
            <sz val="9"/>
            <color indexed="81"/>
            <rFont val="Tahoma"/>
            <family val="2"/>
          </rPr>
          <t>Ernie B.:</t>
        </r>
        <r>
          <rPr>
            <sz val="9"/>
            <color indexed="81"/>
            <rFont val="Tahoma"/>
            <family val="2"/>
          </rPr>
          <t xml:space="preserve">
plus Aselect/10 om exact gelijke stand te vermijden</t>
        </r>
      </text>
    </comment>
  </commentList>
</comments>
</file>

<file path=xl/sharedStrings.xml><?xml version="1.0" encoding="utf-8"?>
<sst xmlns="http://schemas.openxmlformats.org/spreadsheetml/2006/main" count="1442" uniqueCount="360">
  <si>
    <t>Aantal etappe-overwinningen</t>
  </si>
  <si>
    <t>Bonus</t>
  </si>
  <si>
    <t>B</t>
  </si>
  <si>
    <t>Originaliteit:</t>
  </si>
  <si>
    <t>Gemiddeld:</t>
  </si>
  <si>
    <t>daguitslag</t>
  </si>
  <si>
    <t>cumulatief</t>
  </si>
  <si>
    <t>rekenblad</t>
  </si>
  <si>
    <t>afwijking, cumulatief</t>
  </si>
  <si>
    <t># deelnemers</t>
  </si>
  <si>
    <t>sprinter</t>
  </si>
  <si>
    <t>orig1</t>
  </si>
  <si>
    <t>cumulatief, gecorrigeerd voor originaliteit</t>
  </si>
  <si>
    <t xml:space="preserve"> </t>
  </si>
  <si>
    <t xml:space="preserve">  </t>
  </si>
  <si>
    <t>evt. jokers:</t>
  </si>
  <si>
    <t>Etappe uitslag</t>
  </si>
  <si>
    <t>Positie</t>
  </si>
  <si>
    <t>Gele Trui</t>
  </si>
  <si>
    <t>Bolletjes Trui</t>
  </si>
  <si>
    <t xml:space="preserve">Groene Trui </t>
  </si>
  <si>
    <t>BONUS-punten eindklassement (eenmalig):</t>
  </si>
  <si>
    <t>P</t>
  </si>
  <si>
    <t>E</t>
  </si>
  <si>
    <t>F</t>
  </si>
  <si>
    <t>G</t>
  </si>
  <si>
    <t>H</t>
  </si>
  <si>
    <t>I</t>
  </si>
  <si>
    <t>J</t>
  </si>
  <si>
    <t>K</t>
  </si>
  <si>
    <t>L</t>
  </si>
  <si>
    <t>M</t>
  </si>
  <si>
    <t>N</t>
  </si>
  <si>
    <t>O</t>
  </si>
  <si>
    <t>Q</t>
  </si>
  <si>
    <t>R</t>
  </si>
  <si>
    <t>S</t>
  </si>
  <si>
    <t>T</t>
  </si>
  <si>
    <t>U</t>
  </si>
  <si>
    <t>V</t>
  </si>
  <si>
    <t>W</t>
  </si>
  <si>
    <t>X</t>
  </si>
  <si>
    <t>teamnaam</t>
  </si>
  <si>
    <t>Cavendish</t>
  </si>
  <si>
    <t>Martin</t>
  </si>
  <si>
    <t>Peter K.</t>
  </si>
  <si>
    <t>Kees</t>
  </si>
  <si>
    <t>Rojas</t>
  </si>
  <si>
    <t>Voeckler</t>
  </si>
  <si>
    <t>Populariteit</t>
  </si>
  <si>
    <t xml:space="preserve">Bolletjes Trui </t>
  </si>
  <si>
    <t xml:space="preserve">Gele Trui </t>
  </si>
  <si>
    <t>Mollema</t>
  </si>
  <si>
    <t>Greipel</t>
  </si>
  <si>
    <t>Goss</t>
  </si>
  <si>
    <t>Van Den Broeck</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</si>
  <si>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</si>
  <si>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</si>
  <si>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</si>
  <si>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</si>
  <si>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</si>
  <si>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</si>
  <si>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</si>
  <si>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</si>
  <si>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</si>
  <si>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</si>
  <si>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</si>
  <si>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</si>
  <si>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</si>
  <si>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</si>
  <si>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Sagan</t>
  </si>
  <si>
    <t>Kittel</t>
  </si>
  <si>
    <t>Valverde</t>
  </si>
  <si>
    <t>Froome</t>
  </si>
  <si>
    <t>Matthijs</t>
  </si>
  <si>
    <t>Thomas</t>
  </si>
  <si>
    <t>Am Selfkant</t>
  </si>
  <si>
    <t>Rolland</t>
  </si>
  <si>
    <t>De Lange Man</t>
  </si>
  <si>
    <t>El Gran</t>
  </si>
  <si>
    <t>Lothar</t>
  </si>
  <si>
    <t>Selfkant</t>
  </si>
  <si>
    <t>Lange</t>
  </si>
  <si>
    <t>Contador</t>
  </si>
  <si>
    <t>Pinot</t>
  </si>
  <si>
    <t>Porte</t>
  </si>
  <si>
    <t>Fuglsang</t>
  </si>
  <si>
    <t>Costa</t>
  </si>
  <si>
    <t>Rodriguez</t>
  </si>
  <si>
    <t>van Garderen</t>
  </si>
  <si>
    <t>Degenkolb</t>
  </si>
  <si>
    <t>Kristoff</t>
  </si>
  <si>
    <t>Talansky</t>
  </si>
  <si>
    <t>Gerard Brinksma</t>
  </si>
  <si>
    <t>Geraint</t>
  </si>
  <si>
    <t>Niet geschoten</t>
  </si>
  <si>
    <t>Doet niet mee:</t>
  </si>
  <si>
    <t>Lothar Matthäus</t>
  </si>
  <si>
    <t>Carin Kruiskamp</t>
  </si>
  <si>
    <t>Démare</t>
  </si>
  <si>
    <t>Kwiatkowski</t>
  </si>
  <si>
    <t>Coquard</t>
  </si>
  <si>
    <t>Nibali</t>
  </si>
  <si>
    <t>Dumoulin</t>
  </si>
  <si>
    <t>Cancellara</t>
  </si>
  <si>
    <t>Bardet</t>
  </si>
  <si>
    <t>aanvaller/tijdrijder</t>
  </si>
  <si>
    <t>Kangert</t>
  </si>
  <si>
    <t>selecteer type renner:</t>
  </si>
  <si>
    <t>Gerrans</t>
  </si>
  <si>
    <t>Modolo</t>
  </si>
  <si>
    <t>Navarro</t>
  </si>
  <si>
    <t>Matthews</t>
  </si>
  <si>
    <t>van Poppel</t>
  </si>
  <si>
    <t/>
  </si>
  <si>
    <t>Z</t>
  </si>
  <si>
    <t>Boasson Hagen</t>
  </si>
  <si>
    <t>klimmer/klassement</t>
  </si>
  <si>
    <t>Uran</t>
  </si>
  <si>
    <t>Majka</t>
  </si>
  <si>
    <t>Barguil</t>
  </si>
  <si>
    <t>Kruijswijk</t>
  </si>
  <si>
    <t>Bangkok</t>
  </si>
  <si>
    <t>D.Martin</t>
  </si>
  <si>
    <t>Rangverloop:</t>
  </si>
  <si>
    <t xml:space="preserve">Witte Trui </t>
  </si>
  <si>
    <t>Bart en Jolanthe</t>
  </si>
  <si>
    <t>Quintana</t>
  </si>
  <si>
    <t>Landa</t>
  </si>
  <si>
    <t>Roglic</t>
  </si>
  <si>
    <t>Groenewegen</t>
  </si>
  <si>
    <t>Bernal</t>
  </si>
  <si>
    <t>Onder de vod</t>
  </si>
  <si>
    <t>Rigoberto</t>
  </si>
  <si>
    <t>Laporte</t>
  </si>
  <si>
    <t>Jan Appelman</t>
  </si>
  <si>
    <t>Daniel</t>
  </si>
  <si>
    <t>Prajak Mahawong</t>
  </si>
  <si>
    <t>Colbrelli</t>
  </si>
  <si>
    <t>Latour</t>
  </si>
  <si>
    <t>Alaphilippe</t>
  </si>
  <si>
    <t>Zakarin</t>
  </si>
  <si>
    <t>Dennis</t>
  </si>
  <si>
    <t>Guillaume</t>
  </si>
  <si>
    <t>Cort Nielsen</t>
  </si>
  <si>
    <t>G.Martin</t>
  </si>
  <si>
    <t>Jodi</t>
  </si>
  <si>
    <t>Lothars Líders</t>
  </si>
  <si>
    <t>Vod</t>
  </si>
  <si>
    <t>klassement</t>
  </si>
  <si>
    <t>Caleb</t>
  </si>
  <si>
    <t>Ewan</t>
  </si>
  <si>
    <t>Viviani</t>
  </si>
  <si>
    <t>Enric</t>
  </si>
  <si>
    <t>Mas</t>
  </si>
  <si>
    <t>Buchmann</t>
  </si>
  <si>
    <t>van Aert</t>
  </si>
  <si>
    <t>A.Yates</t>
  </si>
  <si>
    <t>Wout</t>
  </si>
  <si>
    <t>Poels</t>
  </si>
  <si>
    <t>klimmer</t>
  </si>
  <si>
    <t>van Avermaet</t>
  </si>
  <si>
    <t>S.Yates</t>
  </si>
  <si>
    <t>Woods</t>
  </si>
  <si>
    <t>Herrada</t>
  </si>
  <si>
    <t>Lutsenko</t>
  </si>
  <si>
    <t>Kol de la Madeleine</t>
  </si>
  <si>
    <t>Carapaz</t>
  </si>
  <si>
    <t>Sam</t>
  </si>
  <si>
    <t>Bennett</t>
  </si>
  <si>
    <t>Daniel Felipe</t>
  </si>
  <si>
    <t>Martinez</t>
  </si>
  <si>
    <t>Jasper</t>
  </si>
  <si>
    <t>Stuyven</t>
  </si>
  <si>
    <t>Trentin</t>
  </si>
  <si>
    <t>Pogacar</t>
  </si>
  <si>
    <t>Nizzolo</t>
  </si>
  <si>
    <t>Lopez</t>
  </si>
  <si>
    <t>Miguel Angel</t>
  </si>
  <si>
    <t>Sivakov</t>
  </si>
  <si>
    <t>Higuita</t>
  </si>
  <si>
    <t>Lothar blijft positief</t>
  </si>
  <si>
    <t>Kämna</t>
  </si>
  <si>
    <t>Bauke</t>
  </si>
  <si>
    <t>Tins Tour Toppers</t>
  </si>
  <si>
    <t>Marjon</t>
  </si>
  <si>
    <t>Bol</t>
  </si>
  <si>
    <t>Hirschi</t>
  </si>
  <si>
    <t>de Gendt</t>
  </si>
  <si>
    <t>Freaky</t>
  </si>
  <si>
    <t>TTT</t>
  </si>
  <si>
    <t>Majella</t>
  </si>
  <si>
    <t>x</t>
  </si>
  <si>
    <t>in de basis</t>
  </si>
  <si>
    <t>gekozen</t>
  </si>
  <si>
    <t>van der Poel</t>
  </si>
  <si>
    <t>Kelderman</t>
  </si>
  <si>
    <t>Hamilton</t>
  </si>
  <si>
    <t>Haig</t>
  </si>
  <si>
    <t>Jack</t>
  </si>
  <si>
    <t>Gaudu</t>
  </si>
  <si>
    <t>Merlier</t>
  </si>
  <si>
    <t>Pedersen</t>
  </si>
  <si>
    <t>Mads</t>
  </si>
  <si>
    <t>Aranburu</t>
  </si>
  <si>
    <t>Demare</t>
  </si>
  <si>
    <t>Gran</t>
  </si>
  <si>
    <t>Michael</t>
  </si>
  <si>
    <t>Kruiswijk</t>
  </si>
  <si>
    <t>David</t>
  </si>
  <si>
    <t>Dit zijn wissels die je kunt gebruiken om een andere renner te vervangen, voor de rest van het spel.</t>
  </si>
  <si>
    <t>Chaves</t>
  </si>
  <si>
    <t>Ben</t>
  </si>
  <si>
    <t>O'Connor</t>
  </si>
  <si>
    <t>Kolbrelli</t>
  </si>
  <si>
    <t>Prof's ploegje</t>
  </si>
  <si>
    <t>Asgreen</t>
  </si>
  <si>
    <t>Matthieu</t>
  </si>
  <si>
    <t>Bouhanni</t>
  </si>
  <si>
    <t>Paul en Mariel</t>
  </si>
  <si>
    <t>Bissegger</t>
  </si>
  <si>
    <t>Yates</t>
  </si>
  <si>
    <t>Kragh Andersen</t>
  </si>
  <si>
    <t>Ion</t>
  </si>
  <si>
    <t>Fraile</t>
  </si>
  <si>
    <t>Izaguirre</t>
  </si>
  <si>
    <t>Konrad</t>
  </si>
  <si>
    <t>Jonas</t>
  </si>
  <si>
    <t>Vingegaard</t>
  </si>
  <si>
    <t>Kuss</t>
  </si>
  <si>
    <t>Leen Hoogeveen</t>
  </si>
  <si>
    <t>Küng</t>
  </si>
  <si>
    <t>Arcas</t>
  </si>
  <si>
    <t>Philipsen</t>
  </si>
  <si>
    <t>vrij1</t>
  </si>
  <si>
    <t>Brits</t>
  </si>
  <si>
    <t>volgorde = originaliteit</t>
  </si>
  <si>
    <t>spreiding</t>
  </si>
  <si>
    <t>minmax</t>
  </si>
  <si>
    <t>Jakobsen</t>
  </si>
  <si>
    <t>Guerreiro</t>
  </si>
  <si>
    <t>Ruben</t>
  </si>
  <si>
    <t>Vlasov</t>
  </si>
  <si>
    <t>Caruso</t>
  </si>
  <si>
    <t>Enrico</t>
  </si>
  <si>
    <t>Meintjes</t>
  </si>
  <si>
    <t>Louis</t>
  </si>
  <si>
    <t>Tom</t>
  </si>
  <si>
    <t>Pidcock</t>
  </si>
  <si>
    <t>Fabio</t>
  </si>
  <si>
    <t>Romain</t>
  </si>
  <si>
    <t>Aleksandr</t>
  </si>
  <si>
    <t>Dylan</t>
  </si>
  <si>
    <t>Adam</t>
  </si>
  <si>
    <t>Peter</t>
  </si>
  <si>
    <t>Kasper</t>
  </si>
  <si>
    <t>Van Aert</t>
  </si>
  <si>
    <t>Mathieu</t>
  </si>
  <si>
    <t>Van der Poel</t>
  </si>
  <si>
    <t>Filippo</t>
  </si>
  <si>
    <t>Ganna</t>
  </si>
  <si>
    <t xml:space="preserve">Stefan </t>
  </si>
  <si>
    <t xml:space="preserve">Jonas </t>
  </si>
  <si>
    <t xml:space="preserve">Jasper </t>
  </si>
  <si>
    <t xml:space="preserve">Mads </t>
  </si>
  <si>
    <t xml:space="preserve">Caleb </t>
  </si>
  <si>
    <t xml:space="preserve">Giulio </t>
  </si>
  <si>
    <t>Carlos</t>
  </si>
  <si>
    <t xml:space="preserve">Lennard </t>
  </si>
  <si>
    <t xml:space="preserve">Aleksandr </t>
  </si>
  <si>
    <t xml:space="preserve">Daniel </t>
  </si>
  <si>
    <t xml:space="preserve">Damiano </t>
  </si>
  <si>
    <t xml:space="preserve">Ben </t>
  </si>
  <si>
    <t>Stefan</t>
  </si>
  <si>
    <t xml:space="preserve">Benjamin </t>
  </si>
  <si>
    <t xml:space="preserve">Jakub </t>
  </si>
  <si>
    <t>Sepp</t>
  </si>
  <si>
    <t xml:space="preserve">Geraint </t>
  </si>
  <si>
    <t>Theuns</t>
  </si>
  <si>
    <t>Ciccone</t>
  </si>
  <si>
    <t>Verona</t>
  </si>
  <si>
    <t>B.Thomas</t>
  </si>
  <si>
    <t>Storer</t>
  </si>
  <si>
    <t>Damiano</t>
  </si>
  <si>
    <t>van aert</t>
  </si>
  <si>
    <t>vingegaard</t>
  </si>
  <si>
    <t>matthews</t>
  </si>
  <si>
    <t>vlasov</t>
  </si>
  <si>
    <t>martin</t>
  </si>
  <si>
    <t>mohoric</t>
  </si>
  <si>
    <t>martinez</t>
  </si>
  <si>
    <t>philipsen</t>
  </si>
  <si>
    <t>thomas</t>
  </si>
  <si>
    <t>o'connor</t>
  </si>
  <si>
    <t>caruso</t>
  </si>
  <si>
    <t>van der poel</t>
  </si>
  <si>
    <t>haig</t>
  </si>
  <si>
    <t>ewan</t>
  </si>
  <si>
    <t>groenewegen</t>
  </si>
  <si>
    <t>kristoff</t>
  </si>
  <si>
    <t>quintana</t>
  </si>
  <si>
    <t>gaudu</t>
  </si>
  <si>
    <t>hofstetter</t>
  </si>
  <si>
    <t>Mohoric</t>
  </si>
  <si>
    <t xml:space="preserve">Majella køp dr vør </t>
  </si>
  <si>
    <t>Alexander</t>
  </si>
  <si>
    <t>wout</t>
  </si>
  <si>
    <t>jonas</t>
  </si>
  <si>
    <t>michael</t>
  </si>
  <si>
    <t>aleksandr</t>
  </si>
  <si>
    <t>guillaume</t>
  </si>
  <si>
    <t>matej</t>
  </si>
  <si>
    <t>daniel</t>
  </si>
  <si>
    <t>jasper</t>
  </si>
  <si>
    <t>geraint</t>
  </si>
  <si>
    <t>ben</t>
  </si>
  <si>
    <t>fabio</t>
  </si>
  <si>
    <t>damiano</t>
  </si>
  <si>
    <t>mathieu</t>
  </si>
  <si>
    <t>jack</t>
  </si>
  <si>
    <t>caleb</t>
  </si>
  <si>
    <t>dylan</t>
  </si>
  <si>
    <t>alexander</t>
  </si>
  <si>
    <t>Bodnar</t>
  </si>
  <si>
    <t>Schachmann</t>
  </si>
  <si>
    <t>Rutsch</t>
  </si>
  <si>
    <t>Ellen &amp; Matthijs</t>
  </si>
  <si>
    <t>Aleksander</t>
  </si>
  <si>
    <t xml:space="preserve">Jack </t>
  </si>
  <si>
    <t xml:space="preserve">Romain </t>
  </si>
  <si>
    <t>Alexei</t>
  </si>
  <si>
    <t>Thibaut</t>
  </si>
  <si>
    <t>Freaky's manke Kruisbandjes</t>
  </si>
  <si>
    <t>Gerant</t>
  </si>
  <si>
    <t xml:space="preserve">Fabio </t>
  </si>
  <si>
    <t>Rafal</t>
  </si>
  <si>
    <t>Andreas</t>
  </si>
  <si>
    <t>Leknessund</t>
  </si>
  <si>
    <t>Matej</t>
  </si>
  <si>
    <t>Bryan</t>
  </si>
  <si>
    <t>McNulty</t>
  </si>
  <si>
    <t>Guilliume</t>
  </si>
  <si>
    <t>Van Der Poel</t>
  </si>
  <si>
    <t>IJffjes Boys</t>
  </si>
  <si>
    <t>Annita</t>
  </si>
  <si>
    <t>Benoît</t>
  </si>
  <si>
    <t>Cosnefroy</t>
  </si>
  <si>
    <t>Hugo</t>
  </si>
  <si>
    <t>Hofstetter</t>
  </si>
  <si>
    <t>Bonnamour</t>
  </si>
  <si>
    <t>Nairo</t>
  </si>
  <si>
    <t>Ijff</t>
  </si>
  <si>
    <t>Danny</t>
  </si>
  <si>
    <t>Van Poppel</t>
  </si>
  <si>
    <t>Alexey</t>
  </si>
  <si>
    <t>Daniël Felipe</t>
  </si>
  <si>
    <t>Factor orig.</t>
  </si>
  <si>
    <t>Ijffjes Boys</t>
  </si>
  <si>
    <t>Gemiddeld eerste 9 overall:</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</si>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</sst>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General"/>
  </numFmts>
  <fonts count="95">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b/>
      <sz val="10"/>
      <name val="Arial"/>
      <family val="2"/>
    </font>
    <font>
      <sz val="10"/>
      <name val="Arial"/>
      <family val="2"/>
    </font>
    <font>
      <i/>
      <sz val="10"/>
      <name val="Arial"/>
      <family val="2"/>
    </font>
    <font>
      <b/>
      <i/>
      <sz val="10"/>
      <name val="Verdana"/>
      <family val="2"/>
    </font>
    <font>
      <i/>
      <sz val="10"/>
      <color indexed="14"/>
      <name val="Arial"/>
      <family val="2"/>
    </font>
    <font>
      <i/>
      <sz val="10"/>
      <color indexed="14"/>
      <name val="Arial"/>
      <family val="2"/>
    </font>
    <font>
      <b/>
      <sz val="10"/>
      <color indexed="14"/>
      <name val="Arial"/>
      <family val="2"/>
    </font>
    <font>
      <b/>
      <sz val="12"/>
      <name val="Times New Roman"/>
      <family val="1"/>
    </font>
    <font>
      <sz val="12"/>
      <name val="Times New Roman"/>
      <family val="1"/>
    </font>
    <font>
      <b/>
      <sz val="11"/>
      <color indexed="52"/>
      <name val="Calibri"/>
      <family val="2"/>
    </font>
    <font>
      <sz val="11"/>
      <color indexed="52"/>
      <name val="Calibri"/>
      <family val="2"/>
    </font>
    <font>
      <sz val="11"/>
      <color indexed="17"/>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i/>
      <sz val="10"/>
      <color indexed="8"/>
      <name val="Arial"/>
      <family val="2"/>
    </font>
    <font>
      <sz val="10"/>
      <name val="Arial"/>
      <family val="2"/>
    </font>
    <font>
      <strike/>
      <sz val="10"/>
      <name val="Cambria"/>
      <family val="1"/>
    </font>
    <font>
      <sz val="10"/>
      <name val="Arial"/>
      <family val="2"/>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b/>
      <sz val="10"/>
      <color indexed="14"/>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1"/>
      <name val="Arial1"/>
    </font>
    <font>
      <i/>
      <sz val="10"/>
      <color indexed="14"/>
      <name val="Verdana"/>
      <family val="2"/>
    </font>
    <font>
      <i/>
      <strike/>
      <sz val="10"/>
      <name val="Arial"/>
      <family val="2"/>
    </font>
    <font>
      <strike/>
      <sz val="10"/>
      <name val="Arial"/>
      <family val="2"/>
    </font>
    <font>
      <sz val="10"/>
      <color indexed="55"/>
      <name val="Calibri"/>
      <family val="2"/>
      <scheme val="minor"/>
    </font>
    <font>
      <i/>
      <sz val="10"/>
      <color theme="0" tint="-0.499984740745262"/>
      <name val="Verdana"/>
      <family val="2"/>
    </font>
    <font>
      <sz val="10"/>
      <color rgb="FF00B0F0"/>
      <name val="Calibri"/>
      <family val="2"/>
      <scheme val="minor"/>
    </font>
    <font>
      <u/>
      <sz val="10"/>
      <name val="Calibri"/>
      <family val="2"/>
      <scheme val="minor"/>
    </font>
    <font>
      <sz val="10"/>
      <color theme="0" tint="-0.14999847407452621"/>
      <name val="Calibri"/>
      <family val="2"/>
      <scheme val="minor"/>
    </font>
    <font>
      <b/>
      <sz val="10"/>
      <color rgb="FFFF0000"/>
      <name val="Calibri"/>
      <family val="2"/>
      <scheme val="minor"/>
    </font>
    <font>
      <b/>
      <sz val="10"/>
      <color theme="1"/>
      <name val="Calibri"/>
      <family val="2"/>
      <scheme val="minor"/>
    </font>
    <font>
      <sz val="10"/>
      <color theme="1"/>
      <name val="Calibri"/>
      <family val="2"/>
      <scheme val="minor"/>
    </font>
    <font>
      <i/>
      <sz val="9"/>
      <color indexed="8"/>
      <name val="Arial"/>
      <family val="2"/>
    </font>
    <font>
      <i/>
      <sz val="10"/>
      <color theme="0" tint="-0.14999847407452621"/>
      <name val="Calibri"/>
      <family val="2"/>
      <scheme val="minor"/>
    </font>
    <font>
      <b/>
      <i/>
      <sz val="10"/>
      <color rgb="FF00B0F0"/>
      <name val="Calibri"/>
      <family val="2"/>
      <scheme val="minor"/>
    </font>
    <font>
      <i/>
      <sz val="10"/>
      <color rgb="FF00B0F0"/>
      <name val="Calibri"/>
      <family val="2"/>
      <scheme val="minor"/>
    </font>
    <font>
      <i/>
      <sz val="9"/>
      <color rgb="FFFF0000"/>
      <name val="Arial"/>
      <family val="2"/>
    </font>
    <font>
      <i/>
      <sz val="9"/>
      <name val="Calibri"/>
      <family val="2"/>
      <scheme val="minor"/>
    </font>
    <font>
      <i/>
      <sz val="9"/>
      <color indexed="14"/>
      <name val="Calibri"/>
      <family val="2"/>
      <scheme val="minor"/>
    </font>
    <font>
      <sz val="9"/>
      <color indexed="81"/>
      <name val="Tahoma"/>
      <family val="2"/>
    </font>
    <font>
      <b/>
      <sz val="9"/>
      <color indexed="81"/>
      <name val="Tahoma"/>
      <family val="2"/>
    </font>
    <font>
      <i/>
      <sz val="10"/>
      <color theme="0" tint="-0.499984740745262"/>
      <name val="Calibri"/>
      <family val="2"/>
      <scheme val="minor"/>
    </font>
    <font>
      <sz val="10"/>
      <color theme="0" tint="-0.499984740745262"/>
      <name val="Calibri"/>
      <family val="2"/>
      <scheme val="minor"/>
    </font>
    <font>
      <b/>
      <i/>
      <sz val="10"/>
      <color theme="0" tint="-0.499984740745262"/>
      <name val="Calibri"/>
      <family val="2"/>
      <scheme val="minor"/>
    </font>
    <font>
      <b/>
      <sz val="10"/>
      <color theme="0" tint="-0.499984740745262"/>
      <name val="Calibri"/>
      <family val="2"/>
      <scheme val="minor"/>
    </font>
    <font>
      <b/>
      <sz val="10"/>
      <color indexed="8"/>
      <name val="Arial"/>
      <family val="2"/>
    </font>
  </fonts>
  <fills count="28">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13"/>
        <bgColor indexed="64"/>
      </patternFill>
    </fill>
    <fill>
      <patternFill patternType="solid">
        <fgColor indexed="11"/>
        <bgColor indexed="64"/>
      </patternFill>
    </fill>
    <fill>
      <patternFill patternType="solid">
        <fgColor indexed="42"/>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theme="0" tint="-9.9978637043366805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rgb="FFFFC000"/>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bottom style="thin">
        <color auto="1"/>
      </bottom>
      <diagonal/>
    </border>
    <border>
      <left/>
      <right style="dotted">
        <color indexed="64"/>
      </right>
      <top/>
      <bottom style="thin">
        <color auto="1"/>
      </bottom>
      <diagonal/>
    </border>
    <border>
      <left style="dotted">
        <color indexed="64"/>
      </left>
      <right style="dotted">
        <color indexed="64"/>
      </right>
      <top/>
      <bottom style="thin">
        <color auto="1"/>
      </bottom>
      <diagonal/>
    </border>
    <border>
      <left/>
      <right/>
      <top style="thin">
        <color auto="1"/>
      </top>
      <bottom/>
      <diagonal/>
    </border>
    <border>
      <left/>
      <right style="dotted">
        <color indexed="64"/>
      </right>
      <top style="thin">
        <color auto="1"/>
      </top>
      <bottom/>
      <diagonal/>
    </border>
    <border>
      <left style="medium">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dotted">
        <color indexed="64"/>
      </left>
      <right style="dotted">
        <color indexed="64"/>
      </right>
      <top style="thin">
        <color auto="1"/>
      </top>
      <bottom/>
      <diagonal/>
    </border>
    <border>
      <left/>
      <right/>
      <top style="thin">
        <color auto="1"/>
      </top>
      <bottom style="medium">
        <color indexed="64"/>
      </bottom>
      <diagonal/>
    </border>
    <border>
      <left/>
      <right style="dotted">
        <color indexed="64"/>
      </right>
      <top style="thin">
        <color auto="1"/>
      </top>
      <bottom style="medium">
        <color indexed="64"/>
      </bottom>
      <diagonal/>
    </border>
    <border>
      <left style="dotted">
        <color indexed="64"/>
      </left>
      <right style="dotted">
        <color indexed="64"/>
      </right>
      <top style="thin">
        <color auto="1"/>
      </top>
      <bottom style="medium">
        <color indexed="64"/>
      </bottom>
      <diagonal/>
    </border>
  </borders>
  <cellStyleXfs count="31">
    <xf numFmtId="0" fontId="0" fillId="0" borderId="0"/>
    <xf numFmtId="0" fontId="22" fillId="3" borderId="1" applyNumberFormat="0" applyAlignment="0" applyProtection="0"/>
    <xf numFmtId="0" fontId="24" fillId="2" borderId="0" applyNumberFormat="0" applyBorder="0" applyAlignment="0" applyProtection="0"/>
    <xf numFmtId="0" fontId="23" fillId="0" borderId="2" applyNumberFormat="0" applyFill="0" applyAlignment="0" applyProtection="0"/>
    <xf numFmtId="0" fontId="25" fillId="4" borderId="0" applyNumberFormat="0" applyBorder="0" applyAlignment="0" applyProtection="0"/>
    <xf numFmtId="0" fontId="2" fillId="0" borderId="0"/>
    <xf numFmtId="0" fontId="1" fillId="0" borderId="0"/>
    <xf numFmtId="0" fontId="7" fillId="0" borderId="0"/>
    <xf numFmtId="9" fontId="31" fillId="0" borderId="0" applyFont="0" applyFill="0" applyBorder="0" applyAlignment="0" applyProtection="0"/>
    <xf numFmtId="0" fontId="26" fillId="0" borderId="0" applyNumberFormat="0" applyFill="0" applyBorder="0" applyAlignment="0" applyProtection="0"/>
    <xf numFmtId="0" fontId="27" fillId="0" borderId="3" applyNumberFormat="0" applyFill="0" applyAlignment="0" applyProtection="0"/>
    <xf numFmtId="0" fontId="28" fillId="0" borderId="0" applyNumberFormat="0" applyFill="0" applyBorder="0" applyAlignment="0" applyProtection="0"/>
    <xf numFmtId="0" fontId="43" fillId="0" borderId="0" applyNumberFormat="0" applyFill="0" applyBorder="0" applyAlignment="0" applyProtection="0"/>
    <xf numFmtId="0" fontId="44" fillId="0" borderId="31" applyNumberFormat="0" applyFill="0" applyAlignment="0" applyProtection="0"/>
    <xf numFmtId="0" fontId="45" fillId="0" borderId="32" applyNumberFormat="0" applyFill="0" applyAlignment="0" applyProtection="0"/>
    <xf numFmtId="0" fontId="46" fillId="0" borderId="33" applyNumberFormat="0" applyFill="0" applyAlignment="0" applyProtection="0"/>
    <xf numFmtId="0" fontId="46" fillId="0" borderId="0" applyNumberFormat="0" applyFill="0" applyBorder="0" applyAlignment="0" applyProtection="0"/>
    <xf numFmtId="0" fontId="47" fillId="13" borderId="0" applyNumberFormat="0" applyBorder="0" applyAlignment="0" applyProtection="0"/>
    <xf numFmtId="0" fontId="48" fillId="14" borderId="0" applyNumberFormat="0" applyBorder="0" applyAlignment="0" applyProtection="0"/>
    <xf numFmtId="0" fontId="49" fillId="15" borderId="0" applyNumberFormat="0" applyBorder="0" applyAlignment="0" applyProtection="0"/>
    <xf numFmtId="0" fontId="50" fillId="16" borderId="34" applyNumberFormat="0" applyAlignment="0" applyProtection="0"/>
    <xf numFmtId="0" fontId="51" fillId="17" borderId="35" applyNumberFormat="0" applyAlignment="0" applyProtection="0"/>
    <xf numFmtId="0" fontId="52" fillId="17" borderId="34" applyNumberFormat="0" applyAlignment="0" applyProtection="0"/>
    <xf numFmtId="0" fontId="53" fillId="0" borderId="36" applyNumberFormat="0" applyFill="0" applyAlignment="0" applyProtection="0"/>
    <xf numFmtId="0" fontId="54" fillId="18" borderId="37" applyNumberFormat="0" applyAlignment="0" applyProtection="0"/>
    <xf numFmtId="0" fontId="55" fillId="0" borderId="0" applyNumberFormat="0" applyFill="0" applyBorder="0" applyAlignment="0" applyProtection="0"/>
    <xf numFmtId="0" fontId="33" fillId="19" borderId="38" applyNumberFormat="0" applyFont="0" applyAlignment="0" applyProtection="0"/>
    <xf numFmtId="0" fontId="56" fillId="0" borderId="0" applyNumberFormat="0" applyFill="0" applyBorder="0" applyAlignment="0" applyProtection="0"/>
    <xf numFmtId="0" fontId="57" fillId="0" borderId="39" applyNumberFormat="0" applyFill="0" applyAlignment="0" applyProtection="0"/>
    <xf numFmtId="164" fontId="69" fillId="0" borderId="0"/>
    <xf numFmtId="0" fontId="2" fillId="0" borderId="0"/>
  </cellStyleXfs>
  <cellXfs count="358">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5" borderId="4" xfId="0" applyFont="1" applyFill="1"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0" fillId="0" borderId="0" xfId="0" applyFill="1"/>
    <xf numFmtId="0" fontId="9" fillId="0" borderId="0" xfId="0" applyFont="1"/>
    <xf numFmtId="0" fontId="10" fillId="0" borderId="0" xfId="0" applyFont="1" applyAlignment="1">
      <alignment horizontal="center"/>
    </xf>
    <xf numFmtId="0" fontId="10" fillId="0" borderId="0" xfId="0" applyFont="1"/>
    <xf numFmtId="0" fontId="10" fillId="0" borderId="0" xfId="0" applyFont="1" applyFill="1" applyAlignment="1">
      <alignment horizontal="center"/>
    </xf>
    <xf numFmtId="0" fontId="12" fillId="0" borderId="0" xfId="0" applyFont="1"/>
    <xf numFmtId="0" fontId="10" fillId="0" borderId="6" xfId="0" applyFont="1" applyBorder="1" applyAlignment="1">
      <alignment wrapText="1"/>
    </xf>
    <xf numFmtId="0" fontId="10" fillId="5" borderId="7" xfId="0" applyFont="1" applyFill="1" applyBorder="1" applyAlignment="1">
      <alignment horizontal="left"/>
    </xf>
    <xf numFmtId="0" fontId="8" fillId="0" borderId="8" xfId="0" applyFont="1" applyBorder="1" applyAlignment="1">
      <alignment horizontal="left"/>
    </xf>
    <xf numFmtId="0" fontId="10" fillId="0" borderId="0" xfId="0" applyFont="1" applyFill="1"/>
    <xf numFmtId="0" fontId="0" fillId="0" borderId="0" xfId="0" applyFill="1" applyProtection="1">
      <protection locked="0"/>
    </xf>
    <xf numFmtId="0" fontId="2" fillId="0" borderId="0" xfId="0" applyFont="1" applyFill="1" applyBorder="1"/>
    <xf numFmtId="0" fontId="0" fillId="0" borderId="9" xfId="0" applyFill="1" applyBorder="1"/>
    <xf numFmtId="0" fontId="0" fillId="0" borderId="0" xfId="0" applyFill="1" applyAlignment="1" applyProtection="1">
      <alignment horizontal="center"/>
      <protection locked="0"/>
    </xf>
    <xf numFmtId="1" fontId="11" fillId="0" borderId="0" xfId="0" applyNumberFormat="1" applyFont="1" applyBorder="1" applyAlignment="1" applyProtection="1">
      <alignment horizontal="right"/>
    </xf>
    <xf numFmtId="1" fontId="3" fillId="0" borderId="0" xfId="0" applyNumberFormat="1" applyFont="1" applyBorder="1" applyAlignment="1" applyProtection="1">
      <alignment horizontal="right"/>
    </xf>
    <xf numFmtId="0" fontId="0" fillId="0" borderId="0" xfId="0" applyFill="1" applyBorder="1"/>
    <xf numFmtId="0" fontId="2"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0" xfId="0" applyFont="1" applyFill="1" applyBorder="1" applyProtection="1">
      <protection locked="0"/>
    </xf>
    <xf numFmtId="0" fontId="13" fillId="0" borderId="0" xfId="0" applyFont="1" applyFill="1" applyBorder="1" applyProtection="1">
      <protection locked="0"/>
    </xf>
    <xf numFmtId="0" fontId="14"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2" fillId="0" borderId="0" xfId="0" quotePrefix="1" applyFont="1" applyFill="1" applyBorder="1"/>
    <xf numFmtId="0" fontId="5" fillId="0" borderId="0" xfId="0" quotePrefix="1" applyFont="1" applyFill="1" applyBorder="1"/>
    <xf numFmtId="0" fontId="11" fillId="0" borderId="0" xfId="0" applyFont="1"/>
    <xf numFmtId="0" fontId="3" fillId="0" borderId="0" xfId="0" applyFont="1" applyFill="1" applyBorder="1" applyAlignment="1" applyProtection="1">
      <alignment horizontal="right"/>
      <protection locked="0"/>
    </xf>
    <xf numFmtId="0" fontId="15" fillId="0" borderId="0" xfId="0" applyFont="1"/>
    <xf numFmtId="0" fontId="15" fillId="0" borderId="0" xfId="0" applyFont="1" applyFill="1" applyBorder="1" applyAlignment="1">
      <alignment horizontal="center"/>
    </xf>
    <xf numFmtId="0" fontId="15" fillId="0" borderId="0" xfId="0" applyFont="1" applyFill="1" applyBorder="1" applyProtection="1">
      <protection locked="0"/>
    </xf>
    <xf numFmtId="49" fontId="10" fillId="0" borderId="0" xfId="0" applyNumberFormat="1" applyFont="1" applyFill="1"/>
    <xf numFmtId="0" fontId="3" fillId="0" borderId="13" xfId="0" applyFont="1" applyBorder="1" applyAlignment="1">
      <alignment horizontal="center"/>
    </xf>
    <xf numFmtId="0" fontId="3" fillId="0" borderId="13" xfId="0" applyFont="1" applyBorder="1" applyAlignment="1">
      <alignment horizontal="right"/>
    </xf>
    <xf numFmtId="0" fontId="17" fillId="0" borderId="0" xfId="0" applyFont="1"/>
    <xf numFmtId="0" fontId="17" fillId="0" borderId="0" xfId="0" applyFont="1" applyBorder="1" applyAlignment="1">
      <alignment horizontal="center"/>
    </xf>
    <xf numFmtId="0" fontId="18" fillId="0" borderId="0" xfId="0" applyFont="1" applyBorder="1" applyAlignment="1">
      <alignment horizontal="center"/>
    </xf>
    <xf numFmtId="0" fontId="19" fillId="0" borderId="0" xfId="0" applyFont="1" applyAlignment="1">
      <alignment horizontal="right"/>
    </xf>
    <xf numFmtId="0" fontId="9" fillId="0" borderId="0" xfId="0" applyFont="1" applyBorder="1" applyAlignment="1" applyProtection="1">
      <alignment horizontal="center"/>
    </xf>
    <xf numFmtId="0" fontId="10" fillId="0" borderId="0" xfId="0" applyFont="1" applyFill="1" applyBorder="1" applyProtection="1"/>
    <xf numFmtId="0" fontId="10" fillId="0" borderId="0" xfId="0" applyFont="1" applyFill="1" applyProtection="1"/>
    <xf numFmtId="0" fontId="10" fillId="0" borderId="0" xfId="0" applyFont="1" applyProtection="1"/>
    <xf numFmtId="0" fontId="10" fillId="7" borderId="0" xfId="0" applyFont="1" applyFill="1" applyProtection="1"/>
    <xf numFmtId="0" fontId="0" fillId="0" borderId="0" xfId="0" applyFill="1" applyProtection="1"/>
    <xf numFmtId="0" fontId="9" fillId="0" borderId="0" xfId="0" applyFont="1" applyFill="1" applyBorder="1" applyProtection="1"/>
    <xf numFmtId="0" fontId="9" fillId="0" borderId="0" xfId="0" applyFont="1" applyFill="1" applyProtection="1"/>
    <xf numFmtId="0" fontId="9" fillId="7" borderId="0" xfId="0" applyFont="1" applyFill="1" applyProtection="1"/>
    <xf numFmtId="0" fontId="0" fillId="7" borderId="0" xfId="0" applyFill="1" applyProtection="1"/>
    <xf numFmtId="0" fontId="10" fillId="0" borderId="6" xfId="0" applyFont="1" applyBorder="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0" fontId="10" fillId="0" borderId="0" xfId="0" applyNumberFormat="1" applyFont="1" applyFill="1" applyBorder="1" applyAlignment="1" applyProtection="1">
      <alignment horizontal="center"/>
    </xf>
    <xf numFmtId="0" fontId="10" fillId="0" borderId="0" xfId="0" applyNumberFormat="1" applyFont="1" applyBorder="1" applyAlignment="1" applyProtection="1">
      <alignment horizontal="center"/>
    </xf>
    <xf numFmtId="0" fontId="11" fillId="0" borderId="0" xfId="0" applyNumberFormat="1" applyFont="1" applyBorder="1" applyAlignment="1">
      <alignment horizontal="center"/>
    </xf>
    <xf numFmtId="0" fontId="20" fillId="5" borderId="0" xfId="0" applyFont="1" applyFill="1" applyAlignment="1">
      <alignment horizontal="center" wrapText="1"/>
    </xf>
    <xf numFmtId="0" fontId="21" fillId="0" borderId="0" xfId="0" applyFont="1" applyAlignment="1">
      <alignment horizontal="center" wrapText="1"/>
    </xf>
    <xf numFmtId="0" fontId="20" fillId="5" borderId="14" xfId="0" applyFont="1" applyFill="1" applyBorder="1" applyAlignment="1">
      <alignment horizontal="center" wrapText="1"/>
    </xf>
    <xf numFmtId="0" fontId="21" fillId="0" borderId="14" xfId="0" applyFont="1" applyBorder="1" applyAlignment="1">
      <alignment horizontal="center" wrapText="1"/>
    </xf>
    <xf numFmtId="0" fontId="21" fillId="8" borderId="0" xfId="0" applyFont="1" applyFill="1" applyAlignment="1">
      <alignment wrapText="1"/>
    </xf>
    <xf numFmtId="0" fontId="29" fillId="9" borderId="15" xfId="0" applyNumberFormat="1" applyFont="1" applyFill="1" applyBorder="1" applyAlignment="1">
      <alignment horizontal="center"/>
    </xf>
    <xf numFmtId="1" fontId="30" fillId="9" borderId="16" xfId="0" applyNumberFormat="1" applyFont="1" applyFill="1" applyBorder="1" applyAlignment="1">
      <alignment horizontal="center"/>
    </xf>
    <xf numFmtId="0" fontId="2"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29" fillId="9" borderId="22" xfId="0" applyFont="1" applyFill="1" applyBorder="1" applyAlignment="1">
      <alignment horizontal="left"/>
    </xf>
    <xf numFmtId="0" fontId="32" fillId="0" borderId="0" xfId="0" applyFont="1" applyFill="1" applyProtection="1"/>
    <xf numFmtId="0" fontId="35" fillId="0" borderId="0" xfId="0" applyFont="1" applyFill="1" applyBorder="1"/>
    <xf numFmtId="0" fontId="29" fillId="7" borderId="24" xfId="0" applyFont="1" applyFill="1" applyBorder="1" applyAlignment="1">
      <alignment horizontal="left"/>
    </xf>
    <xf numFmtId="0" fontId="29" fillId="7" borderId="25" xfId="0" applyNumberFormat="1" applyFont="1" applyFill="1" applyBorder="1" applyAlignment="1">
      <alignment horizontal="center"/>
    </xf>
    <xf numFmtId="1" fontId="30" fillId="7" borderId="26" xfId="0" applyNumberFormat="1" applyFont="1" applyFill="1" applyBorder="1" applyAlignment="1">
      <alignment horizontal="center"/>
    </xf>
    <xf numFmtId="1" fontId="30" fillId="0" borderId="0" xfId="0" applyNumberFormat="1" applyFont="1" applyFill="1" applyBorder="1" applyAlignment="1">
      <alignment horizontal="center"/>
    </xf>
    <xf numFmtId="0" fontId="29" fillId="0" borderId="0" xfId="0" applyNumberFormat="1" applyFont="1" applyFill="1" applyBorder="1" applyAlignment="1">
      <alignment horizontal="center"/>
    </xf>
    <xf numFmtId="0" fontId="29" fillId="0" borderId="0" xfId="0" applyNumberFormat="1" applyFont="1" applyFill="1" applyBorder="1" applyAlignment="1">
      <alignment horizontal="left"/>
    </xf>
    <xf numFmtId="0" fontId="36" fillId="0" borderId="0" xfId="0" applyFont="1"/>
    <xf numFmtId="0" fontId="36" fillId="0" borderId="0" xfId="0" applyFont="1" applyAlignment="1">
      <alignment horizontal="center"/>
    </xf>
    <xf numFmtId="0" fontId="38" fillId="5" borderId="4" xfId="0" applyFont="1" applyFill="1" applyBorder="1" applyAlignment="1">
      <alignment horizontal="center"/>
    </xf>
    <xf numFmtId="0" fontId="39" fillId="0" borderId="0" xfId="0" applyFont="1"/>
    <xf numFmtId="0" fontId="36" fillId="0" borderId="0" xfId="0" applyFont="1" applyFill="1" applyAlignment="1">
      <alignment horizontal="center"/>
    </xf>
    <xf numFmtId="0" fontId="39" fillId="0" borderId="0" xfId="0" applyFont="1" applyAlignment="1">
      <alignment horizontal="center"/>
    </xf>
    <xf numFmtId="0" fontId="37" fillId="0" borderId="0" xfId="0" applyFont="1" applyAlignment="1">
      <alignment horizontal="right"/>
    </xf>
    <xf numFmtId="0" fontId="39" fillId="0" borderId="0" xfId="0" applyFont="1" applyFill="1" applyAlignment="1">
      <alignment horizontal="left"/>
    </xf>
    <xf numFmtId="0" fontId="39" fillId="0" borderId="0" xfId="0" applyFont="1" applyAlignment="1">
      <alignment horizontal="left"/>
    </xf>
    <xf numFmtId="1" fontId="36" fillId="0" borderId="0" xfId="0" applyNumberFormat="1" applyFont="1"/>
    <xf numFmtId="0" fontId="36" fillId="0" borderId="0" xfId="0" applyFont="1" applyFill="1"/>
    <xf numFmtId="0" fontId="37" fillId="0" borderId="0" xfId="0" applyFont="1"/>
    <xf numFmtId="0" fontId="37" fillId="0" borderId="0" xfId="0" applyFont="1" applyAlignment="1">
      <alignment horizontal="left"/>
    </xf>
    <xf numFmtId="2" fontId="36" fillId="0" borderId="0" xfId="7" applyNumberFormat="1" applyFont="1" applyBorder="1" applyAlignment="1">
      <alignment horizontal="center"/>
    </xf>
    <xf numFmtId="1" fontId="36" fillId="0" borderId="0" xfId="0" applyNumberFormat="1" applyFont="1" applyFill="1" applyAlignment="1">
      <alignment horizontal="center"/>
    </xf>
    <xf numFmtId="0" fontId="36" fillId="0" borderId="0" xfId="7" applyFont="1" applyBorder="1" applyAlignment="1">
      <alignment horizontal="center"/>
    </xf>
    <xf numFmtId="0" fontId="36" fillId="0" borderId="0" xfId="0" applyFont="1" applyBorder="1"/>
    <xf numFmtId="1" fontId="37" fillId="0" borderId="0" xfId="0" applyNumberFormat="1" applyFont="1"/>
    <xf numFmtId="0" fontId="36" fillId="0" borderId="0" xfId="0" applyFont="1" applyBorder="1" applyAlignment="1">
      <alignment horizontal="center"/>
    </xf>
    <xf numFmtId="0" fontId="39" fillId="0" borderId="0" xfId="0" applyFont="1" applyProtection="1">
      <protection locked="0"/>
    </xf>
    <xf numFmtId="0" fontId="36" fillId="0" borderId="0" xfId="0" applyFont="1" applyFill="1" applyBorder="1" applyAlignment="1"/>
    <xf numFmtId="9" fontId="40" fillId="0" borderId="0" xfId="8" applyNumberFormat="1" applyFont="1" applyAlignment="1">
      <alignment horizontal="left"/>
    </xf>
    <xf numFmtId="0" fontId="36" fillId="0" borderId="0" xfId="0" applyFont="1" applyAlignment="1"/>
    <xf numFmtId="0" fontId="41" fillId="0" borderId="0" xfId="0" applyFont="1"/>
    <xf numFmtId="0" fontId="42" fillId="0" borderId="0" xfId="0" applyFont="1" applyAlignment="1">
      <alignment horizontal="left"/>
    </xf>
    <xf numFmtId="1" fontId="42" fillId="0" borderId="0" xfId="0" applyNumberFormat="1" applyFont="1" applyAlignment="1">
      <alignment horizontal="center"/>
    </xf>
    <xf numFmtId="0" fontId="42" fillId="0" borderId="0" xfId="0" applyFont="1" applyAlignment="1">
      <alignment horizontal="center"/>
    </xf>
    <xf numFmtId="0" fontId="36" fillId="0" borderId="9" xfId="0" applyFont="1" applyBorder="1" applyAlignment="1">
      <alignment horizontal="left"/>
    </xf>
    <xf numFmtId="0" fontId="36" fillId="0" borderId="9" xfId="0" applyFont="1" applyBorder="1"/>
    <xf numFmtId="0" fontId="36" fillId="0" borderId="0" xfId="0" applyFont="1" applyBorder="1" applyAlignment="1" applyProtection="1">
      <alignment horizontal="center"/>
      <protection locked="0"/>
    </xf>
    <xf numFmtId="0" fontId="39" fillId="0" borderId="0" xfId="0" applyFont="1" applyBorder="1" applyAlignment="1">
      <alignment horizontal="center"/>
    </xf>
    <xf numFmtId="0" fontId="36" fillId="0" borderId="0" xfId="0" applyFont="1" applyBorder="1" applyAlignment="1"/>
    <xf numFmtId="0" fontId="36" fillId="0" borderId="0" xfId="0" applyFont="1" applyFill="1" applyAlignment="1" applyProtection="1">
      <alignment horizontal="center"/>
      <protection locked="0"/>
    </xf>
    <xf numFmtId="0" fontId="36" fillId="0" borderId="0" xfId="0" applyFont="1" applyFill="1" applyBorder="1" applyAlignment="1" applyProtection="1">
      <alignment horizontal="center"/>
      <protection locked="0"/>
    </xf>
    <xf numFmtId="0" fontId="36" fillId="0" borderId="0" xfId="0" applyFont="1" applyBorder="1" applyAlignment="1" applyProtection="1">
      <alignment horizontal="left"/>
      <protection locked="0"/>
    </xf>
    <xf numFmtId="0" fontId="36" fillId="0" borderId="0" xfId="0" applyFont="1" applyFill="1" applyBorder="1" applyAlignment="1">
      <alignment horizontal="center"/>
    </xf>
    <xf numFmtId="0" fontId="39" fillId="0" borderId="0" xfId="0" applyFont="1" applyBorder="1"/>
    <xf numFmtId="0" fontId="37" fillId="0" borderId="0" xfId="0" applyFont="1" applyFill="1" applyAlignment="1">
      <alignment horizontal="center"/>
    </xf>
    <xf numFmtId="0" fontId="37" fillId="0" borderId="0" xfId="0" applyFont="1" applyFill="1"/>
    <xf numFmtId="1" fontId="16" fillId="0" borderId="0" xfId="0" applyNumberFormat="1" applyFont="1" applyBorder="1" applyAlignment="1" applyProtection="1"/>
    <xf numFmtId="1" fontId="34" fillId="9" borderId="27" xfId="0" applyNumberFormat="1" applyFont="1" applyFill="1" applyBorder="1" applyAlignment="1"/>
    <xf numFmtId="1" fontId="34" fillId="7" borderId="28" xfId="0" applyNumberFormat="1" applyFont="1" applyFill="1" applyBorder="1" applyAlignment="1"/>
    <xf numFmtId="1" fontId="34" fillId="0" borderId="0" xfId="0" applyNumberFormat="1" applyFont="1" applyFill="1" applyBorder="1" applyAlignment="1"/>
    <xf numFmtId="1" fontId="34" fillId="9" borderId="29" xfId="0" applyNumberFormat="1" applyFont="1" applyFill="1" applyBorder="1" applyAlignment="1"/>
    <xf numFmtId="1" fontId="34" fillId="7" borderId="30" xfId="0" applyNumberFormat="1" applyFont="1" applyFill="1" applyBorder="1" applyAlignment="1"/>
    <xf numFmtId="0" fontId="37" fillId="0" borderId="0" xfId="0" applyFont="1" applyProtection="1">
      <protection locked="0"/>
    </xf>
    <xf numFmtId="0" fontId="58" fillId="0" borderId="0" xfId="0" applyFont="1"/>
    <xf numFmtId="0" fontId="59" fillId="0" borderId="0" xfId="0" applyFont="1"/>
    <xf numFmtId="0" fontId="39" fillId="0" borderId="13" xfId="0" applyFont="1" applyBorder="1" applyAlignment="1">
      <alignment horizontal="center"/>
    </xf>
    <xf numFmtId="0" fontId="36" fillId="0" borderId="0" xfId="0" applyFont="1" applyFill="1" applyBorder="1" applyProtection="1">
      <protection locked="0"/>
    </xf>
    <xf numFmtId="0" fontId="39" fillId="0" borderId="0" xfId="0" applyFont="1" applyFill="1" applyBorder="1" applyAlignment="1" applyProtection="1">
      <alignment horizontal="center"/>
      <protection locked="0"/>
    </xf>
    <xf numFmtId="0" fontId="62" fillId="0" borderId="0" xfId="0" applyFont="1" applyFill="1" applyBorder="1" applyProtection="1">
      <protection locked="0"/>
    </xf>
    <xf numFmtId="0" fontId="36" fillId="0" borderId="0" xfId="0" applyFont="1" applyProtection="1"/>
    <xf numFmtId="0" fontId="36" fillId="0" borderId="0" xfId="0" applyFont="1" applyFill="1" applyAlignment="1" applyProtection="1">
      <alignment horizontal="center"/>
    </xf>
    <xf numFmtId="0" fontId="59" fillId="0" borderId="0" xfId="0" applyFont="1" applyFill="1" applyBorder="1" applyAlignment="1" applyProtection="1">
      <alignment horizontal="center"/>
    </xf>
    <xf numFmtId="0" fontId="36" fillId="0" borderId="0" xfId="0" applyFont="1" applyFill="1" applyBorder="1" applyAlignment="1" applyProtection="1">
      <alignment horizontal="center"/>
    </xf>
    <xf numFmtId="0" fontId="59" fillId="0" borderId="0" xfId="0" applyFont="1" applyFill="1" applyBorder="1" applyAlignment="1">
      <alignment horizontal="center"/>
    </xf>
    <xf numFmtId="0" fontId="64" fillId="0" borderId="0" xfId="0" applyFont="1" applyFill="1" applyBorder="1"/>
    <xf numFmtId="0" fontId="11" fillId="20" borderId="0" xfId="0" applyFont="1" applyFill="1" applyBorder="1" applyProtection="1"/>
    <xf numFmtId="1" fontId="39" fillId="0" borderId="0" xfId="0" applyNumberFormat="1" applyFont="1" applyAlignment="1">
      <alignment horizontal="right"/>
    </xf>
    <xf numFmtId="1" fontId="39" fillId="0" borderId="0" xfId="0" applyNumberFormat="1" applyFont="1" applyAlignment="1">
      <alignment horizontal="center"/>
    </xf>
    <xf numFmtId="0" fontId="65" fillId="0" borderId="0" xfId="0" applyFont="1"/>
    <xf numFmtId="0" fontId="67" fillId="0" borderId="0" xfId="0" applyFont="1"/>
    <xf numFmtId="0" fontId="41" fillId="0" borderId="9" xfId="0" applyFont="1" applyBorder="1"/>
    <xf numFmtId="1" fontId="10" fillId="10" borderId="0" xfId="0" applyNumberFormat="1" applyFont="1" applyFill="1" applyBorder="1" applyProtection="1"/>
    <xf numFmtId="1" fontId="10" fillId="11" borderId="9" xfId="0" applyNumberFormat="1" applyFont="1" applyFill="1" applyBorder="1" applyProtection="1"/>
    <xf numFmtId="0" fontId="68" fillId="0" borderId="0" xfId="0" applyFont="1" applyFill="1" applyAlignment="1">
      <alignment horizontal="center"/>
    </xf>
    <xf numFmtId="1" fontId="10" fillId="0" borderId="0" xfId="0" applyNumberFormat="1" applyFont="1" applyFill="1" applyAlignment="1">
      <alignment horizontal="center"/>
    </xf>
    <xf numFmtId="1" fontId="11" fillId="0" borderId="0" xfId="0" applyNumberFormat="1" applyFont="1" applyFill="1" applyAlignment="1">
      <alignment horizontal="center"/>
    </xf>
    <xf numFmtId="1" fontId="12" fillId="0" borderId="0" xfId="0" applyNumberFormat="1" applyFont="1" applyFill="1" applyAlignment="1">
      <alignment horizontal="center"/>
    </xf>
    <xf numFmtId="1" fontId="10" fillId="0" borderId="0" xfId="0" applyNumberFormat="1" applyFont="1" applyFill="1"/>
    <xf numFmtId="1" fontId="9" fillId="0" borderId="0" xfId="0" applyNumberFormat="1" applyFont="1" applyFill="1"/>
    <xf numFmtId="1" fontId="16" fillId="0" borderId="0" xfId="0" applyNumberFormat="1" applyFont="1" applyFill="1"/>
    <xf numFmtId="0" fontId="3" fillId="12" borderId="0" xfId="0" applyFont="1" applyFill="1" applyProtection="1">
      <protection locked="0"/>
    </xf>
    <xf numFmtId="0" fontId="0" fillId="0" borderId="0" xfId="0" applyFill="1" applyAlignment="1" applyProtection="1">
      <alignment horizontal="center"/>
    </xf>
    <xf numFmtId="0" fontId="2" fillId="21" borderId="40" xfId="0" applyFont="1" applyFill="1" applyBorder="1" applyProtection="1">
      <protection locked="0"/>
    </xf>
    <xf numFmtId="0" fontId="2" fillId="21" borderId="18" xfId="0" applyFont="1" applyFill="1" applyBorder="1" applyProtection="1">
      <protection locked="0"/>
    </xf>
    <xf numFmtId="0" fontId="70" fillId="0" borderId="10"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Protection="1"/>
    <xf numFmtId="0" fontId="6" fillId="21" borderId="0" xfId="0" applyFont="1" applyFill="1" applyBorder="1" applyAlignment="1" applyProtection="1">
      <alignment horizontal="left"/>
      <protection locked="0"/>
    </xf>
    <xf numFmtId="0" fontId="0" fillId="0" borderId="0" xfId="0" applyBorder="1" applyProtection="1"/>
    <xf numFmtId="0" fontId="6" fillId="0" borderId="0" xfId="0" applyFont="1" applyProtection="1">
      <protection locked="0"/>
    </xf>
    <xf numFmtId="0" fontId="17" fillId="0" borderId="0" xfId="0" applyFont="1" applyProtection="1"/>
    <xf numFmtId="0" fontId="3" fillId="0" borderId="0" xfId="0" applyFont="1" applyProtection="1"/>
    <xf numFmtId="0" fontId="0" fillId="0" borderId="0" xfId="0" applyFill="1" applyBorder="1" applyProtection="1"/>
    <xf numFmtId="0" fontId="2" fillId="12" borderId="0" xfId="0" applyFont="1" applyFill="1" applyBorder="1" applyProtection="1">
      <protection locked="0"/>
    </xf>
    <xf numFmtId="0" fontId="71" fillId="0" borderId="0" xfId="0" applyFont="1" applyProtection="1">
      <protection locked="0"/>
    </xf>
    <xf numFmtId="0" fontId="72" fillId="21" borderId="18" xfId="0" applyFont="1" applyFill="1" applyBorder="1" applyProtection="1">
      <protection locked="0"/>
    </xf>
    <xf numFmtId="1" fontId="10" fillId="0" borderId="0" xfId="0" applyNumberFormat="1" applyFont="1" applyFill="1" applyBorder="1"/>
    <xf numFmtId="0" fontId="10" fillId="0" borderId="0" xfId="0" applyFont="1" applyFill="1" applyBorder="1" applyProtection="1">
      <protection locked="0"/>
    </xf>
    <xf numFmtId="0" fontId="2" fillId="0" borderId="0" xfId="0" applyFont="1" applyProtection="1">
      <protection locked="0"/>
    </xf>
    <xf numFmtId="1" fontId="11" fillId="10" borderId="0" xfId="0" applyNumberFormat="1" applyFont="1" applyFill="1" applyBorder="1" applyProtection="1"/>
    <xf numFmtId="1" fontId="11" fillId="10" borderId="9" xfId="0" applyNumberFormat="1" applyFont="1" applyFill="1" applyBorder="1" applyProtection="1"/>
    <xf numFmtId="0" fontId="68" fillId="22" borderId="0" xfId="0" applyFont="1" applyFill="1" applyAlignment="1">
      <alignment horizontal="center"/>
    </xf>
    <xf numFmtId="1" fontId="39" fillId="0" borderId="0" xfId="0" applyNumberFormat="1" applyFont="1" applyFill="1" applyAlignment="1">
      <alignment horizontal="right"/>
    </xf>
    <xf numFmtId="1" fontId="39" fillId="0" borderId="13" xfId="0" applyNumberFormat="1" applyFont="1" applyBorder="1" applyAlignment="1">
      <alignment horizontal="right"/>
    </xf>
    <xf numFmtId="1" fontId="39" fillId="0" borderId="0" xfId="0" applyNumberFormat="1" applyFont="1" applyFill="1" applyBorder="1" applyAlignment="1" applyProtection="1">
      <alignment horizontal="right"/>
      <protection locked="0"/>
    </xf>
    <xf numFmtId="1" fontId="61" fillId="0" borderId="0" xfId="0" applyNumberFormat="1" applyFont="1" applyFill="1" applyAlignment="1">
      <alignment horizontal="right"/>
    </xf>
    <xf numFmtId="1" fontId="63" fillId="0" borderId="0" xfId="0" applyNumberFormat="1" applyFont="1" applyFill="1" applyAlignment="1">
      <alignment horizontal="right"/>
    </xf>
    <xf numFmtId="0" fontId="37" fillId="0" borderId="0" xfId="7" applyFont="1" applyFill="1"/>
    <xf numFmtId="0" fontId="36" fillId="0" borderId="0" xfId="7" applyFont="1"/>
    <xf numFmtId="0" fontId="36" fillId="0" borderId="12" xfId="7" applyFont="1" applyBorder="1" applyAlignment="1">
      <alignment horizontal="left"/>
    </xf>
    <xf numFmtId="0" fontId="36" fillId="0" borderId="5" xfId="7" applyFont="1" applyFill="1" applyBorder="1" applyAlignment="1">
      <alignment horizontal="center"/>
    </xf>
    <xf numFmtId="0" fontId="37" fillId="8" borderId="0" xfId="0" applyFont="1" applyFill="1" applyBorder="1"/>
    <xf numFmtId="1" fontId="36" fillId="0" borderId="0" xfId="0" applyNumberFormat="1" applyFont="1" applyFill="1" applyBorder="1" applyProtection="1"/>
    <xf numFmtId="0" fontId="58" fillId="0" borderId="0" xfId="7" applyFont="1"/>
    <xf numFmtId="0" fontId="36" fillId="0" borderId="12" xfId="0" applyFont="1" applyFill="1" applyBorder="1" applyAlignment="1">
      <alignment horizontal="left"/>
    </xf>
    <xf numFmtId="0" fontId="36" fillId="0" borderId="0" xfId="7" applyFont="1" applyBorder="1"/>
    <xf numFmtId="0" fontId="36" fillId="0" borderId="42" xfId="0" applyFont="1" applyFill="1" applyBorder="1" applyAlignment="1">
      <alignment horizontal="left"/>
    </xf>
    <xf numFmtId="0" fontId="36" fillId="0" borderId="43" xfId="7" applyFont="1" applyFill="1" applyBorder="1" applyAlignment="1">
      <alignment horizontal="center"/>
    </xf>
    <xf numFmtId="0" fontId="36" fillId="0" borderId="0" xfId="7" applyFont="1" applyBorder="1" applyAlignment="1">
      <alignment horizontal="left"/>
    </xf>
    <xf numFmtId="0" fontId="36" fillId="0" borderId="44" xfId="7" applyFont="1" applyBorder="1" applyAlignment="1">
      <alignment horizontal="left"/>
    </xf>
    <xf numFmtId="0" fontId="36" fillId="0" borderId="17" xfId="7" applyFont="1" applyFill="1" applyBorder="1" applyAlignment="1">
      <alignment horizontal="center"/>
    </xf>
    <xf numFmtId="0" fontId="36" fillId="0" borderId="0" xfId="0" applyFont="1" applyFill="1" applyBorder="1" applyAlignment="1">
      <alignment horizontal="left"/>
    </xf>
    <xf numFmtId="0" fontId="36" fillId="0" borderId="41" xfId="0" applyFont="1" applyFill="1" applyBorder="1" applyAlignment="1">
      <alignment horizontal="left"/>
    </xf>
    <xf numFmtId="0" fontId="36" fillId="0" borderId="20" xfId="7" applyFont="1" applyBorder="1" applyAlignment="1">
      <alignment horizontal="left"/>
    </xf>
    <xf numFmtId="0" fontId="36" fillId="0" borderId="19" xfId="7" applyFont="1" applyFill="1" applyBorder="1" applyAlignment="1">
      <alignment horizontal="center"/>
    </xf>
    <xf numFmtId="0" fontId="36" fillId="0" borderId="42" xfId="7" applyFont="1" applyBorder="1" applyAlignment="1">
      <alignment horizontal="left"/>
    </xf>
    <xf numFmtId="0" fontId="36" fillId="0" borderId="45" xfId="7" applyFont="1" applyBorder="1" applyAlignment="1">
      <alignment horizontal="left"/>
    </xf>
    <xf numFmtId="2" fontId="36" fillId="0" borderId="5" xfId="7" applyNumberFormat="1" applyFont="1" applyBorder="1" applyAlignment="1">
      <alignment horizontal="center"/>
    </xf>
    <xf numFmtId="0" fontId="73" fillId="0" borderId="0" xfId="7" applyFont="1" applyBorder="1" applyAlignment="1">
      <alignment horizontal="center"/>
    </xf>
    <xf numFmtId="0" fontId="36" fillId="0" borderId="5" xfId="7" applyFont="1" applyBorder="1" applyAlignment="1">
      <alignment horizontal="center"/>
    </xf>
    <xf numFmtId="0" fontId="2" fillId="21" borderId="0" xfId="0" applyFont="1" applyFill="1" applyBorder="1" applyProtection="1">
      <protection locked="0"/>
    </xf>
    <xf numFmtId="0" fontId="70" fillId="0" borderId="0" xfId="0" applyFont="1" applyFill="1" applyBorder="1" applyAlignment="1" applyProtection="1">
      <alignment horizontal="center"/>
    </xf>
    <xf numFmtId="0" fontId="72" fillId="21" borderId="0" xfId="0" applyFont="1" applyFill="1" applyBorder="1" applyProtection="1">
      <protection locked="0"/>
    </xf>
    <xf numFmtId="0" fontId="39" fillId="12" borderId="0" xfId="0" applyFont="1" applyFill="1" applyProtection="1">
      <protection locked="0"/>
    </xf>
    <xf numFmtId="0" fontId="36" fillId="12" borderId="0" xfId="0" applyFont="1" applyFill="1" applyBorder="1" applyProtection="1">
      <protection locked="0"/>
    </xf>
    <xf numFmtId="0" fontId="36" fillId="21" borderId="40" xfId="0" applyFont="1" applyFill="1" applyBorder="1" applyProtection="1">
      <protection locked="0"/>
    </xf>
    <xf numFmtId="0" fontId="36" fillId="21" borderId="0" xfId="0" applyFont="1" applyFill="1" applyBorder="1" applyProtection="1">
      <protection locked="0"/>
    </xf>
    <xf numFmtId="0" fontId="36" fillId="21" borderId="18" xfId="0" applyFont="1" applyFill="1" applyBorder="1" applyProtection="1">
      <protection locked="0"/>
    </xf>
    <xf numFmtId="0" fontId="59" fillId="0" borderId="10" xfId="0" applyFont="1" applyFill="1" applyBorder="1" applyAlignment="1" applyProtection="1">
      <alignment horizontal="center"/>
    </xf>
    <xf numFmtId="0" fontId="37" fillId="21" borderId="0" xfId="0" applyFont="1" applyFill="1" applyBorder="1" applyAlignment="1" applyProtection="1">
      <alignment horizontal="left"/>
      <protection locked="0"/>
    </xf>
    <xf numFmtId="0" fontId="74" fillId="0" borderId="0" xfId="0" applyFont="1" applyFill="1"/>
    <xf numFmtId="1" fontId="74" fillId="0" borderId="0" xfId="0" applyNumberFormat="1" applyFont="1" applyFill="1" applyAlignment="1">
      <alignment horizontal="center"/>
    </xf>
    <xf numFmtId="1" fontId="74" fillId="0" borderId="0" xfId="0" applyNumberFormat="1" applyFont="1" applyFill="1"/>
    <xf numFmtId="0" fontId="36" fillId="0" borderId="20" xfId="0" applyFont="1" applyFill="1" applyBorder="1" applyAlignment="1">
      <alignment horizontal="left"/>
    </xf>
    <xf numFmtId="0" fontId="36" fillId="20" borderId="0" xfId="7" applyFont="1" applyFill="1" applyBorder="1"/>
    <xf numFmtId="0" fontId="36" fillId="20" borderId="0" xfId="7" applyFont="1" applyFill="1" applyBorder="1" applyAlignment="1">
      <alignment horizontal="center"/>
    </xf>
    <xf numFmtId="49" fontId="2" fillId="0" borderId="0" xfId="0" applyNumberFormat="1" applyFont="1" applyFill="1" applyBorder="1" applyProtection="1"/>
    <xf numFmtId="0" fontId="2" fillId="0" borderId="0" xfId="0" applyNumberFormat="1" applyFont="1" applyFill="1" applyBorder="1" applyAlignment="1" applyProtection="1">
      <alignment horizontal="left"/>
    </xf>
    <xf numFmtId="0" fontId="2" fillId="0" borderId="0" xfId="0" applyFont="1" applyFill="1" applyBorder="1" applyProtection="1"/>
    <xf numFmtId="1" fontId="10" fillId="11" borderId="0" xfId="0" applyNumberFormat="1" applyFont="1" applyFill="1" applyBorder="1"/>
    <xf numFmtId="1" fontId="10" fillId="11" borderId="0" xfId="0" applyNumberFormat="1" applyFont="1" applyFill="1"/>
    <xf numFmtId="1" fontId="10" fillId="23" borderId="0" xfId="0" applyNumberFormat="1" applyFont="1" applyFill="1" applyBorder="1"/>
    <xf numFmtId="1" fontId="10" fillId="23" borderId="0" xfId="0" applyNumberFormat="1" applyFont="1" applyFill="1"/>
    <xf numFmtId="0" fontId="10" fillId="11" borderId="0" xfId="0" applyFont="1" applyFill="1"/>
    <xf numFmtId="0" fontId="10" fillId="23" borderId="0" xfId="0" applyFont="1" applyFill="1"/>
    <xf numFmtId="0" fontId="68" fillId="21" borderId="46" xfId="0" applyFont="1" applyFill="1" applyBorder="1" applyProtection="1">
      <protection locked="0"/>
    </xf>
    <xf numFmtId="1" fontId="75" fillId="0" borderId="0" xfId="0" applyNumberFormat="1" applyFont="1" applyFill="1" applyAlignment="1">
      <alignment horizontal="center"/>
    </xf>
    <xf numFmtId="0" fontId="76" fillId="0" borderId="0" xfId="0" applyFont="1" applyAlignment="1">
      <alignment horizontal="center"/>
    </xf>
    <xf numFmtId="1" fontId="78" fillId="0" borderId="0" xfId="0" applyNumberFormat="1" applyFont="1" applyAlignment="1">
      <alignment horizontal="right"/>
    </xf>
    <xf numFmtId="49" fontId="36" fillId="0" borderId="0" xfId="0" applyNumberFormat="1" applyFont="1" applyFill="1" applyBorder="1" applyProtection="1"/>
    <xf numFmtId="0" fontId="36" fillId="0" borderId="0" xfId="0" applyNumberFormat="1" applyFont="1" applyFill="1" applyBorder="1" applyAlignment="1" applyProtection="1">
      <alignment horizontal="left"/>
    </xf>
    <xf numFmtId="0" fontId="36" fillId="0" borderId="0" xfId="0" applyFont="1" applyFill="1" applyBorder="1" applyProtection="1"/>
    <xf numFmtId="164" fontId="79" fillId="24" borderId="0" xfId="29" applyFont="1" applyFill="1" applyProtection="1">
      <protection locked="0"/>
    </xf>
    <xf numFmtId="164" fontId="80" fillId="0" borderId="0" xfId="29" applyFont="1" applyFill="1" applyAlignment="1" applyProtection="1">
      <alignment horizontal="center"/>
    </xf>
    <xf numFmtId="0" fontId="36" fillId="0" borderId="0" xfId="0" applyFont="1" applyBorder="1" applyProtection="1"/>
    <xf numFmtId="164" fontId="80" fillId="24" borderId="0" xfId="29" applyFont="1" applyFill="1" applyBorder="1" applyProtection="1">
      <protection locked="0"/>
    </xf>
    <xf numFmtId="0" fontId="12" fillId="0" borderId="0" xfId="0" applyFont="1" applyFill="1" applyAlignment="1" applyProtection="1">
      <alignment horizontal="center"/>
    </xf>
    <xf numFmtId="0" fontId="81" fillId="9" borderId="21" xfId="0" applyFont="1" applyFill="1" applyBorder="1" applyAlignment="1">
      <alignment horizontal="center"/>
    </xf>
    <xf numFmtId="0" fontId="81" fillId="7" borderId="23" xfId="0" applyFont="1" applyFill="1" applyBorder="1" applyAlignment="1">
      <alignment horizontal="center"/>
    </xf>
    <xf numFmtId="0" fontId="81" fillId="0" borderId="0" xfId="0" applyFont="1" applyFill="1" applyBorder="1" applyAlignment="1">
      <alignment horizontal="center"/>
    </xf>
    <xf numFmtId="0" fontId="12" fillId="0" borderId="0" xfId="0" applyFont="1" applyFill="1" applyAlignment="1" applyProtection="1"/>
    <xf numFmtId="0" fontId="81" fillId="9" borderId="23" xfId="0" applyFont="1" applyFill="1" applyBorder="1" applyAlignment="1">
      <alignment horizontal="center"/>
    </xf>
    <xf numFmtId="0" fontId="81" fillId="7" borderId="21" xfId="0" applyFont="1" applyFill="1" applyBorder="1" applyAlignment="1">
      <alignment horizontal="center"/>
    </xf>
    <xf numFmtId="0" fontId="29" fillId="9" borderId="24" xfId="0" applyFont="1" applyFill="1" applyBorder="1" applyAlignment="1">
      <alignment horizontal="left"/>
    </xf>
    <xf numFmtId="0" fontId="29" fillId="7" borderId="22" xfId="0" applyFont="1" applyFill="1" applyBorder="1" applyAlignment="1">
      <alignment horizontal="left"/>
    </xf>
    <xf numFmtId="0" fontId="36" fillId="0" borderId="0" xfId="7" applyFont="1" applyFill="1" applyBorder="1"/>
    <xf numFmtId="0" fontId="77" fillId="0" borderId="0" xfId="7" applyFont="1"/>
    <xf numFmtId="2" fontId="77" fillId="0" borderId="5" xfId="7" applyNumberFormat="1" applyFont="1" applyBorder="1" applyAlignment="1">
      <alignment horizontal="center"/>
    </xf>
    <xf numFmtId="0" fontId="82" fillId="0" borderId="0" xfId="7" applyFont="1" applyFill="1"/>
    <xf numFmtId="0" fontId="10" fillId="6" borderId="7" xfId="0" applyFont="1" applyFill="1" applyBorder="1" applyAlignment="1">
      <alignment horizontal="left"/>
    </xf>
    <xf numFmtId="0" fontId="83" fillId="5" borderId="4" xfId="0" applyFont="1" applyFill="1" applyBorder="1" applyAlignment="1">
      <alignment horizontal="center"/>
    </xf>
    <xf numFmtId="0" fontId="75" fillId="0" borderId="0" xfId="0" applyFont="1"/>
    <xf numFmtId="0" fontId="75" fillId="0" borderId="0" xfId="0" applyFont="1" applyFill="1"/>
    <xf numFmtId="1" fontId="84" fillId="0" borderId="0" xfId="0" applyNumberFormat="1" applyFont="1" applyAlignment="1">
      <alignment horizontal="center"/>
    </xf>
    <xf numFmtId="0" fontId="0" fillId="0" borderId="21" xfId="0" applyBorder="1"/>
    <xf numFmtId="0" fontId="0" fillId="0" borderId="23" xfId="0" applyBorder="1"/>
    <xf numFmtId="0" fontId="81" fillId="7" borderId="0" xfId="0" applyFont="1" applyFill="1" applyAlignment="1">
      <alignment horizontal="center"/>
    </xf>
    <xf numFmtId="0" fontId="0" fillId="0" borderId="22" xfId="0" applyBorder="1"/>
    <xf numFmtId="0" fontId="0" fillId="0" borderId="24" xfId="0" applyBorder="1"/>
    <xf numFmtId="0" fontId="29" fillId="7" borderId="0" xfId="0" applyFont="1" applyFill="1" applyAlignment="1">
      <alignment horizontal="left"/>
    </xf>
    <xf numFmtId="0" fontId="81" fillId="9" borderId="7" xfId="0" applyFont="1" applyFill="1" applyBorder="1" applyAlignment="1">
      <alignment horizontal="center"/>
    </xf>
    <xf numFmtId="0" fontId="29" fillId="9" borderId="18" xfId="0" applyFont="1" applyFill="1" applyBorder="1" applyAlignment="1">
      <alignment horizontal="left"/>
    </xf>
    <xf numFmtId="0" fontId="36" fillId="0" borderId="47" xfId="7" applyFont="1" applyBorder="1"/>
    <xf numFmtId="0" fontId="60" fillId="0" borderId="48" xfId="7" applyFont="1" applyBorder="1" applyAlignment="1">
      <alignment horizontal="center"/>
    </xf>
    <xf numFmtId="0" fontId="37" fillId="0" borderId="47" xfId="7" applyFont="1" applyFill="1" applyBorder="1"/>
    <xf numFmtId="1" fontId="36" fillId="0" borderId="0" xfId="0" applyNumberFormat="1" applyFont="1" applyFill="1" applyBorder="1" applyAlignment="1">
      <alignment horizontal="center"/>
    </xf>
    <xf numFmtId="1" fontId="75" fillId="0" borderId="0" xfId="0" applyNumberFormat="1" applyFont="1" applyFill="1" applyBorder="1" applyAlignment="1">
      <alignment horizontal="center"/>
    </xf>
    <xf numFmtId="0" fontId="85" fillId="7" borderId="23" xfId="0" applyFont="1" applyFill="1" applyBorder="1" applyAlignment="1">
      <alignment horizontal="center"/>
    </xf>
    <xf numFmtId="1" fontId="75" fillId="0" borderId="49" xfId="0" applyNumberFormat="1" applyFont="1" applyFill="1" applyBorder="1" applyAlignment="1">
      <alignment horizontal="center"/>
    </xf>
    <xf numFmtId="0" fontId="2" fillId="7" borderId="24" xfId="0" applyFont="1" applyFill="1" applyBorder="1" applyAlignment="1">
      <alignment horizontal="left"/>
    </xf>
    <xf numFmtId="0" fontId="3" fillId="0" borderId="0" xfId="0" applyFont="1" applyProtection="1"/>
    <xf numFmtId="0" fontId="70" fillId="0" borderId="10" xfId="0" applyFont="1" applyFill="1" applyBorder="1" applyAlignment="1" applyProtection="1">
      <alignment horizontal="center"/>
    </xf>
    <xf numFmtId="0" fontId="10" fillId="0" borderId="0" xfId="0" applyFont="1" applyFill="1" applyBorder="1" applyAlignment="1" applyProtection="1">
      <alignment horizontal="center"/>
    </xf>
    <xf numFmtId="0" fontId="6" fillId="0" borderId="0" xfId="0" applyFont="1" applyProtection="1"/>
    <xf numFmtId="0" fontId="87" fillId="0" borderId="0" xfId="0" applyFont="1" applyProtection="1"/>
    <xf numFmtId="0" fontId="36" fillId="25" borderId="18" xfId="0" applyFont="1" applyFill="1" applyBorder="1" applyProtection="1">
      <protection locked="0"/>
    </xf>
    <xf numFmtId="0" fontId="6" fillId="25" borderId="0" xfId="0" applyFont="1" applyFill="1" applyBorder="1" applyAlignment="1" applyProtection="1">
      <alignment horizontal="left"/>
      <protection locked="0"/>
    </xf>
    <xf numFmtId="0" fontId="86" fillId="26" borderId="0" xfId="0" applyFont="1" applyFill="1" applyProtection="1">
      <protection locked="0"/>
    </xf>
    <xf numFmtId="0" fontId="6" fillId="26" borderId="0" xfId="0" applyFont="1" applyFill="1" applyProtection="1">
      <protection locked="0"/>
    </xf>
    <xf numFmtId="0" fontId="36" fillId="0" borderId="0" xfId="0" applyFont="1" applyFill="1" applyBorder="1" applyAlignment="1" applyProtection="1">
      <alignment horizontal="center"/>
    </xf>
    <xf numFmtId="0" fontId="90" fillId="0" borderId="0" xfId="0" applyFont="1"/>
    <xf numFmtId="0" fontId="91" fillId="0" borderId="0" xfId="0" applyFont="1"/>
    <xf numFmtId="0" fontId="91" fillId="0" borderId="0" xfId="0" applyFont="1" applyAlignment="1">
      <alignment horizontal="center"/>
    </xf>
    <xf numFmtId="0" fontId="90" fillId="0" borderId="0" xfId="0" applyFont="1" applyFill="1" applyAlignment="1">
      <alignment horizontal="right"/>
    </xf>
    <xf numFmtId="0" fontId="92" fillId="5" borderId="4" xfId="0" applyFont="1" applyFill="1" applyBorder="1" applyAlignment="1">
      <alignment horizontal="center"/>
    </xf>
    <xf numFmtId="0" fontId="91" fillId="0" borderId="0" xfId="0" applyFont="1" applyFill="1"/>
    <xf numFmtId="0" fontId="93" fillId="0" borderId="0" xfId="0" applyFont="1"/>
    <xf numFmtId="1" fontId="91" fillId="0" borderId="0" xfId="0" applyNumberFormat="1" applyFont="1" applyFill="1" applyAlignment="1">
      <alignment horizontal="center"/>
    </xf>
    <xf numFmtId="1" fontId="93" fillId="0" borderId="0" xfId="0" applyNumberFormat="1" applyFont="1" applyAlignment="1">
      <alignment horizontal="right"/>
    </xf>
    <xf numFmtId="2" fontId="91" fillId="8" borderId="0" xfId="0" applyNumberFormat="1" applyFont="1" applyFill="1" applyBorder="1" applyAlignment="1">
      <alignment horizontal="center"/>
    </xf>
    <xf numFmtId="0" fontId="91" fillId="0" borderId="0" xfId="0" applyFont="1" applyFill="1" applyProtection="1"/>
    <xf numFmtId="1" fontId="41" fillId="0" borderId="0" xfId="0" applyNumberFormat="1" applyFont="1"/>
    <xf numFmtId="0" fontId="39" fillId="0" borderId="13" xfId="0" applyFont="1" applyFill="1" applyBorder="1" applyAlignment="1">
      <alignment horizontal="center"/>
    </xf>
    <xf numFmtId="0" fontId="36" fillId="0" borderId="12" xfId="7" applyFont="1" applyFill="1" applyBorder="1"/>
    <xf numFmtId="0" fontId="37" fillId="0" borderId="11" xfId="7" applyFont="1" applyFill="1" applyBorder="1" applyAlignment="1">
      <alignment horizontal="left"/>
    </xf>
    <xf numFmtId="0" fontId="36" fillId="0" borderId="0" xfId="7" applyFont="1" applyFill="1"/>
    <xf numFmtId="0" fontId="36" fillId="0" borderId="12" xfId="7" applyFont="1" applyFill="1" applyBorder="1" applyAlignment="1">
      <alignment horizontal="left"/>
    </xf>
    <xf numFmtId="0" fontId="37" fillId="0" borderId="0" xfId="0" applyFont="1" applyFill="1" applyBorder="1"/>
    <xf numFmtId="0" fontId="58" fillId="0" borderId="0" xfId="7" applyFont="1" applyFill="1" applyBorder="1"/>
    <xf numFmtId="0" fontId="2" fillId="12" borderId="0" xfId="0" applyFont="1" applyFill="1" applyProtection="1">
      <protection locked="0"/>
    </xf>
    <xf numFmtId="0" fontId="77" fillId="0" borderId="0" xfId="7" applyFont="1" applyBorder="1"/>
    <xf numFmtId="0" fontId="36" fillId="0" borderId="42" xfId="7" applyFont="1" applyFill="1" applyBorder="1" applyAlignment="1">
      <alignment horizontal="left"/>
    </xf>
    <xf numFmtId="0" fontId="37" fillId="0" borderId="41" xfId="0" applyFont="1" applyFill="1" applyBorder="1"/>
    <xf numFmtId="1" fontId="36" fillId="0" borderId="41" xfId="0" applyNumberFormat="1" applyFont="1" applyFill="1" applyBorder="1" applyProtection="1"/>
    <xf numFmtId="0" fontId="11" fillId="0" borderId="0" xfId="0" applyFont="1" applyAlignment="1" applyProtection="1">
      <alignment horizontal="left"/>
    </xf>
    <xf numFmtId="0" fontId="94" fillId="9" borderId="22" xfId="0" applyFont="1" applyFill="1" applyBorder="1" applyAlignment="1">
      <alignment horizontal="left"/>
    </xf>
    <xf numFmtId="0" fontId="94" fillId="7" borderId="24" xfId="0" applyFont="1" applyFill="1" applyBorder="1" applyAlignment="1">
      <alignment horizontal="left"/>
    </xf>
    <xf numFmtId="0" fontId="3" fillId="7" borderId="24" xfId="0" applyFont="1" applyFill="1" applyBorder="1" applyAlignment="1">
      <alignment horizontal="left"/>
    </xf>
    <xf numFmtId="0" fontId="94" fillId="0" borderId="0" xfId="0" applyFont="1" applyFill="1" applyBorder="1" applyAlignment="1">
      <alignment horizontal="left"/>
    </xf>
    <xf numFmtId="0" fontId="10" fillId="0" borderId="50" xfId="0" applyFont="1" applyBorder="1"/>
    <xf numFmtId="0" fontId="10" fillId="0" borderId="51" xfId="0" applyFont="1" applyBorder="1"/>
    <xf numFmtId="0" fontId="10" fillId="0" borderId="50" xfId="0" applyFont="1" applyFill="1" applyBorder="1"/>
    <xf numFmtId="0" fontId="9" fillId="0" borderId="50" xfId="0" applyFont="1" applyFill="1" applyBorder="1"/>
    <xf numFmtId="0" fontId="16" fillId="0" borderId="50" xfId="0" applyFont="1" applyFill="1" applyBorder="1"/>
    <xf numFmtId="0" fontId="74" fillId="0" borderId="50" xfId="0" applyFont="1" applyFill="1" applyBorder="1"/>
    <xf numFmtId="49" fontId="10" fillId="0" borderId="50" xfId="0" applyNumberFormat="1" applyFont="1" applyFill="1" applyBorder="1"/>
    <xf numFmtId="0" fontId="10" fillId="0" borderId="50" xfId="0" applyFont="1" applyFill="1" applyBorder="1" applyAlignment="1">
      <alignment horizontal="center"/>
    </xf>
    <xf numFmtId="0" fontId="39" fillId="0" borderId="0" xfId="7" applyFont="1" applyBorder="1"/>
    <xf numFmtId="2" fontId="39" fillId="0" borderId="5" xfId="7" applyNumberFormat="1" applyFont="1" applyBorder="1" applyAlignment="1">
      <alignment horizontal="center"/>
    </xf>
    <xf numFmtId="0" fontId="38" fillId="0" borderId="0" xfId="7" applyFont="1" applyFill="1"/>
    <xf numFmtId="0" fontId="39" fillId="0" borderId="0" xfId="7" applyFont="1"/>
    <xf numFmtId="0" fontId="68" fillId="11" borderId="0" xfId="0" applyFont="1" applyFill="1" applyAlignment="1">
      <alignment horizontal="center"/>
    </xf>
    <xf numFmtId="0" fontId="36" fillId="22" borderId="0" xfId="0" applyFont="1" applyFill="1" applyAlignment="1">
      <alignment horizontal="center"/>
    </xf>
    <xf numFmtId="0" fontId="36" fillId="27" borderId="0" xfId="0" applyFont="1" applyFill="1" applyAlignment="1">
      <alignment horizontal="center"/>
    </xf>
    <xf numFmtId="0" fontId="68" fillId="27" borderId="0" xfId="0" applyFont="1" applyFill="1" applyAlignment="1">
      <alignment horizontal="center"/>
    </xf>
    <xf numFmtId="0" fontId="36" fillId="0" borderId="52" xfId="7" applyFont="1" applyFill="1" applyBorder="1" applyAlignment="1">
      <alignment horizontal="center"/>
    </xf>
    <xf numFmtId="0" fontId="36" fillId="11" borderId="5" xfId="7" applyFont="1" applyFill="1" applyBorder="1" applyAlignment="1">
      <alignment horizontal="center"/>
    </xf>
    <xf numFmtId="0" fontId="36" fillId="11" borderId="43" xfId="7" applyFont="1" applyFill="1" applyBorder="1" applyAlignment="1">
      <alignment horizontal="center"/>
    </xf>
    <xf numFmtId="0" fontId="36" fillId="11" borderId="0" xfId="0" applyFont="1" applyFill="1" applyAlignment="1">
      <alignment horizontal="center"/>
    </xf>
    <xf numFmtId="0" fontId="36" fillId="11" borderId="12" xfId="7" applyFont="1" applyFill="1" applyBorder="1" applyAlignment="1">
      <alignment horizontal="left"/>
    </xf>
    <xf numFmtId="0" fontId="36" fillId="11" borderId="42" xfId="7" applyFont="1" applyFill="1" applyBorder="1" applyAlignment="1">
      <alignment horizontal="left"/>
    </xf>
    <xf numFmtId="0" fontId="36" fillId="0" borderId="45" xfId="7" applyFont="1" applyFill="1" applyBorder="1" applyAlignment="1">
      <alignment horizontal="left"/>
    </xf>
    <xf numFmtId="0" fontId="37" fillId="0" borderId="44" xfId="0" applyFont="1" applyFill="1" applyBorder="1"/>
    <xf numFmtId="1" fontId="36" fillId="0" borderId="44" xfId="0" applyNumberFormat="1" applyFont="1" applyFill="1" applyBorder="1" applyProtection="1"/>
    <xf numFmtId="0" fontId="36" fillId="0" borderId="54" xfId="7" applyFont="1" applyFill="1" applyBorder="1" applyAlignment="1">
      <alignment horizontal="left"/>
    </xf>
    <xf numFmtId="0" fontId="36" fillId="0" borderId="55" xfId="7" applyFont="1" applyFill="1" applyBorder="1" applyAlignment="1">
      <alignment horizontal="center"/>
    </xf>
    <xf numFmtId="0" fontId="37" fillId="0" borderId="53" xfId="0" applyFont="1" applyFill="1" applyBorder="1"/>
    <xf numFmtId="1" fontId="36" fillId="0" borderId="53" xfId="0" applyNumberFormat="1" applyFont="1" applyFill="1" applyBorder="1" applyProtection="1"/>
    <xf numFmtId="0" fontId="58" fillId="0" borderId="12" xfId="7" applyFont="1" applyFill="1" applyBorder="1" applyAlignment="1">
      <alignment horizontal="left"/>
    </xf>
    <xf numFmtId="0" fontId="58" fillId="0" borderId="42" xfId="7" applyFont="1" applyFill="1" applyBorder="1" applyAlignment="1">
      <alignment horizontal="left"/>
    </xf>
    <xf numFmtId="0" fontId="83" fillId="5" borderId="44" xfId="0" applyFont="1" applyFill="1" applyBorder="1" applyAlignment="1">
      <alignment horizontal="center"/>
    </xf>
  </cellXfs>
  <cellStyles count="31">
    <cellStyle name="Bad" xfId="18" hidden="1" xr:uid="{00000000-0005-0000-0000-000000000000}"/>
    <cellStyle name="Calculation" xfId="22" builtinId="22" hidden="1"/>
    <cellStyle name="Calculation" xfId="1" xr:uid="{00000000-0005-0000-0000-000002000000}"/>
    <cellStyle name="Check Cell" xfId="24" hidden="1" xr:uid="{00000000-0005-0000-0000-000003000000}"/>
    <cellStyle name="Excel Built-in Normal" xfId="29" xr:uid="{00000000-0005-0000-0000-000004000000}"/>
    <cellStyle name="Explanatory Text" xfId="27" hidden="1" xr:uid="{00000000-0005-0000-0000-000005000000}"/>
    <cellStyle name="Good" xfId="17" builtinId="26" hidden="1"/>
    <cellStyle name="Good" xfId="2" xr:uid="{00000000-0005-0000-0000-000008000000}"/>
    <cellStyle name="Heading 1" xfId="13" hidden="1" xr:uid="{00000000-0005-0000-0000-000009000000}"/>
    <cellStyle name="Heading 2" xfId="14" hidden="1" xr:uid="{00000000-0005-0000-0000-00000A000000}"/>
    <cellStyle name="Heading 3" xfId="15" hidden="1" xr:uid="{00000000-0005-0000-0000-00000B000000}"/>
    <cellStyle name="Heading 4" xfId="16" hidden="1" xr:uid="{00000000-0005-0000-0000-00000C000000}"/>
    <cellStyle name="Input" xfId="20" hidden="1" xr:uid="{00000000-0005-0000-0000-00000D000000}"/>
    <cellStyle name="Linked Cell" xfId="23" builtinId="24" hidden="1"/>
    <cellStyle name="Linked Cell" xfId="3" xr:uid="{00000000-0005-0000-0000-00000E000000}"/>
    <cellStyle name="Neutral" xfId="19" builtinId="28" hidden="1"/>
    <cellStyle name="Neutral" xfId="4" xr:uid="{00000000-0005-0000-0000-000010000000}"/>
    <cellStyle name="Normal" xfId="0" builtinId="0"/>
    <cellStyle name="Normal 2" xfId="5" xr:uid="{00000000-0005-0000-0000-000011000000}"/>
    <cellStyle name="Normal 3" xfId="6" xr:uid="{00000000-0005-0000-0000-000012000000}"/>
    <cellStyle name="Normal_Tour de France 2002-ploegensamenstelling" xfId="7" xr:uid="{00000000-0005-0000-0000-000013000000}"/>
    <cellStyle name="Note" xfId="26" hidden="1" xr:uid="{00000000-0005-0000-0000-000014000000}"/>
    <cellStyle name="Output" xfId="21" hidden="1" xr:uid="{00000000-0005-0000-0000-000015000000}"/>
    <cellStyle name="Per cent" xfId="8" builtinId="5"/>
    <cellStyle name="Standaard 2" xfId="30" xr:uid="{41EE7BAA-B459-4E20-98AA-E35D5DB65DA2}"/>
    <cellStyle name="Title" xfId="12" builtinId="15" hidden="1"/>
    <cellStyle name="Title" xfId="9" xr:uid="{00000000-0005-0000-0000-000019000000}"/>
    <cellStyle name="Total" xfId="28" builtinId="25" hidden="1"/>
    <cellStyle name="Total" xfId="10" xr:uid="{00000000-0005-0000-0000-00001B000000}"/>
    <cellStyle name="Warning Text" xfId="25" builtinId="11" hidden="1"/>
    <cellStyle name="Warning Text" xfId="11" xr:uid="{00000000-0005-0000-0000-00001D000000}"/>
  </cellStyles>
  <dxfs count="76">
    <dxf>
      <border>
        <bottom style="thin">
          <color auto="1"/>
        </bottom>
        <vertical/>
        <horizontal/>
      </border>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bgColor rgb="FFFFC0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s>
  <tableStyles count="0" defaultTableStyle="TableStyleMedium9" defaultPivotStyle="PivotStyleLight16"/>
  <colors>
    <mruColors>
      <color rgb="FF3333FF"/>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3.xml"/><Relationship Id="rId13" Type="http://schemas.openxmlformats.org/officeDocument/2006/relationships/worksheet" Target="worksheets/sheet8.xml"/><Relationship Id="rId18" Type="http://schemas.openxmlformats.org/officeDocument/2006/relationships/worksheet" Target="worksheets/sheet13.xml"/><Relationship Id="rId26" Type="http://schemas.openxmlformats.org/officeDocument/2006/relationships/worksheet" Target="worksheets/sheet21.xml"/><Relationship Id="rId3" Type="http://schemas.openxmlformats.org/officeDocument/2006/relationships/chartsheet" Target="chartsheets/sheet2.xml"/><Relationship Id="rId21" Type="http://schemas.openxmlformats.org/officeDocument/2006/relationships/worksheet" Target="worksheets/sheet16.xml"/><Relationship Id="rId7" Type="http://schemas.openxmlformats.org/officeDocument/2006/relationships/chartsheet" Target="chartsheets/sheet5.xml"/><Relationship Id="rId12" Type="http://schemas.openxmlformats.org/officeDocument/2006/relationships/worksheet" Target="worksheets/sheet7.xml"/><Relationship Id="rId17" Type="http://schemas.openxmlformats.org/officeDocument/2006/relationships/worksheet" Target="worksheets/sheet12.xml"/><Relationship Id="rId25" Type="http://schemas.openxmlformats.org/officeDocument/2006/relationships/worksheet" Target="worksheets/sheet20.xml"/><Relationship Id="rId2" Type="http://schemas.openxmlformats.org/officeDocument/2006/relationships/chartsheet" Target="chartsheets/sheet1.xml"/><Relationship Id="rId16" Type="http://schemas.openxmlformats.org/officeDocument/2006/relationships/worksheet" Target="worksheets/sheet11.xml"/><Relationship Id="rId20" Type="http://schemas.openxmlformats.org/officeDocument/2006/relationships/worksheet" Target="worksheets/sheet1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2.xml"/><Relationship Id="rId11" Type="http://schemas.openxmlformats.org/officeDocument/2006/relationships/worksheet" Target="worksheets/sheet6.xml"/><Relationship Id="rId24" Type="http://schemas.openxmlformats.org/officeDocument/2006/relationships/worksheet" Target="worksheets/sheet19.xml"/><Relationship Id="rId32" Type="http://schemas.openxmlformats.org/officeDocument/2006/relationships/calcChain" Target="calcChain.xml"/><Relationship Id="rId5" Type="http://schemas.openxmlformats.org/officeDocument/2006/relationships/chartsheet" Target="chartsheets/sheet4.xml"/><Relationship Id="rId15" Type="http://schemas.openxmlformats.org/officeDocument/2006/relationships/worksheet" Target="worksheets/sheet10.xml"/><Relationship Id="rId23" Type="http://schemas.openxmlformats.org/officeDocument/2006/relationships/worksheet" Target="worksheets/sheet18.xml"/><Relationship Id="rId28" Type="http://schemas.openxmlformats.org/officeDocument/2006/relationships/worksheet" Target="worksheets/sheet23.xml"/><Relationship Id="rId10" Type="http://schemas.openxmlformats.org/officeDocument/2006/relationships/worksheet" Target="worksheets/sheet5.xml"/><Relationship Id="rId19" Type="http://schemas.openxmlformats.org/officeDocument/2006/relationships/worksheet" Target="worksheets/sheet14.xml"/><Relationship Id="rId31" Type="http://schemas.openxmlformats.org/officeDocument/2006/relationships/sharedStrings" Target="sharedStrings.xml"/><Relationship Id="rId4" Type="http://schemas.openxmlformats.org/officeDocument/2006/relationships/chartsheet" Target="chartsheets/sheet3.xml"/><Relationship Id="rId9" Type="http://schemas.openxmlformats.org/officeDocument/2006/relationships/worksheet" Target="worksheets/sheet4.xml"/><Relationship Id="rId14" Type="http://schemas.openxmlformats.org/officeDocument/2006/relationships/worksheet" Target="worksheets/sheet9.xml"/><Relationship Id="rId22" Type="http://schemas.openxmlformats.org/officeDocument/2006/relationships/worksheet" Target="worksheets/sheet17.xml"/><Relationship Id="rId27" Type="http://schemas.openxmlformats.org/officeDocument/2006/relationships/worksheet" Target="worksheets/sheet22.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2022</a:t>
            </a:r>
          </a:p>
        </c:rich>
      </c:tx>
      <c:layout>
        <c:manualLayout>
          <c:xMode val="edge"/>
          <c:yMode val="edge"/>
          <c:x val="0.41230738727167304"/>
          <c:y val="0.11109007516553762"/>
        </c:manualLayout>
      </c:layout>
      <c:overlay val="0"/>
      <c:spPr>
        <a:noFill/>
        <a:ln w="25400">
          <a:noFill/>
        </a:ln>
      </c:spPr>
    </c:title>
    <c:autoTitleDeleted val="0"/>
    <c:plotArea>
      <c:layout>
        <c:manualLayout>
          <c:layoutTarget val="inner"/>
          <c:xMode val="edge"/>
          <c:yMode val="edge"/>
          <c:x val="1.9648397104446741E-2"/>
          <c:y val="3.9365728768822619E-2"/>
          <c:w val="0.93726301275422252"/>
          <c:h val="0.8182613856411054"/>
        </c:manualLayout>
      </c:layout>
      <c:lineChart>
        <c:grouping val="standard"/>
        <c:varyColors val="0"/>
        <c:ser>
          <c:idx val="3"/>
          <c:order val="0"/>
          <c:tx>
            <c:strRef>
              <c:f>Etappes!$AB$22</c:f>
              <c:strCache>
                <c:ptCount val="1"/>
                <c:pt idx="0">
                  <c:v>Onder de vod</c:v>
                </c:pt>
              </c:strCache>
            </c:strRef>
          </c:tx>
          <c:spPr>
            <a:ln w="28575">
              <a:solidFill>
                <a:srgbClr val="00FFFF"/>
              </a:solidFill>
              <a:prstDash val="solid"/>
            </a:ln>
          </c:spPr>
          <c:marker>
            <c:symbol val="x"/>
            <c:size val="7"/>
            <c:spPr>
              <a:noFill/>
              <a:ln w="28575">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5.75</c:v>
                </c:pt>
                <c:pt idx="1">
                  <c:v>-8.3333333333314386E-2</c:v>
                </c:pt>
                <c:pt idx="2">
                  <c:v>-0.33333333333331439</c:v>
                </c:pt>
                <c:pt idx="3">
                  <c:v>3.5</c:v>
                </c:pt>
                <c:pt idx="4">
                  <c:v>4.8333333333333712</c:v>
                </c:pt>
                <c:pt idx="5">
                  <c:v>48.5</c:v>
                </c:pt>
                <c:pt idx="6">
                  <c:v>98.5</c:v>
                </c:pt>
                <c:pt idx="7">
                  <c:v>140.58333333333326</c:v>
                </c:pt>
                <c:pt idx="8">
                  <c:v>157.91666666666674</c:v>
                </c:pt>
                <c:pt idx="9">
                  <c:v>156.58333333333326</c:v>
                </c:pt>
                <c:pt idx="10">
                  <c:v>178.91666666666674</c:v>
                </c:pt>
                <c:pt idx="11">
                  <c:v>190.25</c:v>
                </c:pt>
                <c:pt idx="12">
                  <c:v>210.91666666666674</c:v>
                </c:pt>
                <c:pt idx="13">
                  <c:v>231.41666666666674</c:v>
                </c:pt>
                <c:pt idx="14">
                  <c:v>222.25</c:v>
                </c:pt>
                <c:pt idx="15">
                  <c:v>229.91666666666652</c:v>
                </c:pt>
                <c:pt idx="16">
                  <c:v>250.66666666666652</c:v>
                </c:pt>
                <c:pt idx="17">
                  <c:v>266.33333333333348</c:v>
                </c:pt>
                <c:pt idx="18">
                  <c:v>262.91666666666652</c:v>
                </c:pt>
                <c:pt idx="19">
                  <c:v>271.5</c:v>
                </c:pt>
                <c:pt idx="20">
                  <c:v>241.75</c:v>
                </c:pt>
                <c:pt idx="21">
                  <c:v>261.16666666666652</c:v>
                </c:pt>
              </c:numCache>
            </c:numRef>
          </c:val>
          <c:smooth val="0"/>
          <c:extLst>
            <c:ext xmlns:c16="http://schemas.microsoft.com/office/drawing/2014/chart" uri="{C3380CC4-5D6E-409C-BE32-E72D297353CC}">
              <c16:uniqueId val="{00000000-A41F-AE4C-AA9C-635FFBA410F1}"/>
            </c:ext>
          </c:extLst>
        </c:ser>
        <c:ser>
          <c:idx val="8"/>
          <c:order val="1"/>
          <c:tx>
            <c:strRef>
              <c:f>Etappes!$AB$23</c:f>
              <c:strCache>
                <c:ptCount val="1"/>
                <c:pt idx="0">
                  <c:v>Tins Tour Toppers</c:v>
                </c:pt>
              </c:strCache>
            </c:strRef>
          </c:tx>
          <c:spPr>
            <a:ln w="28575">
              <a:solidFill>
                <a:srgbClr val="FF9900"/>
              </a:solidFill>
              <a:prstDash val="solid"/>
            </a:ln>
          </c:spPr>
          <c:marker>
            <c:symbol val="dash"/>
            <c:size val="7"/>
            <c:spPr>
              <a:noFill/>
              <a:ln w="28575">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-15.25</c:v>
                </c:pt>
                <c:pt idx="1">
                  <c:v>-8.0833333333333144</c:v>
                </c:pt>
                <c:pt idx="2">
                  <c:v>6.6666666666666856</c:v>
                </c:pt>
                <c:pt idx="3">
                  <c:v>-8.5</c:v>
                </c:pt>
                <c:pt idx="4">
                  <c:v>-7.1666666666666288</c:v>
                </c:pt>
                <c:pt idx="5">
                  <c:v>9.5</c:v>
                </c:pt>
                <c:pt idx="6">
                  <c:v>32.5</c:v>
                </c:pt>
                <c:pt idx="7">
                  <c:v>31.583333333333258</c:v>
                </c:pt>
                <c:pt idx="8">
                  <c:v>48.916666666666742</c:v>
                </c:pt>
                <c:pt idx="9">
                  <c:v>47.583333333333258</c:v>
                </c:pt>
                <c:pt idx="10">
                  <c:v>69.916666666666742</c:v>
                </c:pt>
                <c:pt idx="11">
                  <c:v>115.25</c:v>
                </c:pt>
                <c:pt idx="12">
                  <c:v>127.91666666666674</c:v>
                </c:pt>
                <c:pt idx="13">
                  <c:v>122.41666666666674</c:v>
                </c:pt>
                <c:pt idx="14">
                  <c:v>154.25</c:v>
                </c:pt>
                <c:pt idx="15">
                  <c:v>169.91666666666652</c:v>
                </c:pt>
                <c:pt idx="16">
                  <c:v>212.66666666666652</c:v>
                </c:pt>
                <c:pt idx="17">
                  <c:v>248.33333333333348</c:v>
                </c:pt>
                <c:pt idx="18">
                  <c:v>295.91666666666652</c:v>
                </c:pt>
                <c:pt idx="19">
                  <c:v>292.5</c:v>
                </c:pt>
                <c:pt idx="20">
                  <c:v>329.75</c:v>
                </c:pt>
                <c:pt idx="21">
                  <c:v>385.16666666666652</c:v>
                </c:pt>
              </c:numCache>
            </c:numRef>
          </c:val>
          <c:smooth val="0"/>
          <c:extLst>
            <c:ext xmlns:c16="http://schemas.microsoft.com/office/drawing/2014/chart" uri="{C3380CC4-5D6E-409C-BE32-E72D297353CC}">
              <c16:uniqueId val="{00000001-A41F-AE4C-AA9C-635FFBA410F1}"/>
            </c:ext>
          </c:extLst>
        </c:ser>
        <c:ser>
          <c:idx val="7"/>
          <c:order val="2"/>
          <c:tx>
            <c:strRef>
              <c:f>Etappes!$AB$24</c:f>
              <c:strCache>
                <c:ptCount val="1"/>
                <c:pt idx="0">
                  <c:v>Prof's ploegje</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1.75</c:v>
                </c:pt>
                <c:pt idx="1">
                  <c:v>14.916666666666686</c:v>
                </c:pt>
                <c:pt idx="2">
                  <c:v>34.666666666666686</c:v>
                </c:pt>
                <c:pt idx="3">
                  <c:v>24.5</c:v>
                </c:pt>
                <c:pt idx="4">
                  <c:v>27.833333333333371</c:v>
                </c:pt>
                <c:pt idx="5">
                  <c:v>41.5</c:v>
                </c:pt>
                <c:pt idx="6">
                  <c:v>50.5</c:v>
                </c:pt>
                <c:pt idx="7">
                  <c:v>42.583333333333258</c:v>
                </c:pt>
                <c:pt idx="8">
                  <c:v>47.916666666666742</c:v>
                </c:pt>
                <c:pt idx="9">
                  <c:v>43.583333333333258</c:v>
                </c:pt>
                <c:pt idx="10">
                  <c:v>67.916666666666742</c:v>
                </c:pt>
                <c:pt idx="11">
                  <c:v>62.25</c:v>
                </c:pt>
                <c:pt idx="12">
                  <c:v>78.916666666666742</c:v>
                </c:pt>
                <c:pt idx="13">
                  <c:v>46.416666666666742</c:v>
                </c:pt>
                <c:pt idx="14">
                  <c:v>54.25</c:v>
                </c:pt>
                <c:pt idx="15">
                  <c:v>49.916666666666515</c:v>
                </c:pt>
                <c:pt idx="16">
                  <c:v>47.666666666666515</c:v>
                </c:pt>
                <c:pt idx="17">
                  <c:v>59.333333333333485</c:v>
                </c:pt>
                <c:pt idx="18">
                  <c:v>57.916666666666515</c:v>
                </c:pt>
                <c:pt idx="19">
                  <c:v>61.5</c:v>
                </c:pt>
                <c:pt idx="20">
                  <c:v>65.75</c:v>
                </c:pt>
                <c:pt idx="21">
                  <c:v>99.166666666666515</c:v>
                </c:pt>
              </c:numCache>
            </c:numRef>
          </c:val>
          <c:smooth val="0"/>
          <c:extLst>
            <c:ext xmlns:c16="http://schemas.microsoft.com/office/drawing/2014/chart" uri="{C3380CC4-5D6E-409C-BE32-E72D297353CC}">
              <c16:uniqueId val="{00000002-A41F-AE4C-AA9C-635FFBA410F1}"/>
            </c:ext>
          </c:extLst>
        </c:ser>
        <c:ser>
          <c:idx val="6"/>
          <c:order val="3"/>
          <c:tx>
            <c:strRef>
              <c:f>Etappes!$AB$25</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-31.25</c:v>
                </c:pt>
                <c:pt idx="1">
                  <c:v>-44.083333333333314</c:v>
                </c:pt>
                <c:pt idx="2">
                  <c:v>-35.333333333333314</c:v>
                </c:pt>
                <c:pt idx="3">
                  <c:v>-30.5</c:v>
                </c:pt>
                <c:pt idx="4">
                  <c:v>-34.166666666666629</c:v>
                </c:pt>
                <c:pt idx="5">
                  <c:v>-19.5</c:v>
                </c:pt>
                <c:pt idx="6">
                  <c:v>-16.5</c:v>
                </c:pt>
                <c:pt idx="7">
                  <c:v>13.583333333333258</c:v>
                </c:pt>
                <c:pt idx="8">
                  <c:v>8.9166666666667425</c:v>
                </c:pt>
                <c:pt idx="9">
                  <c:v>1.5833333333332575</c:v>
                </c:pt>
                <c:pt idx="10">
                  <c:v>12.916666666666742</c:v>
                </c:pt>
                <c:pt idx="11">
                  <c:v>-0.75</c:v>
                </c:pt>
                <c:pt idx="12">
                  <c:v>-33.083333333333258</c:v>
                </c:pt>
                <c:pt idx="13">
                  <c:v>-32.583333333333258</c:v>
                </c:pt>
                <c:pt idx="14">
                  <c:v>-39.75</c:v>
                </c:pt>
                <c:pt idx="15">
                  <c:v>-22.083333333333485</c:v>
                </c:pt>
                <c:pt idx="16">
                  <c:v>-20.333333333333485</c:v>
                </c:pt>
                <c:pt idx="17">
                  <c:v>-6.6666666666665151</c:v>
                </c:pt>
                <c:pt idx="18">
                  <c:v>21.916666666666515</c:v>
                </c:pt>
                <c:pt idx="19">
                  <c:v>15.5</c:v>
                </c:pt>
                <c:pt idx="20">
                  <c:v>43.75</c:v>
                </c:pt>
                <c:pt idx="21">
                  <c:v>65.166666666666515</c:v>
                </c:pt>
              </c:numCache>
            </c:numRef>
          </c:val>
          <c:smooth val="0"/>
          <c:extLst>
            <c:ext xmlns:c16="http://schemas.microsoft.com/office/drawing/2014/chart" uri="{C3380CC4-5D6E-409C-BE32-E72D297353CC}">
              <c16:uniqueId val="{00000003-A41F-AE4C-AA9C-635FFBA410F1}"/>
            </c:ext>
          </c:extLst>
        </c:ser>
        <c:ser>
          <c:idx val="4"/>
          <c:order val="4"/>
          <c:tx>
            <c:strRef>
              <c:f>Etappes!$AB$26</c:f>
              <c:strCache>
                <c:ptCount val="1"/>
                <c:pt idx="0">
                  <c:v>Lothar blijft positief</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27.75</c:v>
                </c:pt>
                <c:pt idx="1">
                  <c:v>0.91666666666668561</c:v>
                </c:pt>
                <c:pt idx="2">
                  <c:v>-43.333333333333314</c:v>
                </c:pt>
                <c:pt idx="3">
                  <c:v>-67.5</c:v>
                </c:pt>
                <c:pt idx="4">
                  <c:v>-82.166666666666629</c:v>
                </c:pt>
                <c:pt idx="5">
                  <c:v>-13.5</c:v>
                </c:pt>
                <c:pt idx="6">
                  <c:v>29.5</c:v>
                </c:pt>
                <c:pt idx="7">
                  <c:v>85.583333333333258</c:v>
                </c:pt>
                <c:pt idx="8">
                  <c:v>104.91666666666674</c:v>
                </c:pt>
                <c:pt idx="9">
                  <c:v>110.58333333333326</c:v>
                </c:pt>
                <c:pt idx="10">
                  <c:v>144.91666666666674</c:v>
                </c:pt>
                <c:pt idx="11">
                  <c:v>197.25</c:v>
                </c:pt>
                <c:pt idx="12">
                  <c:v>200.91666666666674</c:v>
                </c:pt>
                <c:pt idx="13">
                  <c:v>234.41666666666674</c:v>
                </c:pt>
                <c:pt idx="14">
                  <c:v>216.25</c:v>
                </c:pt>
                <c:pt idx="15">
                  <c:v>209.91666666666652</c:v>
                </c:pt>
                <c:pt idx="16">
                  <c:v>231.66666666666652</c:v>
                </c:pt>
                <c:pt idx="17">
                  <c:v>248.33333333333348</c:v>
                </c:pt>
                <c:pt idx="18">
                  <c:v>249.91666666666652</c:v>
                </c:pt>
                <c:pt idx="19">
                  <c:v>264.5</c:v>
                </c:pt>
                <c:pt idx="20">
                  <c:v>237.75</c:v>
                </c:pt>
                <c:pt idx="21">
                  <c:v>268.16666666666652</c:v>
                </c:pt>
              </c:numCache>
            </c:numRef>
          </c:val>
          <c:smooth val="0"/>
          <c:extLst>
            <c:ext xmlns:c16="http://schemas.microsoft.com/office/drawing/2014/chart" uri="{C3380CC4-5D6E-409C-BE32-E72D297353CC}">
              <c16:uniqueId val="{00000004-A41F-AE4C-AA9C-635FFBA410F1}"/>
            </c:ext>
          </c:extLst>
        </c:ser>
        <c:ser>
          <c:idx val="9"/>
          <c:order val="5"/>
          <c:tx>
            <c:strRef>
              <c:f>Etappes!$AB$27</c:f>
              <c:strCache>
                <c:ptCount val="1"/>
                <c:pt idx="0">
                  <c:v>De Lange Man</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29.75</c:v>
                </c:pt>
                <c:pt idx="1">
                  <c:v>89.916666666666686</c:v>
                </c:pt>
                <c:pt idx="2">
                  <c:v>148.66666666666669</c:v>
                </c:pt>
                <c:pt idx="3">
                  <c:v>179.5</c:v>
                </c:pt>
                <c:pt idx="4">
                  <c:v>182.83333333333337</c:v>
                </c:pt>
                <c:pt idx="5">
                  <c:v>154.5</c:v>
                </c:pt>
                <c:pt idx="6">
                  <c:v>128.5</c:v>
                </c:pt>
                <c:pt idx="7">
                  <c:v>96.583333333333258</c:v>
                </c:pt>
                <c:pt idx="8">
                  <c:v>102.91666666666674</c:v>
                </c:pt>
                <c:pt idx="9">
                  <c:v>95.583333333333258</c:v>
                </c:pt>
                <c:pt idx="10">
                  <c:v>76.916666666666742</c:v>
                </c:pt>
                <c:pt idx="11">
                  <c:v>65.25</c:v>
                </c:pt>
                <c:pt idx="12">
                  <c:v>74.916666666666742</c:v>
                </c:pt>
                <c:pt idx="13">
                  <c:v>61.416666666666742</c:v>
                </c:pt>
                <c:pt idx="14">
                  <c:v>108.25</c:v>
                </c:pt>
                <c:pt idx="15">
                  <c:v>99.916666666666515</c:v>
                </c:pt>
                <c:pt idx="16">
                  <c:v>92.666666666666515</c:v>
                </c:pt>
                <c:pt idx="17">
                  <c:v>105.33333333333348</c:v>
                </c:pt>
                <c:pt idx="18">
                  <c:v>102.91666666666652</c:v>
                </c:pt>
                <c:pt idx="19">
                  <c:v>102.5</c:v>
                </c:pt>
                <c:pt idx="20">
                  <c:v>143.75</c:v>
                </c:pt>
                <c:pt idx="21">
                  <c:v>133.16666666666652</c:v>
                </c:pt>
              </c:numCache>
            </c:numRef>
          </c:val>
          <c:smooth val="0"/>
          <c:extLst>
            <c:ext xmlns:c16="http://schemas.microsoft.com/office/drawing/2014/chart" uri="{C3380CC4-5D6E-409C-BE32-E72D297353CC}">
              <c16:uniqueId val="{00000005-A41F-AE4C-AA9C-635FFBA410F1}"/>
            </c:ext>
          </c:extLst>
        </c:ser>
        <c:ser>
          <c:idx val="5"/>
          <c:order val="6"/>
          <c:tx>
            <c:strRef>
              <c:f>Etappes!$AB$28</c:f>
              <c:strCache>
                <c:ptCount val="1"/>
                <c:pt idx="0">
                  <c:v>El Gran</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9.75</c:v>
                </c:pt>
                <c:pt idx="1">
                  <c:v>45.916666666666686</c:v>
                </c:pt>
                <c:pt idx="2">
                  <c:v>86.666666666666686</c:v>
                </c:pt>
                <c:pt idx="3">
                  <c:v>103.5</c:v>
                </c:pt>
                <c:pt idx="4">
                  <c:v>105.83333333333337</c:v>
                </c:pt>
                <c:pt idx="5">
                  <c:v>81.5</c:v>
                </c:pt>
                <c:pt idx="6">
                  <c:v>73.5</c:v>
                </c:pt>
                <c:pt idx="7">
                  <c:v>62.583333333333258</c:v>
                </c:pt>
                <c:pt idx="8">
                  <c:v>40.916666666666742</c:v>
                </c:pt>
                <c:pt idx="9">
                  <c:v>33.583333333333258</c:v>
                </c:pt>
                <c:pt idx="10">
                  <c:v>17.916666666666742</c:v>
                </c:pt>
                <c:pt idx="11">
                  <c:v>-12.75</c:v>
                </c:pt>
                <c:pt idx="12">
                  <c:v>-5.0833333333332575</c:v>
                </c:pt>
                <c:pt idx="13">
                  <c:v>-42.583333333333258</c:v>
                </c:pt>
                <c:pt idx="14">
                  <c:v>-15.75</c:v>
                </c:pt>
                <c:pt idx="15">
                  <c:v>8.9166666666665151</c:v>
                </c:pt>
                <c:pt idx="16">
                  <c:v>-4.3333333333334849</c:v>
                </c:pt>
                <c:pt idx="17">
                  <c:v>2.3333333333334849</c:v>
                </c:pt>
                <c:pt idx="18">
                  <c:v>14.916666666666515</c:v>
                </c:pt>
                <c:pt idx="19">
                  <c:v>26.5</c:v>
                </c:pt>
                <c:pt idx="20">
                  <c:v>34.75</c:v>
                </c:pt>
                <c:pt idx="21">
                  <c:v>30.166666666666515</c:v>
                </c:pt>
              </c:numCache>
            </c:numRef>
          </c:val>
          <c:smooth val="0"/>
          <c:extLst>
            <c:ext xmlns:c16="http://schemas.microsoft.com/office/drawing/2014/chart" uri="{C3380CC4-5D6E-409C-BE32-E72D297353CC}">
              <c16:uniqueId val="{00000006-A41F-AE4C-AA9C-635FFBA410F1}"/>
            </c:ext>
          </c:extLst>
        </c:ser>
        <c:ser>
          <c:idx val="2"/>
          <c:order val="7"/>
          <c:tx>
            <c:strRef>
              <c:f>Etappes!$AB$29</c:f>
              <c:strCache>
                <c:ptCount val="1"/>
                <c:pt idx="0">
                  <c:v>Majella køp dr vør </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49.75</c:v>
                </c:pt>
                <c:pt idx="1">
                  <c:v>73.916666666666686</c:v>
                </c:pt>
                <c:pt idx="2">
                  <c:v>89.666666666666686</c:v>
                </c:pt>
                <c:pt idx="3">
                  <c:v>101.5</c:v>
                </c:pt>
                <c:pt idx="4">
                  <c:v>105.83333333333337</c:v>
                </c:pt>
                <c:pt idx="5">
                  <c:v>122.5</c:v>
                </c:pt>
                <c:pt idx="6">
                  <c:v>144.5</c:v>
                </c:pt>
                <c:pt idx="7">
                  <c:v>150.58333333333326</c:v>
                </c:pt>
                <c:pt idx="8">
                  <c:v>177.91666666666674</c:v>
                </c:pt>
                <c:pt idx="9">
                  <c:v>182.58333333333326</c:v>
                </c:pt>
                <c:pt idx="10">
                  <c:v>229.91666666666674</c:v>
                </c:pt>
                <c:pt idx="11">
                  <c:v>267.25</c:v>
                </c:pt>
                <c:pt idx="12">
                  <c:v>301.91666666666674</c:v>
                </c:pt>
                <c:pt idx="13">
                  <c:v>337.41666666666674</c:v>
                </c:pt>
                <c:pt idx="14">
                  <c:v>367.25</c:v>
                </c:pt>
                <c:pt idx="15">
                  <c:v>357.91666666666652</c:v>
                </c:pt>
                <c:pt idx="16">
                  <c:v>380.66666666666652</c:v>
                </c:pt>
                <c:pt idx="17">
                  <c:v>406.33333333333348</c:v>
                </c:pt>
                <c:pt idx="18">
                  <c:v>433.91666666666652</c:v>
                </c:pt>
                <c:pt idx="19">
                  <c:v>464.5</c:v>
                </c:pt>
                <c:pt idx="20">
                  <c:v>499.75</c:v>
                </c:pt>
                <c:pt idx="21">
                  <c:v>573.16666666666652</c:v>
                </c:pt>
              </c:numCache>
            </c:numRef>
          </c:val>
          <c:smooth val="0"/>
          <c:extLst>
            <c:ext xmlns:c16="http://schemas.microsoft.com/office/drawing/2014/chart" uri="{C3380CC4-5D6E-409C-BE32-E72D297353CC}">
              <c16:uniqueId val="{00000007-A41F-AE4C-AA9C-635FFBA410F1}"/>
            </c:ext>
          </c:extLst>
        </c:ser>
        <c:ser>
          <c:idx val="10"/>
          <c:order val="8"/>
          <c:tx>
            <c:strRef>
              <c:f>Etappes!$AB$30</c:f>
              <c:strCache>
                <c:ptCount val="1"/>
                <c:pt idx="0">
                  <c:v>Freaky's manke Kruisbandjes</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-40.25</c:v>
                </c:pt>
                <c:pt idx="1">
                  <c:v>-108.08333333333331</c:v>
                </c:pt>
                <c:pt idx="2">
                  <c:v>-178.33333333333331</c:v>
                </c:pt>
                <c:pt idx="3">
                  <c:v>-245.5</c:v>
                </c:pt>
                <c:pt idx="4">
                  <c:v>-271.16666666666663</c:v>
                </c:pt>
                <c:pt idx="5">
                  <c:v>-305.5</c:v>
                </c:pt>
                <c:pt idx="6">
                  <c:v>-322.5</c:v>
                </c:pt>
                <c:pt idx="7">
                  <c:v>-351.41666666666674</c:v>
                </c:pt>
                <c:pt idx="8">
                  <c:v>-334.08333333333326</c:v>
                </c:pt>
                <c:pt idx="9">
                  <c:v>-319.41666666666674</c:v>
                </c:pt>
                <c:pt idx="10">
                  <c:v>-341.08333333333326</c:v>
                </c:pt>
                <c:pt idx="11">
                  <c:v>-358.75</c:v>
                </c:pt>
                <c:pt idx="12">
                  <c:v>-406.08333333333326</c:v>
                </c:pt>
                <c:pt idx="13">
                  <c:v>-417.58333333333326</c:v>
                </c:pt>
                <c:pt idx="14">
                  <c:v>-471.75</c:v>
                </c:pt>
                <c:pt idx="15">
                  <c:v>-448.08333333333348</c:v>
                </c:pt>
                <c:pt idx="16">
                  <c:v>-452.33333333333348</c:v>
                </c:pt>
                <c:pt idx="17">
                  <c:v>-462.66666666666652</c:v>
                </c:pt>
                <c:pt idx="18">
                  <c:v>-517.08333333333348</c:v>
                </c:pt>
                <c:pt idx="19">
                  <c:v>-527.5</c:v>
                </c:pt>
                <c:pt idx="20">
                  <c:v>-591.25</c:v>
                </c:pt>
                <c:pt idx="21">
                  <c:v>-624.83333333333348</c:v>
                </c:pt>
              </c:numCache>
            </c:numRef>
          </c:val>
          <c:smooth val="0"/>
          <c:extLst>
            <c:ext xmlns:c16="http://schemas.microsoft.com/office/drawing/2014/chart" uri="{C3380CC4-5D6E-409C-BE32-E72D297353CC}">
              <c16:uniqueId val="{00000008-A41F-AE4C-AA9C-635FFBA410F1}"/>
            </c:ext>
          </c:extLst>
        </c:ser>
        <c:ser>
          <c:idx val="0"/>
          <c:order val="9"/>
          <c:tx>
            <c:strRef>
              <c:f>Etappes!$AB$31</c:f>
              <c:strCache>
                <c:ptCount val="1"/>
                <c:pt idx="0">
                  <c:v>IJffjes Boys</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-14.25</c:v>
                </c:pt>
                <c:pt idx="1">
                  <c:v>14.916666666666686</c:v>
                </c:pt>
                <c:pt idx="2">
                  <c:v>33.666666666666686</c:v>
                </c:pt>
                <c:pt idx="3">
                  <c:v>102.5</c:v>
                </c:pt>
                <c:pt idx="4">
                  <c:v>110.83333333333337</c:v>
                </c:pt>
                <c:pt idx="5">
                  <c:v>82.5</c:v>
                </c:pt>
                <c:pt idx="6">
                  <c:v>25.5</c:v>
                </c:pt>
                <c:pt idx="7">
                  <c:v>16.583333333333258</c:v>
                </c:pt>
                <c:pt idx="8">
                  <c:v>-29.083333333333258</c:v>
                </c:pt>
                <c:pt idx="9">
                  <c:v>-46.416666666666742</c:v>
                </c:pt>
                <c:pt idx="10">
                  <c:v>-80.083333333333258</c:v>
                </c:pt>
                <c:pt idx="11">
                  <c:v>-117.75</c:v>
                </c:pt>
                <c:pt idx="12">
                  <c:v>-123.08333333333326</c:v>
                </c:pt>
                <c:pt idx="13">
                  <c:v>-128.58333333333326</c:v>
                </c:pt>
                <c:pt idx="14">
                  <c:v>-102.75</c:v>
                </c:pt>
                <c:pt idx="15">
                  <c:v>-120.08333333333348</c:v>
                </c:pt>
                <c:pt idx="16">
                  <c:v>-158.33333333333348</c:v>
                </c:pt>
                <c:pt idx="17">
                  <c:v>-215.66666666666652</c:v>
                </c:pt>
                <c:pt idx="18">
                  <c:v>-224.08333333333348</c:v>
                </c:pt>
                <c:pt idx="19">
                  <c:v>-250.5</c:v>
                </c:pt>
                <c:pt idx="20">
                  <c:v>-228.25</c:v>
                </c:pt>
                <c:pt idx="21">
                  <c:v>-306.83333333333348</c:v>
                </c:pt>
              </c:numCache>
            </c:numRef>
          </c:val>
          <c:smooth val="0"/>
          <c:extLst>
            <c:ext xmlns:c16="http://schemas.microsoft.com/office/drawing/2014/chart" uri="{C3380CC4-5D6E-409C-BE32-E72D297353CC}">
              <c16:uniqueId val="{00000009-A41F-AE4C-AA9C-635FFBA410F1}"/>
            </c:ext>
          </c:extLst>
        </c:ser>
        <c:ser>
          <c:idx val="1"/>
          <c:order val="10"/>
          <c:tx>
            <c:strRef>
              <c:f>Etappes!$AB$32</c:f>
              <c:strCache>
                <c:ptCount val="1"/>
                <c:pt idx="0">
                  <c:v>Am Selfkant</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-4.25</c:v>
                </c:pt>
                <c:pt idx="1">
                  <c:v>-15.083333333333314</c:v>
                </c:pt>
                <c:pt idx="2">
                  <c:v>-36.333333333333314</c:v>
                </c:pt>
                <c:pt idx="3">
                  <c:v>-33.5</c:v>
                </c:pt>
                <c:pt idx="4">
                  <c:v>-26.166666666666629</c:v>
                </c:pt>
                <c:pt idx="5">
                  <c:v>-86.5</c:v>
                </c:pt>
                <c:pt idx="6">
                  <c:v>-117.5</c:v>
                </c:pt>
                <c:pt idx="7">
                  <c:v>-152.41666666666674</c:v>
                </c:pt>
                <c:pt idx="8">
                  <c:v>-174.08333333333326</c:v>
                </c:pt>
                <c:pt idx="9">
                  <c:v>-147.41666666666674</c:v>
                </c:pt>
                <c:pt idx="10">
                  <c:v>-210.08333333333326</c:v>
                </c:pt>
                <c:pt idx="11">
                  <c:v>-229.75</c:v>
                </c:pt>
                <c:pt idx="12">
                  <c:v>-226.08333333333326</c:v>
                </c:pt>
                <c:pt idx="13">
                  <c:v>-234.58333333333326</c:v>
                </c:pt>
                <c:pt idx="14">
                  <c:v>-260.75</c:v>
                </c:pt>
                <c:pt idx="15">
                  <c:v>-263.08333333333348</c:v>
                </c:pt>
                <c:pt idx="16">
                  <c:v>-310.33333333333348</c:v>
                </c:pt>
                <c:pt idx="17">
                  <c:v>-364.66666666666652</c:v>
                </c:pt>
                <c:pt idx="18">
                  <c:v>-405.08333333333348</c:v>
                </c:pt>
                <c:pt idx="19">
                  <c:v>-412.5</c:v>
                </c:pt>
                <c:pt idx="20">
                  <c:v>-458.25</c:v>
                </c:pt>
                <c:pt idx="21">
                  <c:v>-555.83333333333348</c:v>
                </c:pt>
              </c:numCache>
            </c:numRef>
          </c:val>
          <c:smooth val="0"/>
          <c:extLst>
            <c:ext xmlns:c16="http://schemas.microsoft.com/office/drawing/2014/chart" uri="{C3380CC4-5D6E-409C-BE32-E72D297353CC}">
              <c16:uniqueId val="{00000000-001E-47A8-9DA9-FA6E975A385D}"/>
            </c:ext>
          </c:extLst>
        </c:ser>
        <c:ser>
          <c:idx val="11"/>
          <c:order val="11"/>
          <c:tx>
            <c:strRef>
              <c:f>Etappes!$AB$33</c:f>
              <c:strCache>
                <c:ptCount val="1"/>
                <c:pt idx="0">
                  <c:v>Kol de la Madeleine</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Etappes!$AC$33:$AX$33</c:f>
              <c:numCache>
                <c:formatCode>0</c:formatCode>
                <c:ptCount val="22"/>
                <c:pt idx="0">
                  <c:v>-19.25</c:v>
                </c:pt>
                <c:pt idx="1">
                  <c:v>-65.083333333333314</c:v>
                </c:pt>
                <c:pt idx="2">
                  <c:v>-106.33333333333331</c:v>
                </c:pt>
                <c:pt idx="3">
                  <c:v>-129.5</c:v>
                </c:pt>
                <c:pt idx="4">
                  <c:v>-117.16666666666663</c:v>
                </c:pt>
                <c:pt idx="5">
                  <c:v>-115.5</c:v>
                </c:pt>
                <c:pt idx="6">
                  <c:v>-126.5</c:v>
                </c:pt>
                <c:pt idx="7">
                  <c:v>-136.41666666666674</c:v>
                </c:pt>
                <c:pt idx="8">
                  <c:v>-153.08333333333326</c:v>
                </c:pt>
                <c:pt idx="9">
                  <c:v>-158.41666666666674</c:v>
                </c:pt>
                <c:pt idx="10">
                  <c:v>-168.08333333333326</c:v>
                </c:pt>
                <c:pt idx="11">
                  <c:v>-177.75</c:v>
                </c:pt>
                <c:pt idx="12">
                  <c:v>-202.08333333333326</c:v>
                </c:pt>
                <c:pt idx="13">
                  <c:v>-177.58333333333326</c:v>
                </c:pt>
                <c:pt idx="14">
                  <c:v>-231.75</c:v>
                </c:pt>
                <c:pt idx="15">
                  <c:v>-273.08333333333348</c:v>
                </c:pt>
                <c:pt idx="16">
                  <c:v>-270.33333333333348</c:v>
                </c:pt>
                <c:pt idx="17">
                  <c:v>-286.66666666666652</c:v>
                </c:pt>
                <c:pt idx="18">
                  <c:v>-294.08333333333348</c:v>
                </c:pt>
                <c:pt idx="19">
                  <c:v>-308.5</c:v>
                </c:pt>
                <c:pt idx="20">
                  <c:v>-319.25</c:v>
                </c:pt>
                <c:pt idx="21">
                  <c:v>-327.83333333333348</c:v>
                </c:pt>
              </c:numCache>
            </c:numRef>
          </c:val>
          <c:smooth val="0"/>
          <c:extLst>
            <c:ext xmlns:c16="http://schemas.microsoft.com/office/drawing/2014/chart" uri="{C3380CC4-5D6E-409C-BE32-E72D297353CC}">
              <c16:uniqueId val="{00000001-5F7D-4E90-979A-501DBA859CF8}"/>
            </c:ext>
          </c:extLst>
        </c:ser>
        <c:ser>
          <c:idx val="12"/>
          <c:order val="12"/>
          <c:tx>
            <c:strRef>
              <c:f>Etappes!#REF!</c:f>
              <c:strCache>
                <c:ptCount val="1"/>
                <c:pt idx="0">
                  <c:v>#VERW!</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Cache>
                <c:formatCode>General</c:formatCode>
                <c:ptCount val="1"/>
                <c:pt idx="0">
                  <c:v>1</c:v>
                </c:pt>
              </c:numCache>
            </c:numRef>
          </c:val>
          <c:smooth val="0"/>
          <c:extLst>
            <c:ext xmlns:c16="http://schemas.microsoft.com/office/drawing/2014/chart" uri="{C3380CC4-5D6E-409C-BE32-E72D297353CC}">
              <c16:uniqueId val="{00000002-5F7D-4E90-979A-501DBA859CF8}"/>
            </c:ext>
          </c:extLst>
        </c:ser>
        <c:dLbls>
          <c:showLegendKey val="0"/>
          <c:showVal val="0"/>
          <c:showCatName val="0"/>
          <c:showSerName val="0"/>
          <c:showPercent val="0"/>
          <c:showBubbleSize val="0"/>
        </c:dLbls>
        <c:marker val="1"/>
        <c:smooth val="0"/>
        <c:axId val="118492160"/>
        <c:axId val="118510336"/>
      </c:lineChart>
      <c:catAx>
        <c:axId val="118492160"/>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18510336"/>
        <c:crosses val="autoZero"/>
        <c:auto val="1"/>
        <c:lblAlgn val="ctr"/>
        <c:lblOffset val="100"/>
        <c:tickLblSkip val="1"/>
        <c:tickMarkSkip val="1"/>
        <c:noMultiLvlLbl val="0"/>
      </c:catAx>
      <c:valAx>
        <c:axId val="118510336"/>
        <c:scaling>
          <c:orientation val="minMax"/>
          <c:min val="-5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18492160"/>
        <c:crosses val="autoZero"/>
        <c:crossBetween val="midCat"/>
        <c:majorUnit val="50"/>
      </c:valAx>
      <c:spPr>
        <a:noFill/>
        <a:ln w="25400">
          <a:noFill/>
        </a:ln>
      </c:spPr>
    </c:plotArea>
    <c:legend>
      <c:legendPos val="r"/>
      <c:legendEntry>
        <c:idx val="12"/>
        <c:delete val="1"/>
      </c:legendEntry>
      <c:layout>
        <c:manualLayout>
          <c:xMode val="edge"/>
          <c:yMode val="edge"/>
          <c:x val="3.7554209225938218E-2"/>
          <c:y val="0.89943506530191208"/>
          <c:w val="0.95722427904092444"/>
          <c:h val="0.10056493469808278"/>
        </c:manualLayout>
      </c:layout>
      <c:overlay val="0"/>
      <c:spPr>
        <a:solidFill>
          <a:srgbClr val="333333">
            <a:alpha val="50196"/>
          </a:srgbClr>
        </a:solid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2022 - het peleton</a:t>
            </a:r>
          </a:p>
        </c:rich>
      </c:tx>
      <c:layout>
        <c:manualLayout>
          <c:xMode val="edge"/>
          <c:yMode val="edge"/>
          <c:x val="0.33092037228545568"/>
          <c:y val="2.0338983050847428E-2"/>
        </c:manualLayout>
      </c:layout>
      <c:overlay val="0"/>
      <c:spPr>
        <a:noFill/>
        <a:ln w="25400">
          <a:noFill/>
        </a:ln>
      </c:spPr>
    </c:title>
    <c:autoTitleDeleted val="0"/>
    <c:plotArea>
      <c:layout>
        <c:manualLayout>
          <c:layoutTarget val="inner"/>
          <c:xMode val="edge"/>
          <c:yMode val="edge"/>
          <c:x val="1.9648397104446741E-2"/>
          <c:y val="0.10508474576271733"/>
          <c:w val="0.93726301275422252"/>
          <c:h val="0.7525423728813555"/>
        </c:manualLayout>
      </c:layout>
      <c:lineChart>
        <c:grouping val="standard"/>
        <c:varyColors val="0"/>
        <c:ser>
          <c:idx val="3"/>
          <c:order val="0"/>
          <c:tx>
            <c:strRef>
              <c:f>Etappes!$AB$22</c:f>
              <c:strCache>
                <c:ptCount val="1"/>
                <c:pt idx="0">
                  <c:v>Onder de vod</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5.75</c:v>
                </c:pt>
                <c:pt idx="1">
                  <c:v>-8.3333333333314386E-2</c:v>
                </c:pt>
                <c:pt idx="2">
                  <c:v>-0.33333333333331439</c:v>
                </c:pt>
                <c:pt idx="3">
                  <c:v>3.5</c:v>
                </c:pt>
                <c:pt idx="4">
                  <c:v>4.8333333333333712</c:v>
                </c:pt>
                <c:pt idx="5">
                  <c:v>48.5</c:v>
                </c:pt>
                <c:pt idx="6">
                  <c:v>98.5</c:v>
                </c:pt>
                <c:pt idx="7">
                  <c:v>140.58333333333326</c:v>
                </c:pt>
                <c:pt idx="8">
                  <c:v>157.91666666666674</c:v>
                </c:pt>
                <c:pt idx="9">
                  <c:v>156.58333333333326</c:v>
                </c:pt>
                <c:pt idx="10">
                  <c:v>178.91666666666674</c:v>
                </c:pt>
                <c:pt idx="11">
                  <c:v>190.25</c:v>
                </c:pt>
                <c:pt idx="12">
                  <c:v>210.91666666666674</c:v>
                </c:pt>
                <c:pt idx="13">
                  <c:v>231.41666666666674</c:v>
                </c:pt>
                <c:pt idx="14">
                  <c:v>222.25</c:v>
                </c:pt>
                <c:pt idx="15">
                  <c:v>229.91666666666652</c:v>
                </c:pt>
                <c:pt idx="16">
                  <c:v>250.66666666666652</c:v>
                </c:pt>
                <c:pt idx="17">
                  <c:v>266.33333333333348</c:v>
                </c:pt>
                <c:pt idx="18">
                  <c:v>262.91666666666652</c:v>
                </c:pt>
                <c:pt idx="19">
                  <c:v>271.5</c:v>
                </c:pt>
                <c:pt idx="20">
                  <c:v>241.75</c:v>
                </c:pt>
                <c:pt idx="21">
                  <c:v>261.16666666666652</c:v>
                </c:pt>
              </c:numCache>
            </c:numRef>
          </c:val>
          <c:smooth val="0"/>
          <c:extLst>
            <c:ext xmlns:c16="http://schemas.microsoft.com/office/drawing/2014/chart" uri="{C3380CC4-5D6E-409C-BE32-E72D297353CC}">
              <c16:uniqueId val="{00000000-97C4-480F-B046-9BDF03E2FC65}"/>
            </c:ext>
          </c:extLst>
        </c:ser>
        <c:ser>
          <c:idx val="8"/>
          <c:order val="1"/>
          <c:tx>
            <c:strRef>
              <c:f>Etappes!$AB$23</c:f>
              <c:strCache>
                <c:ptCount val="1"/>
                <c:pt idx="0">
                  <c:v>Tins Tour Toppers</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-15.25</c:v>
                </c:pt>
                <c:pt idx="1">
                  <c:v>-8.0833333333333144</c:v>
                </c:pt>
                <c:pt idx="2">
                  <c:v>6.6666666666666856</c:v>
                </c:pt>
                <c:pt idx="3">
                  <c:v>-8.5</c:v>
                </c:pt>
                <c:pt idx="4">
                  <c:v>-7.1666666666666288</c:v>
                </c:pt>
                <c:pt idx="5">
                  <c:v>9.5</c:v>
                </c:pt>
                <c:pt idx="6">
                  <c:v>32.5</c:v>
                </c:pt>
                <c:pt idx="7">
                  <c:v>31.583333333333258</c:v>
                </c:pt>
                <c:pt idx="8">
                  <c:v>48.916666666666742</c:v>
                </c:pt>
                <c:pt idx="9">
                  <c:v>47.583333333333258</c:v>
                </c:pt>
                <c:pt idx="10">
                  <c:v>69.916666666666742</c:v>
                </c:pt>
                <c:pt idx="11">
                  <c:v>115.25</c:v>
                </c:pt>
                <c:pt idx="12">
                  <c:v>127.91666666666674</c:v>
                </c:pt>
                <c:pt idx="13">
                  <c:v>122.41666666666674</c:v>
                </c:pt>
                <c:pt idx="14">
                  <c:v>154.25</c:v>
                </c:pt>
                <c:pt idx="15">
                  <c:v>169.91666666666652</c:v>
                </c:pt>
                <c:pt idx="16">
                  <c:v>212.66666666666652</c:v>
                </c:pt>
                <c:pt idx="17">
                  <c:v>248.33333333333348</c:v>
                </c:pt>
                <c:pt idx="18">
                  <c:v>295.91666666666652</c:v>
                </c:pt>
                <c:pt idx="19">
                  <c:v>292.5</c:v>
                </c:pt>
                <c:pt idx="20">
                  <c:v>329.75</c:v>
                </c:pt>
                <c:pt idx="21">
                  <c:v>385.16666666666652</c:v>
                </c:pt>
              </c:numCache>
            </c:numRef>
          </c:val>
          <c:smooth val="0"/>
          <c:extLst>
            <c:ext xmlns:c16="http://schemas.microsoft.com/office/drawing/2014/chart" uri="{C3380CC4-5D6E-409C-BE32-E72D297353CC}">
              <c16:uniqueId val="{00000001-97C4-480F-B046-9BDF03E2FC65}"/>
            </c:ext>
          </c:extLst>
        </c:ser>
        <c:ser>
          <c:idx val="7"/>
          <c:order val="2"/>
          <c:tx>
            <c:strRef>
              <c:f>Etappes!$AB$24</c:f>
              <c:strCache>
                <c:ptCount val="1"/>
                <c:pt idx="0">
                  <c:v>Prof's ploegje</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1.75</c:v>
                </c:pt>
                <c:pt idx="1">
                  <c:v>14.916666666666686</c:v>
                </c:pt>
                <c:pt idx="2">
                  <c:v>34.666666666666686</c:v>
                </c:pt>
                <c:pt idx="3">
                  <c:v>24.5</c:v>
                </c:pt>
                <c:pt idx="4">
                  <c:v>27.833333333333371</c:v>
                </c:pt>
                <c:pt idx="5">
                  <c:v>41.5</c:v>
                </c:pt>
                <c:pt idx="6">
                  <c:v>50.5</c:v>
                </c:pt>
                <c:pt idx="7">
                  <c:v>42.583333333333258</c:v>
                </c:pt>
                <c:pt idx="8">
                  <c:v>47.916666666666742</c:v>
                </c:pt>
                <c:pt idx="9">
                  <c:v>43.583333333333258</c:v>
                </c:pt>
                <c:pt idx="10">
                  <c:v>67.916666666666742</c:v>
                </c:pt>
                <c:pt idx="11">
                  <c:v>62.25</c:v>
                </c:pt>
                <c:pt idx="12">
                  <c:v>78.916666666666742</c:v>
                </c:pt>
                <c:pt idx="13">
                  <c:v>46.416666666666742</c:v>
                </c:pt>
                <c:pt idx="14">
                  <c:v>54.25</c:v>
                </c:pt>
                <c:pt idx="15">
                  <c:v>49.916666666666515</c:v>
                </c:pt>
                <c:pt idx="16">
                  <c:v>47.666666666666515</c:v>
                </c:pt>
                <c:pt idx="17">
                  <c:v>59.333333333333485</c:v>
                </c:pt>
                <c:pt idx="18">
                  <c:v>57.916666666666515</c:v>
                </c:pt>
                <c:pt idx="19">
                  <c:v>61.5</c:v>
                </c:pt>
                <c:pt idx="20">
                  <c:v>65.75</c:v>
                </c:pt>
                <c:pt idx="21">
                  <c:v>99.166666666666515</c:v>
                </c:pt>
              </c:numCache>
            </c:numRef>
          </c:val>
          <c:smooth val="0"/>
          <c:extLst>
            <c:ext xmlns:c16="http://schemas.microsoft.com/office/drawing/2014/chart" uri="{C3380CC4-5D6E-409C-BE32-E72D297353CC}">
              <c16:uniqueId val="{00000002-97C4-480F-B046-9BDF03E2FC65}"/>
            </c:ext>
          </c:extLst>
        </c:ser>
        <c:ser>
          <c:idx val="6"/>
          <c:order val="3"/>
          <c:tx>
            <c:strRef>
              <c:f>Etappes!$AB$25</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-31.25</c:v>
                </c:pt>
                <c:pt idx="1">
                  <c:v>-44.083333333333314</c:v>
                </c:pt>
                <c:pt idx="2">
                  <c:v>-35.333333333333314</c:v>
                </c:pt>
                <c:pt idx="3">
                  <c:v>-30.5</c:v>
                </c:pt>
                <c:pt idx="4">
                  <c:v>-34.166666666666629</c:v>
                </c:pt>
                <c:pt idx="5">
                  <c:v>-19.5</c:v>
                </c:pt>
                <c:pt idx="6">
                  <c:v>-16.5</c:v>
                </c:pt>
                <c:pt idx="7">
                  <c:v>13.583333333333258</c:v>
                </c:pt>
                <c:pt idx="8">
                  <c:v>8.9166666666667425</c:v>
                </c:pt>
                <c:pt idx="9">
                  <c:v>1.5833333333332575</c:v>
                </c:pt>
                <c:pt idx="10">
                  <c:v>12.916666666666742</c:v>
                </c:pt>
                <c:pt idx="11">
                  <c:v>-0.75</c:v>
                </c:pt>
                <c:pt idx="12">
                  <c:v>-33.083333333333258</c:v>
                </c:pt>
                <c:pt idx="13">
                  <c:v>-32.583333333333258</c:v>
                </c:pt>
                <c:pt idx="14">
                  <c:v>-39.75</c:v>
                </c:pt>
                <c:pt idx="15">
                  <c:v>-22.083333333333485</c:v>
                </c:pt>
                <c:pt idx="16">
                  <c:v>-20.333333333333485</c:v>
                </c:pt>
                <c:pt idx="17">
                  <c:v>-6.6666666666665151</c:v>
                </c:pt>
                <c:pt idx="18">
                  <c:v>21.916666666666515</c:v>
                </c:pt>
                <c:pt idx="19">
                  <c:v>15.5</c:v>
                </c:pt>
                <c:pt idx="20">
                  <c:v>43.75</c:v>
                </c:pt>
                <c:pt idx="21">
                  <c:v>65.166666666666515</c:v>
                </c:pt>
              </c:numCache>
            </c:numRef>
          </c:val>
          <c:smooth val="0"/>
          <c:extLst>
            <c:ext xmlns:c16="http://schemas.microsoft.com/office/drawing/2014/chart" uri="{C3380CC4-5D6E-409C-BE32-E72D297353CC}">
              <c16:uniqueId val="{00000003-97C4-480F-B046-9BDF03E2FC65}"/>
            </c:ext>
          </c:extLst>
        </c:ser>
        <c:ser>
          <c:idx val="4"/>
          <c:order val="4"/>
          <c:tx>
            <c:strRef>
              <c:f>Etappes!$AB$26</c:f>
              <c:strCache>
                <c:ptCount val="1"/>
                <c:pt idx="0">
                  <c:v>Lothar blijft positief</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27.75</c:v>
                </c:pt>
                <c:pt idx="1">
                  <c:v>0.91666666666668561</c:v>
                </c:pt>
                <c:pt idx="2">
                  <c:v>-43.333333333333314</c:v>
                </c:pt>
                <c:pt idx="3">
                  <c:v>-67.5</c:v>
                </c:pt>
                <c:pt idx="4">
                  <c:v>-82.166666666666629</c:v>
                </c:pt>
                <c:pt idx="5">
                  <c:v>-13.5</c:v>
                </c:pt>
                <c:pt idx="6">
                  <c:v>29.5</c:v>
                </c:pt>
                <c:pt idx="7">
                  <c:v>85.583333333333258</c:v>
                </c:pt>
                <c:pt idx="8">
                  <c:v>104.91666666666674</c:v>
                </c:pt>
                <c:pt idx="9">
                  <c:v>110.58333333333326</c:v>
                </c:pt>
                <c:pt idx="10">
                  <c:v>144.91666666666674</c:v>
                </c:pt>
                <c:pt idx="11">
                  <c:v>197.25</c:v>
                </c:pt>
                <c:pt idx="12">
                  <c:v>200.91666666666674</c:v>
                </c:pt>
                <c:pt idx="13">
                  <c:v>234.41666666666674</c:v>
                </c:pt>
                <c:pt idx="14">
                  <c:v>216.25</c:v>
                </c:pt>
                <c:pt idx="15">
                  <c:v>209.91666666666652</c:v>
                </c:pt>
                <c:pt idx="16">
                  <c:v>231.66666666666652</c:v>
                </c:pt>
                <c:pt idx="17">
                  <c:v>248.33333333333348</c:v>
                </c:pt>
                <c:pt idx="18">
                  <c:v>249.91666666666652</c:v>
                </c:pt>
                <c:pt idx="19">
                  <c:v>264.5</c:v>
                </c:pt>
                <c:pt idx="20">
                  <c:v>237.75</c:v>
                </c:pt>
                <c:pt idx="21">
                  <c:v>268.16666666666652</c:v>
                </c:pt>
              </c:numCache>
            </c:numRef>
          </c:val>
          <c:smooth val="0"/>
          <c:extLst>
            <c:ext xmlns:c16="http://schemas.microsoft.com/office/drawing/2014/chart" uri="{C3380CC4-5D6E-409C-BE32-E72D297353CC}">
              <c16:uniqueId val="{00000004-97C4-480F-B046-9BDF03E2FC65}"/>
            </c:ext>
          </c:extLst>
        </c:ser>
        <c:ser>
          <c:idx val="9"/>
          <c:order val="5"/>
          <c:tx>
            <c:strRef>
              <c:f>Etappes!$AB$27</c:f>
              <c:strCache>
                <c:ptCount val="1"/>
                <c:pt idx="0">
                  <c:v>De Lange Man</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29.75</c:v>
                </c:pt>
                <c:pt idx="1">
                  <c:v>89.916666666666686</c:v>
                </c:pt>
                <c:pt idx="2">
                  <c:v>148.66666666666669</c:v>
                </c:pt>
                <c:pt idx="3">
                  <c:v>179.5</c:v>
                </c:pt>
                <c:pt idx="4">
                  <c:v>182.83333333333337</c:v>
                </c:pt>
                <c:pt idx="5">
                  <c:v>154.5</c:v>
                </c:pt>
                <c:pt idx="6">
                  <c:v>128.5</c:v>
                </c:pt>
                <c:pt idx="7">
                  <c:v>96.583333333333258</c:v>
                </c:pt>
                <c:pt idx="8">
                  <c:v>102.91666666666674</c:v>
                </c:pt>
                <c:pt idx="9">
                  <c:v>95.583333333333258</c:v>
                </c:pt>
                <c:pt idx="10">
                  <c:v>76.916666666666742</c:v>
                </c:pt>
                <c:pt idx="11">
                  <c:v>65.25</c:v>
                </c:pt>
                <c:pt idx="12">
                  <c:v>74.916666666666742</c:v>
                </c:pt>
                <c:pt idx="13">
                  <c:v>61.416666666666742</c:v>
                </c:pt>
                <c:pt idx="14">
                  <c:v>108.25</c:v>
                </c:pt>
                <c:pt idx="15">
                  <c:v>99.916666666666515</c:v>
                </c:pt>
                <c:pt idx="16">
                  <c:v>92.666666666666515</c:v>
                </c:pt>
                <c:pt idx="17">
                  <c:v>105.33333333333348</c:v>
                </c:pt>
                <c:pt idx="18">
                  <c:v>102.91666666666652</c:v>
                </c:pt>
                <c:pt idx="19">
                  <c:v>102.5</c:v>
                </c:pt>
                <c:pt idx="20">
                  <c:v>143.75</c:v>
                </c:pt>
                <c:pt idx="21">
                  <c:v>133.16666666666652</c:v>
                </c:pt>
              </c:numCache>
            </c:numRef>
          </c:val>
          <c:smooth val="0"/>
          <c:extLst>
            <c:ext xmlns:c16="http://schemas.microsoft.com/office/drawing/2014/chart" uri="{C3380CC4-5D6E-409C-BE32-E72D297353CC}">
              <c16:uniqueId val="{00000005-97C4-480F-B046-9BDF03E2FC65}"/>
            </c:ext>
          </c:extLst>
        </c:ser>
        <c:ser>
          <c:idx val="5"/>
          <c:order val="6"/>
          <c:tx>
            <c:strRef>
              <c:f>Etappes!$AB$28</c:f>
              <c:strCache>
                <c:ptCount val="1"/>
                <c:pt idx="0">
                  <c:v>El Gran</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9.75</c:v>
                </c:pt>
                <c:pt idx="1">
                  <c:v>45.916666666666686</c:v>
                </c:pt>
                <c:pt idx="2">
                  <c:v>86.666666666666686</c:v>
                </c:pt>
                <c:pt idx="3">
                  <c:v>103.5</c:v>
                </c:pt>
                <c:pt idx="4">
                  <c:v>105.83333333333337</c:v>
                </c:pt>
                <c:pt idx="5">
                  <c:v>81.5</c:v>
                </c:pt>
                <c:pt idx="6">
                  <c:v>73.5</c:v>
                </c:pt>
                <c:pt idx="7">
                  <c:v>62.583333333333258</c:v>
                </c:pt>
                <c:pt idx="8">
                  <c:v>40.916666666666742</c:v>
                </c:pt>
                <c:pt idx="9">
                  <c:v>33.583333333333258</c:v>
                </c:pt>
                <c:pt idx="10">
                  <c:v>17.916666666666742</c:v>
                </c:pt>
                <c:pt idx="11">
                  <c:v>-12.75</c:v>
                </c:pt>
                <c:pt idx="12">
                  <c:v>-5.0833333333332575</c:v>
                </c:pt>
                <c:pt idx="13">
                  <c:v>-42.583333333333258</c:v>
                </c:pt>
                <c:pt idx="14">
                  <c:v>-15.75</c:v>
                </c:pt>
                <c:pt idx="15">
                  <c:v>8.9166666666665151</c:v>
                </c:pt>
                <c:pt idx="16">
                  <c:v>-4.3333333333334849</c:v>
                </c:pt>
                <c:pt idx="17">
                  <c:v>2.3333333333334849</c:v>
                </c:pt>
                <c:pt idx="18">
                  <c:v>14.916666666666515</c:v>
                </c:pt>
                <c:pt idx="19">
                  <c:v>26.5</c:v>
                </c:pt>
                <c:pt idx="20">
                  <c:v>34.75</c:v>
                </c:pt>
                <c:pt idx="21">
                  <c:v>30.166666666666515</c:v>
                </c:pt>
              </c:numCache>
            </c:numRef>
          </c:val>
          <c:smooth val="0"/>
          <c:extLst>
            <c:ext xmlns:c16="http://schemas.microsoft.com/office/drawing/2014/chart" uri="{C3380CC4-5D6E-409C-BE32-E72D297353CC}">
              <c16:uniqueId val="{00000006-97C4-480F-B046-9BDF03E2FC65}"/>
            </c:ext>
          </c:extLst>
        </c:ser>
        <c:ser>
          <c:idx val="2"/>
          <c:order val="7"/>
          <c:tx>
            <c:strRef>
              <c:f>Etappes!$AB$29</c:f>
              <c:strCache>
                <c:ptCount val="1"/>
                <c:pt idx="0">
                  <c:v>Majella køp dr vør </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49.75</c:v>
                </c:pt>
                <c:pt idx="1">
                  <c:v>73.916666666666686</c:v>
                </c:pt>
                <c:pt idx="2">
                  <c:v>89.666666666666686</c:v>
                </c:pt>
                <c:pt idx="3">
                  <c:v>101.5</c:v>
                </c:pt>
                <c:pt idx="4">
                  <c:v>105.83333333333337</c:v>
                </c:pt>
                <c:pt idx="5">
                  <c:v>122.5</c:v>
                </c:pt>
                <c:pt idx="6">
                  <c:v>144.5</c:v>
                </c:pt>
                <c:pt idx="7">
                  <c:v>150.58333333333326</c:v>
                </c:pt>
                <c:pt idx="8">
                  <c:v>177.91666666666674</c:v>
                </c:pt>
                <c:pt idx="9">
                  <c:v>182.58333333333326</c:v>
                </c:pt>
                <c:pt idx="10">
                  <c:v>229.91666666666674</c:v>
                </c:pt>
                <c:pt idx="11">
                  <c:v>267.25</c:v>
                </c:pt>
                <c:pt idx="12">
                  <c:v>301.91666666666674</c:v>
                </c:pt>
                <c:pt idx="13">
                  <c:v>337.41666666666674</c:v>
                </c:pt>
                <c:pt idx="14">
                  <c:v>367.25</c:v>
                </c:pt>
                <c:pt idx="15">
                  <c:v>357.91666666666652</c:v>
                </c:pt>
                <c:pt idx="16">
                  <c:v>380.66666666666652</c:v>
                </c:pt>
                <c:pt idx="17">
                  <c:v>406.33333333333348</c:v>
                </c:pt>
                <c:pt idx="18">
                  <c:v>433.91666666666652</c:v>
                </c:pt>
                <c:pt idx="19">
                  <c:v>464.5</c:v>
                </c:pt>
                <c:pt idx="20">
                  <c:v>499.75</c:v>
                </c:pt>
                <c:pt idx="21">
                  <c:v>573.16666666666652</c:v>
                </c:pt>
              </c:numCache>
            </c:numRef>
          </c:val>
          <c:smooth val="0"/>
          <c:extLst>
            <c:ext xmlns:c16="http://schemas.microsoft.com/office/drawing/2014/chart" uri="{C3380CC4-5D6E-409C-BE32-E72D297353CC}">
              <c16:uniqueId val="{00000007-97C4-480F-B046-9BDF03E2FC65}"/>
            </c:ext>
          </c:extLst>
        </c:ser>
        <c:ser>
          <c:idx val="10"/>
          <c:order val="8"/>
          <c:tx>
            <c:strRef>
              <c:f>Etappes!$AB$30</c:f>
              <c:strCache>
                <c:ptCount val="1"/>
                <c:pt idx="0">
                  <c:v>Freaky's manke Kruisbandjes</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-40.25</c:v>
                </c:pt>
                <c:pt idx="1">
                  <c:v>-108.08333333333331</c:v>
                </c:pt>
                <c:pt idx="2">
                  <c:v>-178.33333333333331</c:v>
                </c:pt>
                <c:pt idx="3">
                  <c:v>-245.5</c:v>
                </c:pt>
                <c:pt idx="4">
                  <c:v>-271.16666666666663</c:v>
                </c:pt>
                <c:pt idx="5">
                  <c:v>-305.5</c:v>
                </c:pt>
                <c:pt idx="6">
                  <c:v>-322.5</c:v>
                </c:pt>
                <c:pt idx="7">
                  <c:v>-351.41666666666674</c:v>
                </c:pt>
                <c:pt idx="8">
                  <c:v>-334.08333333333326</c:v>
                </c:pt>
                <c:pt idx="9">
                  <c:v>-319.41666666666674</c:v>
                </c:pt>
                <c:pt idx="10">
                  <c:v>-341.08333333333326</c:v>
                </c:pt>
                <c:pt idx="11">
                  <c:v>-358.75</c:v>
                </c:pt>
                <c:pt idx="12">
                  <c:v>-406.08333333333326</c:v>
                </c:pt>
                <c:pt idx="13">
                  <c:v>-417.58333333333326</c:v>
                </c:pt>
                <c:pt idx="14">
                  <c:v>-471.75</c:v>
                </c:pt>
                <c:pt idx="15">
                  <c:v>-448.08333333333348</c:v>
                </c:pt>
                <c:pt idx="16">
                  <c:v>-452.33333333333348</c:v>
                </c:pt>
                <c:pt idx="17">
                  <c:v>-462.66666666666652</c:v>
                </c:pt>
                <c:pt idx="18">
                  <c:v>-517.08333333333348</c:v>
                </c:pt>
                <c:pt idx="19">
                  <c:v>-527.5</c:v>
                </c:pt>
                <c:pt idx="20">
                  <c:v>-591.25</c:v>
                </c:pt>
                <c:pt idx="21">
                  <c:v>-624.83333333333348</c:v>
                </c:pt>
              </c:numCache>
            </c:numRef>
          </c:val>
          <c:smooth val="0"/>
          <c:extLst>
            <c:ext xmlns:c16="http://schemas.microsoft.com/office/drawing/2014/chart" uri="{C3380CC4-5D6E-409C-BE32-E72D297353CC}">
              <c16:uniqueId val="{00000008-97C4-480F-B046-9BDF03E2FC65}"/>
            </c:ext>
          </c:extLst>
        </c:ser>
        <c:ser>
          <c:idx val="0"/>
          <c:order val="9"/>
          <c:tx>
            <c:strRef>
              <c:f>Etappes!$AB$31</c:f>
              <c:strCache>
                <c:ptCount val="1"/>
                <c:pt idx="0">
                  <c:v>IJffjes Boys</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-14.25</c:v>
                </c:pt>
                <c:pt idx="1">
                  <c:v>14.916666666666686</c:v>
                </c:pt>
                <c:pt idx="2">
                  <c:v>33.666666666666686</c:v>
                </c:pt>
                <c:pt idx="3">
                  <c:v>102.5</c:v>
                </c:pt>
                <c:pt idx="4">
                  <c:v>110.83333333333337</c:v>
                </c:pt>
                <c:pt idx="5">
                  <c:v>82.5</c:v>
                </c:pt>
                <c:pt idx="6">
                  <c:v>25.5</c:v>
                </c:pt>
                <c:pt idx="7">
                  <c:v>16.583333333333258</c:v>
                </c:pt>
                <c:pt idx="8">
                  <c:v>-29.083333333333258</c:v>
                </c:pt>
                <c:pt idx="9">
                  <c:v>-46.416666666666742</c:v>
                </c:pt>
                <c:pt idx="10">
                  <c:v>-80.083333333333258</c:v>
                </c:pt>
                <c:pt idx="11">
                  <c:v>-117.75</c:v>
                </c:pt>
                <c:pt idx="12">
                  <c:v>-123.08333333333326</c:v>
                </c:pt>
                <c:pt idx="13">
                  <c:v>-128.58333333333326</c:v>
                </c:pt>
                <c:pt idx="14">
                  <c:v>-102.75</c:v>
                </c:pt>
                <c:pt idx="15">
                  <c:v>-120.08333333333348</c:v>
                </c:pt>
                <c:pt idx="16">
                  <c:v>-158.33333333333348</c:v>
                </c:pt>
                <c:pt idx="17">
                  <c:v>-215.66666666666652</c:v>
                </c:pt>
                <c:pt idx="18">
                  <c:v>-224.08333333333348</c:v>
                </c:pt>
                <c:pt idx="19">
                  <c:v>-250.5</c:v>
                </c:pt>
                <c:pt idx="20">
                  <c:v>-228.25</c:v>
                </c:pt>
                <c:pt idx="21">
                  <c:v>-306.83333333333348</c:v>
                </c:pt>
              </c:numCache>
            </c:numRef>
          </c:val>
          <c:smooth val="0"/>
          <c:extLst>
            <c:ext xmlns:c16="http://schemas.microsoft.com/office/drawing/2014/chart" uri="{C3380CC4-5D6E-409C-BE32-E72D297353CC}">
              <c16:uniqueId val="{00000009-97C4-480F-B046-9BDF03E2FC65}"/>
            </c:ext>
          </c:extLst>
        </c:ser>
        <c:ser>
          <c:idx val="1"/>
          <c:order val="10"/>
          <c:tx>
            <c:strRef>
              <c:f>Etappes!$AB$32</c:f>
              <c:strCache>
                <c:ptCount val="1"/>
                <c:pt idx="0">
                  <c:v>Am Selfkant</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-4.25</c:v>
                </c:pt>
                <c:pt idx="1">
                  <c:v>-15.083333333333314</c:v>
                </c:pt>
                <c:pt idx="2">
                  <c:v>-36.333333333333314</c:v>
                </c:pt>
                <c:pt idx="3">
                  <c:v>-33.5</c:v>
                </c:pt>
                <c:pt idx="4">
                  <c:v>-26.166666666666629</c:v>
                </c:pt>
                <c:pt idx="5">
                  <c:v>-86.5</c:v>
                </c:pt>
                <c:pt idx="6">
                  <c:v>-117.5</c:v>
                </c:pt>
                <c:pt idx="7">
                  <c:v>-152.41666666666674</c:v>
                </c:pt>
                <c:pt idx="8">
                  <c:v>-174.08333333333326</c:v>
                </c:pt>
                <c:pt idx="9">
                  <c:v>-147.41666666666674</c:v>
                </c:pt>
                <c:pt idx="10">
                  <c:v>-210.08333333333326</c:v>
                </c:pt>
                <c:pt idx="11">
                  <c:v>-229.75</c:v>
                </c:pt>
                <c:pt idx="12">
                  <c:v>-226.08333333333326</c:v>
                </c:pt>
                <c:pt idx="13">
                  <c:v>-234.58333333333326</c:v>
                </c:pt>
                <c:pt idx="14">
                  <c:v>-260.75</c:v>
                </c:pt>
                <c:pt idx="15">
                  <c:v>-263.08333333333348</c:v>
                </c:pt>
                <c:pt idx="16">
                  <c:v>-310.33333333333348</c:v>
                </c:pt>
                <c:pt idx="17">
                  <c:v>-364.66666666666652</c:v>
                </c:pt>
                <c:pt idx="18">
                  <c:v>-405.08333333333348</c:v>
                </c:pt>
                <c:pt idx="19">
                  <c:v>-412.5</c:v>
                </c:pt>
                <c:pt idx="20">
                  <c:v>-458.25</c:v>
                </c:pt>
                <c:pt idx="21">
                  <c:v>-555.83333333333348</c:v>
                </c:pt>
              </c:numCache>
            </c:numRef>
          </c:val>
          <c:smooth val="0"/>
          <c:extLst>
            <c:ext xmlns:c16="http://schemas.microsoft.com/office/drawing/2014/chart" uri="{C3380CC4-5D6E-409C-BE32-E72D297353CC}">
              <c16:uniqueId val="{0000000A-97C4-480F-B046-9BDF03E2FC65}"/>
            </c:ext>
          </c:extLst>
        </c:ser>
        <c:ser>
          <c:idx val="11"/>
          <c:order val="11"/>
          <c:tx>
            <c:strRef>
              <c:f>Etappes!$AB$33</c:f>
              <c:strCache>
                <c:ptCount val="1"/>
                <c:pt idx="0">
                  <c:v>Kol de la Madeleine</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Etappes!$AC$33:$AX$33</c:f>
              <c:numCache>
                <c:formatCode>0</c:formatCode>
                <c:ptCount val="22"/>
                <c:pt idx="0">
                  <c:v>-19.25</c:v>
                </c:pt>
                <c:pt idx="1">
                  <c:v>-65.083333333333314</c:v>
                </c:pt>
                <c:pt idx="2">
                  <c:v>-106.33333333333331</c:v>
                </c:pt>
                <c:pt idx="3">
                  <c:v>-129.5</c:v>
                </c:pt>
                <c:pt idx="4">
                  <c:v>-117.16666666666663</c:v>
                </c:pt>
                <c:pt idx="5">
                  <c:v>-115.5</c:v>
                </c:pt>
                <c:pt idx="6">
                  <c:v>-126.5</c:v>
                </c:pt>
                <c:pt idx="7">
                  <c:v>-136.41666666666674</c:v>
                </c:pt>
                <c:pt idx="8">
                  <c:v>-153.08333333333326</c:v>
                </c:pt>
                <c:pt idx="9">
                  <c:v>-158.41666666666674</c:v>
                </c:pt>
                <c:pt idx="10">
                  <c:v>-168.08333333333326</c:v>
                </c:pt>
                <c:pt idx="11">
                  <c:v>-177.75</c:v>
                </c:pt>
                <c:pt idx="12">
                  <c:v>-202.08333333333326</c:v>
                </c:pt>
                <c:pt idx="13">
                  <c:v>-177.58333333333326</c:v>
                </c:pt>
                <c:pt idx="14">
                  <c:v>-231.75</c:v>
                </c:pt>
                <c:pt idx="15">
                  <c:v>-273.08333333333348</c:v>
                </c:pt>
                <c:pt idx="16">
                  <c:v>-270.33333333333348</c:v>
                </c:pt>
                <c:pt idx="17">
                  <c:v>-286.66666666666652</c:v>
                </c:pt>
                <c:pt idx="18">
                  <c:v>-294.08333333333348</c:v>
                </c:pt>
                <c:pt idx="19">
                  <c:v>-308.5</c:v>
                </c:pt>
                <c:pt idx="20">
                  <c:v>-319.25</c:v>
                </c:pt>
                <c:pt idx="21">
                  <c:v>-327.83333333333348</c:v>
                </c:pt>
              </c:numCache>
            </c:numRef>
          </c:val>
          <c:smooth val="0"/>
          <c:extLst>
            <c:ext xmlns:c16="http://schemas.microsoft.com/office/drawing/2014/chart" uri="{C3380CC4-5D6E-409C-BE32-E72D297353CC}">
              <c16:uniqueId val="{0000000B-97C4-480F-B046-9BDF03E2FC65}"/>
            </c:ext>
          </c:extLst>
        </c:ser>
        <c:ser>
          <c:idx val="12"/>
          <c:order val="12"/>
          <c:tx>
            <c:strRef>
              <c:f>Etappes!#REF!</c:f>
              <c:strCache>
                <c:ptCount val="1"/>
                <c:pt idx="0">
                  <c:v>#VERW!</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Cache>
                <c:formatCode>General</c:formatCode>
                <c:ptCount val="1"/>
                <c:pt idx="0">
                  <c:v>1</c:v>
                </c:pt>
              </c:numCache>
            </c:numRef>
          </c:val>
          <c:smooth val="0"/>
          <c:extLst>
            <c:ext xmlns:c16="http://schemas.microsoft.com/office/drawing/2014/chart" uri="{C3380CC4-5D6E-409C-BE32-E72D297353CC}">
              <c16:uniqueId val="{0000000C-97C4-480F-B046-9BDF03E2FC65}"/>
            </c:ext>
          </c:extLst>
        </c:ser>
        <c:dLbls>
          <c:showLegendKey val="0"/>
          <c:showVal val="0"/>
          <c:showCatName val="0"/>
          <c:showSerName val="0"/>
          <c:showPercent val="0"/>
          <c:showBubbleSize val="0"/>
        </c:dLbls>
        <c:marker val="1"/>
        <c:smooth val="0"/>
        <c:axId val="120837248"/>
        <c:axId val="120838784"/>
      </c:lineChart>
      <c:catAx>
        <c:axId val="120837248"/>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0838784"/>
        <c:crosses val="autoZero"/>
        <c:auto val="1"/>
        <c:lblAlgn val="ctr"/>
        <c:lblOffset val="100"/>
        <c:tickLblSkip val="1"/>
        <c:tickMarkSkip val="1"/>
        <c:noMultiLvlLbl val="0"/>
      </c:catAx>
      <c:valAx>
        <c:axId val="120838784"/>
        <c:scaling>
          <c:orientation val="minMax"/>
          <c:max val="150"/>
          <c:min val="-5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0837248"/>
        <c:crosses val="autoZero"/>
        <c:crossBetween val="midCat"/>
        <c:majorUnit val="25"/>
      </c:valAx>
      <c:spPr>
        <a:noFill/>
        <a:ln w="25400">
          <a:noFill/>
        </a:ln>
      </c:spPr>
    </c:plotArea>
    <c:legend>
      <c:legendPos val="r"/>
      <c:legendEntry>
        <c:idx val="12"/>
        <c:delete val="1"/>
      </c:legendEntry>
      <c:layout>
        <c:manualLayout>
          <c:xMode val="edge"/>
          <c:yMode val="edge"/>
          <c:x val="5.8255773871078907E-2"/>
          <c:y val="0.88587570621469502"/>
          <c:w val="0.89637000052145799"/>
          <c:h val="0.11412429378531073"/>
        </c:manualLayout>
      </c:layout>
      <c:overlay val="0"/>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2022 - het rechterrijtje</a:t>
            </a:r>
          </a:p>
        </c:rich>
      </c:tx>
      <c:layout>
        <c:manualLayout>
          <c:xMode val="edge"/>
          <c:yMode val="edge"/>
          <c:x val="0.33092037228545568"/>
          <c:y val="2.0338983050847428E-2"/>
        </c:manualLayout>
      </c:layout>
      <c:overlay val="0"/>
      <c:spPr>
        <a:noFill/>
        <a:ln w="25400">
          <a:noFill/>
        </a:ln>
      </c:spPr>
    </c:title>
    <c:autoTitleDeleted val="0"/>
    <c:plotArea>
      <c:layout>
        <c:manualLayout>
          <c:layoutTarget val="inner"/>
          <c:xMode val="edge"/>
          <c:yMode val="edge"/>
          <c:x val="1.9648397104446741E-2"/>
          <c:y val="0.10508474576271733"/>
          <c:w val="0.93726301275422252"/>
          <c:h val="0.7525423728813555"/>
        </c:manualLayout>
      </c:layout>
      <c:lineChart>
        <c:grouping val="standard"/>
        <c:varyColors val="0"/>
        <c:ser>
          <c:idx val="3"/>
          <c:order val="0"/>
          <c:tx>
            <c:strRef>
              <c:f>Etappes!$AB$22</c:f>
              <c:strCache>
                <c:ptCount val="1"/>
                <c:pt idx="0">
                  <c:v>Onder de vod</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5.75</c:v>
                </c:pt>
                <c:pt idx="1">
                  <c:v>-8.3333333333314386E-2</c:v>
                </c:pt>
                <c:pt idx="2">
                  <c:v>-0.33333333333331439</c:v>
                </c:pt>
                <c:pt idx="3">
                  <c:v>3.5</c:v>
                </c:pt>
                <c:pt idx="4">
                  <c:v>4.8333333333333712</c:v>
                </c:pt>
                <c:pt idx="5">
                  <c:v>48.5</c:v>
                </c:pt>
                <c:pt idx="6">
                  <c:v>98.5</c:v>
                </c:pt>
                <c:pt idx="7">
                  <c:v>140.58333333333326</c:v>
                </c:pt>
                <c:pt idx="8">
                  <c:v>157.91666666666674</c:v>
                </c:pt>
                <c:pt idx="9">
                  <c:v>156.58333333333326</c:v>
                </c:pt>
                <c:pt idx="10">
                  <c:v>178.91666666666674</c:v>
                </c:pt>
                <c:pt idx="11">
                  <c:v>190.25</c:v>
                </c:pt>
                <c:pt idx="12">
                  <c:v>210.91666666666674</c:v>
                </c:pt>
                <c:pt idx="13">
                  <c:v>231.41666666666674</c:v>
                </c:pt>
                <c:pt idx="14">
                  <c:v>222.25</c:v>
                </c:pt>
                <c:pt idx="15">
                  <c:v>229.91666666666652</c:v>
                </c:pt>
                <c:pt idx="16">
                  <c:v>250.66666666666652</c:v>
                </c:pt>
                <c:pt idx="17">
                  <c:v>266.33333333333348</c:v>
                </c:pt>
                <c:pt idx="18">
                  <c:v>262.91666666666652</c:v>
                </c:pt>
                <c:pt idx="19">
                  <c:v>271.5</c:v>
                </c:pt>
                <c:pt idx="20">
                  <c:v>241.75</c:v>
                </c:pt>
                <c:pt idx="21">
                  <c:v>261.16666666666652</c:v>
                </c:pt>
              </c:numCache>
            </c:numRef>
          </c:val>
          <c:smooth val="0"/>
          <c:extLst>
            <c:ext xmlns:c16="http://schemas.microsoft.com/office/drawing/2014/chart" uri="{C3380CC4-5D6E-409C-BE32-E72D297353CC}">
              <c16:uniqueId val="{00000000-6483-8A44-8E26-00FFF85A6785}"/>
            </c:ext>
          </c:extLst>
        </c:ser>
        <c:ser>
          <c:idx val="8"/>
          <c:order val="1"/>
          <c:tx>
            <c:strRef>
              <c:f>Etappes!$AB$23</c:f>
              <c:strCache>
                <c:ptCount val="1"/>
                <c:pt idx="0">
                  <c:v>Tins Tour Toppers</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-15.25</c:v>
                </c:pt>
                <c:pt idx="1">
                  <c:v>-8.0833333333333144</c:v>
                </c:pt>
                <c:pt idx="2">
                  <c:v>6.6666666666666856</c:v>
                </c:pt>
                <c:pt idx="3">
                  <c:v>-8.5</c:v>
                </c:pt>
                <c:pt idx="4">
                  <c:v>-7.1666666666666288</c:v>
                </c:pt>
                <c:pt idx="5">
                  <c:v>9.5</c:v>
                </c:pt>
                <c:pt idx="6">
                  <c:v>32.5</c:v>
                </c:pt>
                <c:pt idx="7">
                  <c:v>31.583333333333258</c:v>
                </c:pt>
                <c:pt idx="8">
                  <c:v>48.916666666666742</c:v>
                </c:pt>
                <c:pt idx="9">
                  <c:v>47.583333333333258</c:v>
                </c:pt>
                <c:pt idx="10">
                  <c:v>69.916666666666742</c:v>
                </c:pt>
                <c:pt idx="11">
                  <c:v>115.25</c:v>
                </c:pt>
                <c:pt idx="12">
                  <c:v>127.91666666666674</c:v>
                </c:pt>
                <c:pt idx="13">
                  <c:v>122.41666666666674</c:v>
                </c:pt>
                <c:pt idx="14">
                  <c:v>154.25</c:v>
                </c:pt>
                <c:pt idx="15">
                  <c:v>169.91666666666652</c:v>
                </c:pt>
                <c:pt idx="16">
                  <c:v>212.66666666666652</c:v>
                </c:pt>
                <c:pt idx="17">
                  <c:v>248.33333333333348</c:v>
                </c:pt>
                <c:pt idx="18">
                  <c:v>295.91666666666652</c:v>
                </c:pt>
                <c:pt idx="19">
                  <c:v>292.5</c:v>
                </c:pt>
                <c:pt idx="20">
                  <c:v>329.75</c:v>
                </c:pt>
                <c:pt idx="21">
                  <c:v>385.16666666666652</c:v>
                </c:pt>
              </c:numCache>
            </c:numRef>
          </c:val>
          <c:smooth val="0"/>
          <c:extLst>
            <c:ext xmlns:c16="http://schemas.microsoft.com/office/drawing/2014/chart" uri="{C3380CC4-5D6E-409C-BE32-E72D297353CC}">
              <c16:uniqueId val="{00000001-6483-8A44-8E26-00FFF85A6785}"/>
            </c:ext>
          </c:extLst>
        </c:ser>
        <c:ser>
          <c:idx val="7"/>
          <c:order val="2"/>
          <c:tx>
            <c:strRef>
              <c:f>Etappes!$AB$24</c:f>
              <c:strCache>
                <c:ptCount val="1"/>
                <c:pt idx="0">
                  <c:v>Prof's ploegje</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1.75</c:v>
                </c:pt>
                <c:pt idx="1">
                  <c:v>14.916666666666686</c:v>
                </c:pt>
                <c:pt idx="2">
                  <c:v>34.666666666666686</c:v>
                </c:pt>
                <c:pt idx="3">
                  <c:v>24.5</c:v>
                </c:pt>
                <c:pt idx="4">
                  <c:v>27.833333333333371</c:v>
                </c:pt>
                <c:pt idx="5">
                  <c:v>41.5</c:v>
                </c:pt>
                <c:pt idx="6">
                  <c:v>50.5</c:v>
                </c:pt>
                <c:pt idx="7">
                  <c:v>42.583333333333258</c:v>
                </c:pt>
                <c:pt idx="8">
                  <c:v>47.916666666666742</c:v>
                </c:pt>
                <c:pt idx="9">
                  <c:v>43.583333333333258</c:v>
                </c:pt>
                <c:pt idx="10">
                  <c:v>67.916666666666742</c:v>
                </c:pt>
                <c:pt idx="11">
                  <c:v>62.25</c:v>
                </c:pt>
                <c:pt idx="12">
                  <c:v>78.916666666666742</c:v>
                </c:pt>
                <c:pt idx="13">
                  <c:v>46.416666666666742</c:v>
                </c:pt>
                <c:pt idx="14">
                  <c:v>54.25</c:v>
                </c:pt>
                <c:pt idx="15">
                  <c:v>49.916666666666515</c:v>
                </c:pt>
                <c:pt idx="16">
                  <c:v>47.666666666666515</c:v>
                </c:pt>
                <c:pt idx="17">
                  <c:v>59.333333333333485</c:v>
                </c:pt>
                <c:pt idx="18">
                  <c:v>57.916666666666515</c:v>
                </c:pt>
                <c:pt idx="19">
                  <c:v>61.5</c:v>
                </c:pt>
                <c:pt idx="20">
                  <c:v>65.75</c:v>
                </c:pt>
                <c:pt idx="21">
                  <c:v>99.166666666666515</c:v>
                </c:pt>
              </c:numCache>
            </c:numRef>
          </c:val>
          <c:smooth val="0"/>
          <c:extLst>
            <c:ext xmlns:c16="http://schemas.microsoft.com/office/drawing/2014/chart" uri="{C3380CC4-5D6E-409C-BE32-E72D297353CC}">
              <c16:uniqueId val="{00000002-6483-8A44-8E26-00FFF85A6785}"/>
            </c:ext>
          </c:extLst>
        </c:ser>
        <c:ser>
          <c:idx val="6"/>
          <c:order val="3"/>
          <c:tx>
            <c:strRef>
              <c:f>Etappes!$AB$25</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-31.25</c:v>
                </c:pt>
                <c:pt idx="1">
                  <c:v>-44.083333333333314</c:v>
                </c:pt>
                <c:pt idx="2">
                  <c:v>-35.333333333333314</c:v>
                </c:pt>
                <c:pt idx="3">
                  <c:v>-30.5</c:v>
                </c:pt>
                <c:pt idx="4">
                  <c:v>-34.166666666666629</c:v>
                </c:pt>
                <c:pt idx="5">
                  <c:v>-19.5</c:v>
                </c:pt>
                <c:pt idx="6">
                  <c:v>-16.5</c:v>
                </c:pt>
                <c:pt idx="7">
                  <c:v>13.583333333333258</c:v>
                </c:pt>
                <c:pt idx="8">
                  <c:v>8.9166666666667425</c:v>
                </c:pt>
                <c:pt idx="9">
                  <c:v>1.5833333333332575</c:v>
                </c:pt>
                <c:pt idx="10">
                  <c:v>12.916666666666742</c:v>
                </c:pt>
                <c:pt idx="11">
                  <c:v>-0.75</c:v>
                </c:pt>
                <c:pt idx="12">
                  <c:v>-33.083333333333258</c:v>
                </c:pt>
                <c:pt idx="13">
                  <c:v>-32.583333333333258</c:v>
                </c:pt>
                <c:pt idx="14">
                  <c:v>-39.75</c:v>
                </c:pt>
                <c:pt idx="15">
                  <c:v>-22.083333333333485</c:v>
                </c:pt>
                <c:pt idx="16">
                  <c:v>-20.333333333333485</c:v>
                </c:pt>
                <c:pt idx="17">
                  <c:v>-6.6666666666665151</c:v>
                </c:pt>
                <c:pt idx="18">
                  <c:v>21.916666666666515</c:v>
                </c:pt>
                <c:pt idx="19">
                  <c:v>15.5</c:v>
                </c:pt>
                <c:pt idx="20">
                  <c:v>43.75</c:v>
                </c:pt>
                <c:pt idx="21">
                  <c:v>65.166666666666515</c:v>
                </c:pt>
              </c:numCache>
            </c:numRef>
          </c:val>
          <c:smooth val="0"/>
          <c:extLst>
            <c:ext xmlns:c16="http://schemas.microsoft.com/office/drawing/2014/chart" uri="{C3380CC4-5D6E-409C-BE32-E72D297353CC}">
              <c16:uniqueId val="{00000003-6483-8A44-8E26-00FFF85A6785}"/>
            </c:ext>
          </c:extLst>
        </c:ser>
        <c:ser>
          <c:idx val="4"/>
          <c:order val="4"/>
          <c:tx>
            <c:strRef>
              <c:f>Etappes!$AB$26</c:f>
              <c:strCache>
                <c:ptCount val="1"/>
                <c:pt idx="0">
                  <c:v>Lothar blijft positief</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27.75</c:v>
                </c:pt>
                <c:pt idx="1">
                  <c:v>0.91666666666668561</c:v>
                </c:pt>
                <c:pt idx="2">
                  <c:v>-43.333333333333314</c:v>
                </c:pt>
                <c:pt idx="3">
                  <c:v>-67.5</c:v>
                </c:pt>
                <c:pt idx="4">
                  <c:v>-82.166666666666629</c:v>
                </c:pt>
                <c:pt idx="5">
                  <c:v>-13.5</c:v>
                </c:pt>
                <c:pt idx="6">
                  <c:v>29.5</c:v>
                </c:pt>
                <c:pt idx="7">
                  <c:v>85.583333333333258</c:v>
                </c:pt>
                <c:pt idx="8">
                  <c:v>104.91666666666674</c:v>
                </c:pt>
                <c:pt idx="9">
                  <c:v>110.58333333333326</c:v>
                </c:pt>
                <c:pt idx="10">
                  <c:v>144.91666666666674</c:v>
                </c:pt>
                <c:pt idx="11">
                  <c:v>197.25</c:v>
                </c:pt>
                <c:pt idx="12">
                  <c:v>200.91666666666674</c:v>
                </c:pt>
                <c:pt idx="13">
                  <c:v>234.41666666666674</c:v>
                </c:pt>
                <c:pt idx="14">
                  <c:v>216.25</c:v>
                </c:pt>
                <c:pt idx="15">
                  <c:v>209.91666666666652</c:v>
                </c:pt>
                <c:pt idx="16">
                  <c:v>231.66666666666652</c:v>
                </c:pt>
                <c:pt idx="17">
                  <c:v>248.33333333333348</c:v>
                </c:pt>
                <c:pt idx="18">
                  <c:v>249.91666666666652</c:v>
                </c:pt>
                <c:pt idx="19">
                  <c:v>264.5</c:v>
                </c:pt>
                <c:pt idx="20">
                  <c:v>237.75</c:v>
                </c:pt>
                <c:pt idx="21">
                  <c:v>268.16666666666652</c:v>
                </c:pt>
              </c:numCache>
            </c:numRef>
          </c:val>
          <c:smooth val="0"/>
          <c:extLst>
            <c:ext xmlns:c16="http://schemas.microsoft.com/office/drawing/2014/chart" uri="{C3380CC4-5D6E-409C-BE32-E72D297353CC}">
              <c16:uniqueId val="{00000004-6483-8A44-8E26-00FFF85A6785}"/>
            </c:ext>
          </c:extLst>
        </c:ser>
        <c:ser>
          <c:idx val="9"/>
          <c:order val="5"/>
          <c:tx>
            <c:strRef>
              <c:f>Etappes!$AB$27</c:f>
              <c:strCache>
                <c:ptCount val="1"/>
                <c:pt idx="0">
                  <c:v>De Lange Man</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29.75</c:v>
                </c:pt>
                <c:pt idx="1">
                  <c:v>89.916666666666686</c:v>
                </c:pt>
                <c:pt idx="2">
                  <c:v>148.66666666666669</c:v>
                </c:pt>
                <c:pt idx="3">
                  <c:v>179.5</c:v>
                </c:pt>
                <c:pt idx="4">
                  <c:v>182.83333333333337</c:v>
                </c:pt>
                <c:pt idx="5">
                  <c:v>154.5</c:v>
                </c:pt>
                <c:pt idx="6">
                  <c:v>128.5</c:v>
                </c:pt>
                <c:pt idx="7">
                  <c:v>96.583333333333258</c:v>
                </c:pt>
                <c:pt idx="8">
                  <c:v>102.91666666666674</c:v>
                </c:pt>
                <c:pt idx="9">
                  <c:v>95.583333333333258</c:v>
                </c:pt>
                <c:pt idx="10">
                  <c:v>76.916666666666742</c:v>
                </c:pt>
                <c:pt idx="11">
                  <c:v>65.25</c:v>
                </c:pt>
                <c:pt idx="12">
                  <c:v>74.916666666666742</c:v>
                </c:pt>
                <c:pt idx="13">
                  <c:v>61.416666666666742</c:v>
                </c:pt>
                <c:pt idx="14">
                  <c:v>108.25</c:v>
                </c:pt>
                <c:pt idx="15">
                  <c:v>99.916666666666515</c:v>
                </c:pt>
                <c:pt idx="16">
                  <c:v>92.666666666666515</c:v>
                </c:pt>
                <c:pt idx="17">
                  <c:v>105.33333333333348</c:v>
                </c:pt>
                <c:pt idx="18">
                  <c:v>102.91666666666652</c:v>
                </c:pt>
                <c:pt idx="19">
                  <c:v>102.5</c:v>
                </c:pt>
                <c:pt idx="20">
                  <c:v>143.75</c:v>
                </c:pt>
                <c:pt idx="21">
                  <c:v>133.16666666666652</c:v>
                </c:pt>
              </c:numCache>
            </c:numRef>
          </c:val>
          <c:smooth val="0"/>
          <c:extLst>
            <c:ext xmlns:c16="http://schemas.microsoft.com/office/drawing/2014/chart" uri="{C3380CC4-5D6E-409C-BE32-E72D297353CC}">
              <c16:uniqueId val="{00000005-6483-8A44-8E26-00FFF85A6785}"/>
            </c:ext>
          </c:extLst>
        </c:ser>
        <c:ser>
          <c:idx val="5"/>
          <c:order val="6"/>
          <c:tx>
            <c:strRef>
              <c:f>Etappes!$AB$28</c:f>
              <c:strCache>
                <c:ptCount val="1"/>
                <c:pt idx="0">
                  <c:v>El Gran</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9.75</c:v>
                </c:pt>
                <c:pt idx="1">
                  <c:v>45.916666666666686</c:v>
                </c:pt>
                <c:pt idx="2">
                  <c:v>86.666666666666686</c:v>
                </c:pt>
                <c:pt idx="3">
                  <c:v>103.5</c:v>
                </c:pt>
                <c:pt idx="4">
                  <c:v>105.83333333333337</c:v>
                </c:pt>
                <c:pt idx="5">
                  <c:v>81.5</c:v>
                </c:pt>
                <c:pt idx="6">
                  <c:v>73.5</c:v>
                </c:pt>
                <c:pt idx="7">
                  <c:v>62.583333333333258</c:v>
                </c:pt>
                <c:pt idx="8">
                  <c:v>40.916666666666742</c:v>
                </c:pt>
                <c:pt idx="9">
                  <c:v>33.583333333333258</c:v>
                </c:pt>
                <c:pt idx="10">
                  <c:v>17.916666666666742</c:v>
                </c:pt>
                <c:pt idx="11">
                  <c:v>-12.75</c:v>
                </c:pt>
                <c:pt idx="12">
                  <c:v>-5.0833333333332575</c:v>
                </c:pt>
                <c:pt idx="13">
                  <c:v>-42.583333333333258</c:v>
                </c:pt>
                <c:pt idx="14">
                  <c:v>-15.75</c:v>
                </c:pt>
                <c:pt idx="15">
                  <c:v>8.9166666666665151</c:v>
                </c:pt>
                <c:pt idx="16">
                  <c:v>-4.3333333333334849</c:v>
                </c:pt>
                <c:pt idx="17">
                  <c:v>2.3333333333334849</c:v>
                </c:pt>
                <c:pt idx="18">
                  <c:v>14.916666666666515</c:v>
                </c:pt>
                <c:pt idx="19">
                  <c:v>26.5</c:v>
                </c:pt>
                <c:pt idx="20">
                  <c:v>34.75</c:v>
                </c:pt>
                <c:pt idx="21">
                  <c:v>30.166666666666515</c:v>
                </c:pt>
              </c:numCache>
            </c:numRef>
          </c:val>
          <c:smooth val="0"/>
          <c:extLst>
            <c:ext xmlns:c16="http://schemas.microsoft.com/office/drawing/2014/chart" uri="{C3380CC4-5D6E-409C-BE32-E72D297353CC}">
              <c16:uniqueId val="{00000006-6483-8A44-8E26-00FFF85A6785}"/>
            </c:ext>
          </c:extLst>
        </c:ser>
        <c:ser>
          <c:idx val="2"/>
          <c:order val="7"/>
          <c:tx>
            <c:strRef>
              <c:f>Etappes!$AB$29</c:f>
              <c:strCache>
                <c:ptCount val="1"/>
                <c:pt idx="0">
                  <c:v>Majella køp dr vør </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49.75</c:v>
                </c:pt>
                <c:pt idx="1">
                  <c:v>73.916666666666686</c:v>
                </c:pt>
                <c:pt idx="2">
                  <c:v>89.666666666666686</c:v>
                </c:pt>
                <c:pt idx="3">
                  <c:v>101.5</c:v>
                </c:pt>
                <c:pt idx="4">
                  <c:v>105.83333333333337</c:v>
                </c:pt>
                <c:pt idx="5">
                  <c:v>122.5</c:v>
                </c:pt>
                <c:pt idx="6">
                  <c:v>144.5</c:v>
                </c:pt>
                <c:pt idx="7">
                  <c:v>150.58333333333326</c:v>
                </c:pt>
                <c:pt idx="8">
                  <c:v>177.91666666666674</c:v>
                </c:pt>
                <c:pt idx="9">
                  <c:v>182.58333333333326</c:v>
                </c:pt>
                <c:pt idx="10">
                  <c:v>229.91666666666674</c:v>
                </c:pt>
                <c:pt idx="11">
                  <c:v>267.25</c:v>
                </c:pt>
                <c:pt idx="12">
                  <c:v>301.91666666666674</c:v>
                </c:pt>
                <c:pt idx="13">
                  <c:v>337.41666666666674</c:v>
                </c:pt>
                <c:pt idx="14">
                  <c:v>367.25</c:v>
                </c:pt>
                <c:pt idx="15">
                  <c:v>357.91666666666652</c:v>
                </c:pt>
                <c:pt idx="16">
                  <c:v>380.66666666666652</c:v>
                </c:pt>
                <c:pt idx="17">
                  <c:v>406.33333333333348</c:v>
                </c:pt>
                <c:pt idx="18">
                  <c:v>433.91666666666652</c:v>
                </c:pt>
                <c:pt idx="19">
                  <c:v>464.5</c:v>
                </c:pt>
                <c:pt idx="20">
                  <c:v>499.75</c:v>
                </c:pt>
                <c:pt idx="21">
                  <c:v>573.16666666666652</c:v>
                </c:pt>
              </c:numCache>
            </c:numRef>
          </c:val>
          <c:smooth val="0"/>
          <c:extLst>
            <c:ext xmlns:c16="http://schemas.microsoft.com/office/drawing/2014/chart" uri="{C3380CC4-5D6E-409C-BE32-E72D297353CC}">
              <c16:uniqueId val="{00000007-6483-8A44-8E26-00FFF85A6785}"/>
            </c:ext>
          </c:extLst>
        </c:ser>
        <c:ser>
          <c:idx val="10"/>
          <c:order val="8"/>
          <c:tx>
            <c:strRef>
              <c:f>Etappes!$AB$30</c:f>
              <c:strCache>
                <c:ptCount val="1"/>
                <c:pt idx="0">
                  <c:v>Freaky's manke Kruisbandjes</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-40.25</c:v>
                </c:pt>
                <c:pt idx="1">
                  <c:v>-108.08333333333331</c:v>
                </c:pt>
                <c:pt idx="2">
                  <c:v>-178.33333333333331</c:v>
                </c:pt>
                <c:pt idx="3">
                  <c:v>-245.5</c:v>
                </c:pt>
                <c:pt idx="4">
                  <c:v>-271.16666666666663</c:v>
                </c:pt>
                <c:pt idx="5">
                  <c:v>-305.5</c:v>
                </c:pt>
                <c:pt idx="6">
                  <c:v>-322.5</c:v>
                </c:pt>
                <c:pt idx="7">
                  <c:v>-351.41666666666674</c:v>
                </c:pt>
                <c:pt idx="8">
                  <c:v>-334.08333333333326</c:v>
                </c:pt>
                <c:pt idx="9">
                  <c:v>-319.41666666666674</c:v>
                </c:pt>
                <c:pt idx="10">
                  <c:v>-341.08333333333326</c:v>
                </c:pt>
                <c:pt idx="11">
                  <c:v>-358.75</c:v>
                </c:pt>
                <c:pt idx="12">
                  <c:v>-406.08333333333326</c:v>
                </c:pt>
                <c:pt idx="13">
                  <c:v>-417.58333333333326</c:v>
                </c:pt>
                <c:pt idx="14">
                  <c:v>-471.75</c:v>
                </c:pt>
                <c:pt idx="15">
                  <c:v>-448.08333333333348</c:v>
                </c:pt>
                <c:pt idx="16">
                  <c:v>-452.33333333333348</c:v>
                </c:pt>
                <c:pt idx="17">
                  <c:v>-462.66666666666652</c:v>
                </c:pt>
                <c:pt idx="18">
                  <c:v>-517.08333333333348</c:v>
                </c:pt>
                <c:pt idx="19">
                  <c:v>-527.5</c:v>
                </c:pt>
                <c:pt idx="20">
                  <c:v>-591.25</c:v>
                </c:pt>
                <c:pt idx="21">
                  <c:v>-624.83333333333348</c:v>
                </c:pt>
              </c:numCache>
            </c:numRef>
          </c:val>
          <c:smooth val="0"/>
          <c:extLst>
            <c:ext xmlns:c16="http://schemas.microsoft.com/office/drawing/2014/chart" uri="{C3380CC4-5D6E-409C-BE32-E72D297353CC}">
              <c16:uniqueId val="{00000008-6483-8A44-8E26-00FFF85A6785}"/>
            </c:ext>
          </c:extLst>
        </c:ser>
        <c:ser>
          <c:idx val="0"/>
          <c:order val="9"/>
          <c:tx>
            <c:strRef>
              <c:f>Etappes!$AB$31</c:f>
              <c:strCache>
                <c:ptCount val="1"/>
                <c:pt idx="0">
                  <c:v>IJffjes Boys</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-14.25</c:v>
                </c:pt>
                <c:pt idx="1">
                  <c:v>14.916666666666686</c:v>
                </c:pt>
                <c:pt idx="2">
                  <c:v>33.666666666666686</c:v>
                </c:pt>
                <c:pt idx="3">
                  <c:v>102.5</c:v>
                </c:pt>
                <c:pt idx="4">
                  <c:v>110.83333333333337</c:v>
                </c:pt>
                <c:pt idx="5">
                  <c:v>82.5</c:v>
                </c:pt>
                <c:pt idx="6">
                  <c:v>25.5</c:v>
                </c:pt>
                <c:pt idx="7">
                  <c:v>16.583333333333258</c:v>
                </c:pt>
                <c:pt idx="8">
                  <c:v>-29.083333333333258</c:v>
                </c:pt>
                <c:pt idx="9">
                  <c:v>-46.416666666666742</c:v>
                </c:pt>
                <c:pt idx="10">
                  <c:v>-80.083333333333258</c:v>
                </c:pt>
                <c:pt idx="11">
                  <c:v>-117.75</c:v>
                </c:pt>
                <c:pt idx="12">
                  <c:v>-123.08333333333326</c:v>
                </c:pt>
                <c:pt idx="13">
                  <c:v>-128.58333333333326</c:v>
                </c:pt>
                <c:pt idx="14">
                  <c:v>-102.75</c:v>
                </c:pt>
                <c:pt idx="15">
                  <c:v>-120.08333333333348</c:v>
                </c:pt>
                <c:pt idx="16">
                  <c:v>-158.33333333333348</c:v>
                </c:pt>
                <c:pt idx="17">
                  <c:v>-215.66666666666652</c:v>
                </c:pt>
                <c:pt idx="18">
                  <c:v>-224.08333333333348</c:v>
                </c:pt>
                <c:pt idx="19">
                  <c:v>-250.5</c:v>
                </c:pt>
                <c:pt idx="20">
                  <c:v>-228.25</c:v>
                </c:pt>
                <c:pt idx="21">
                  <c:v>-306.83333333333348</c:v>
                </c:pt>
              </c:numCache>
            </c:numRef>
          </c:val>
          <c:smooth val="0"/>
          <c:extLst>
            <c:ext xmlns:c16="http://schemas.microsoft.com/office/drawing/2014/chart" uri="{C3380CC4-5D6E-409C-BE32-E72D297353CC}">
              <c16:uniqueId val="{00000009-6483-8A44-8E26-00FFF85A6785}"/>
            </c:ext>
          </c:extLst>
        </c:ser>
        <c:ser>
          <c:idx val="1"/>
          <c:order val="10"/>
          <c:tx>
            <c:strRef>
              <c:f>Etappes!$AB$32</c:f>
              <c:strCache>
                <c:ptCount val="1"/>
                <c:pt idx="0">
                  <c:v>Am Selfkant</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-4.25</c:v>
                </c:pt>
                <c:pt idx="1">
                  <c:v>-15.083333333333314</c:v>
                </c:pt>
                <c:pt idx="2">
                  <c:v>-36.333333333333314</c:v>
                </c:pt>
                <c:pt idx="3">
                  <c:v>-33.5</c:v>
                </c:pt>
                <c:pt idx="4">
                  <c:v>-26.166666666666629</c:v>
                </c:pt>
                <c:pt idx="5">
                  <c:v>-86.5</c:v>
                </c:pt>
                <c:pt idx="6">
                  <c:v>-117.5</c:v>
                </c:pt>
                <c:pt idx="7">
                  <c:v>-152.41666666666674</c:v>
                </c:pt>
                <c:pt idx="8">
                  <c:v>-174.08333333333326</c:v>
                </c:pt>
                <c:pt idx="9">
                  <c:v>-147.41666666666674</c:v>
                </c:pt>
                <c:pt idx="10">
                  <c:v>-210.08333333333326</c:v>
                </c:pt>
                <c:pt idx="11">
                  <c:v>-229.75</c:v>
                </c:pt>
                <c:pt idx="12">
                  <c:v>-226.08333333333326</c:v>
                </c:pt>
                <c:pt idx="13">
                  <c:v>-234.58333333333326</c:v>
                </c:pt>
                <c:pt idx="14">
                  <c:v>-260.75</c:v>
                </c:pt>
                <c:pt idx="15">
                  <c:v>-263.08333333333348</c:v>
                </c:pt>
                <c:pt idx="16">
                  <c:v>-310.33333333333348</c:v>
                </c:pt>
                <c:pt idx="17">
                  <c:v>-364.66666666666652</c:v>
                </c:pt>
                <c:pt idx="18">
                  <c:v>-405.08333333333348</c:v>
                </c:pt>
                <c:pt idx="19">
                  <c:v>-412.5</c:v>
                </c:pt>
                <c:pt idx="20">
                  <c:v>-458.25</c:v>
                </c:pt>
                <c:pt idx="21">
                  <c:v>-555.83333333333348</c:v>
                </c:pt>
              </c:numCache>
            </c:numRef>
          </c:val>
          <c:smooth val="0"/>
          <c:extLst>
            <c:ext xmlns:c16="http://schemas.microsoft.com/office/drawing/2014/chart" uri="{C3380CC4-5D6E-409C-BE32-E72D297353CC}">
              <c16:uniqueId val="{00000000-A6C7-40D4-A6D6-046AA792FFDB}"/>
            </c:ext>
          </c:extLst>
        </c:ser>
        <c:ser>
          <c:idx val="11"/>
          <c:order val="11"/>
          <c:tx>
            <c:strRef>
              <c:f>Etappes!$AB$33</c:f>
              <c:strCache>
                <c:ptCount val="1"/>
                <c:pt idx="0">
                  <c:v>Kol de la Madeleine</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Etappes!$AC$33:$AX$33</c:f>
              <c:numCache>
                <c:formatCode>0</c:formatCode>
                <c:ptCount val="22"/>
                <c:pt idx="0">
                  <c:v>-19.25</c:v>
                </c:pt>
                <c:pt idx="1">
                  <c:v>-65.083333333333314</c:v>
                </c:pt>
                <c:pt idx="2">
                  <c:v>-106.33333333333331</c:v>
                </c:pt>
                <c:pt idx="3">
                  <c:v>-129.5</c:v>
                </c:pt>
                <c:pt idx="4">
                  <c:v>-117.16666666666663</c:v>
                </c:pt>
                <c:pt idx="5">
                  <c:v>-115.5</c:v>
                </c:pt>
                <c:pt idx="6">
                  <c:v>-126.5</c:v>
                </c:pt>
                <c:pt idx="7">
                  <c:v>-136.41666666666674</c:v>
                </c:pt>
                <c:pt idx="8">
                  <c:v>-153.08333333333326</c:v>
                </c:pt>
                <c:pt idx="9">
                  <c:v>-158.41666666666674</c:v>
                </c:pt>
                <c:pt idx="10">
                  <c:v>-168.08333333333326</c:v>
                </c:pt>
                <c:pt idx="11">
                  <c:v>-177.75</c:v>
                </c:pt>
                <c:pt idx="12">
                  <c:v>-202.08333333333326</c:v>
                </c:pt>
                <c:pt idx="13">
                  <c:v>-177.58333333333326</c:v>
                </c:pt>
                <c:pt idx="14">
                  <c:v>-231.75</c:v>
                </c:pt>
                <c:pt idx="15">
                  <c:v>-273.08333333333348</c:v>
                </c:pt>
                <c:pt idx="16">
                  <c:v>-270.33333333333348</c:v>
                </c:pt>
                <c:pt idx="17">
                  <c:v>-286.66666666666652</c:v>
                </c:pt>
                <c:pt idx="18">
                  <c:v>-294.08333333333348</c:v>
                </c:pt>
                <c:pt idx="19">
                  <c:v>-308.5</c:v>
                </c:pt>
                <c:pt idx="20">
                  <c:v>-319.25</c:v>
                </c:pt>
                <c:pt idx="21">
                  <c:v>-327.83333333333348</c:v>
                </c:pt>
              </c:numCache>
            </c:numRef>
          </c:val>
          <c:smooth val="0"/>
          <c:extLst>
            <c:ext xmlns:c16="http://schemas.microsoft.com/office/drawing/2014/chart" uri="{C3380CC4-5D6E-409C-BE32-E72D297353CC}">
              <c16:uniqueId val="{00000001-548E-4097-BD4D-49BD0059A23B}"/>
            </c:ext>
          </c:extLst>
        </c:ser>
        <c:ser>
          <c:idx val="12"/>
          <c:order val="12"/>
          <c:tx>
            <c:strRef>
              <c:f>Etappes!#REF!</c:f>
              <c:strCache>
                <c:ptCount val="1"/>
                <c:pt idx="0">
                  <c:v>#VERW!</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Cache>
                <c:formatCode>General</c:formatCode>
                <c:ptCount val="1"/>
                <c:pt idx="0">
                  <c:v>1</c:v>
                </c:pt>
              </c:numCache>
            </c:numRef>
          </c:val>
          <c:smooth val="0"/>
          <c:extLst>
            <c:ext xmlns:c16="http://schemas.microsoft.com/office/drawing/2014/chart" uri="{C3380CC4-5D6E-409C-BE32-E72D297353CC}">
              <c16:uniqueId val="{00000002-548E-4097-BD4D-49BD0059A23B}"/>
            </c:ext>
          </c:extLst>
        </c:ser>
        <c:dLbls>
          <c:showLegendKey val="0"/>
          <c:showVal val="0"/>
          <c:showCatName val="0"/>
          <c:showSerName val="0"/>
          <c:showPercent val="0"/>
          <c:showBubbleSize val="0"/>
        </c:dLbls>
        <c:marker val="1"/>
        <c:smooth val="0"/>
        <c:axId val="120837248"/>
        <c:axId val="120838784"/>
      </c:lineChart>
      <c:catAx>
        <c:axId val="120837248"/>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0838784"/>
        <c:crosses val="autoZero"/>
        <c:auto val="1"/>
        <c:lblAlgn val="ctr"/>
        <c:lblOffset val="100"/>
        <c:tickLblSkip val="1"/>
        <c:tickMarkSkip val="1"/>
        <c:noMultiLvlLbl val="0"/>
      </c:catAx>
      <c:valAx>
        <c:axId val="120838784"/>
        <c:scaling>
          <c:orientation val="minMax"/>
          <c:max val="50"/>
          <c:min val="-50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0837248"/>
        <c:crosses val="autoZero"/>
        <c:crossBetween val="midCat"/>
      </c:valAx>
      <c:spPr>
        <a:noFill/>
        <a:ln w="25400">
          <a:noFill/>
        </a:ln>
      </c:spPr>
    </c:plotArea>
    <c:legend>
      <c:legendPos val="r"/>
      <c:legendEntry>
        <c:idx val="12"/>
        <c:delete val="1"/>
      </c:legendEntry>
      <c:layout>
        <c:manualLayout>
          <c:xMode val="edge"/>
          <c:yMode val="edge"/>
          <c:x val="5.8255773871078907E-2"/>
          <c:y val="0.88587570621469502"/>
          <c:w val="0.8729152543845925"/>
          <c:h val="0.11412429378531073"/>
        </c:manualLayout>
      </c:layout>
      <c:overlay val="0"/>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2022 - de Duitsers</a:t>
            </a:r>
          </a:p>
        </c:rich>
      </c:tx>
      <c:layout>
        <c:manualLayout>
          <c:xMode val="edge"/>
          <c:yMode val="edge"/>
          <c:x val="0.33092037228545568"/>
          <c:y val="2.0338983050847428E-2"/>
        </c:manualLayout>
      </c:layout>
      <c:overlay val="0"/>
      <c:spPr>
        <a:noFill/>
        <a:ln w="25400">
          <a:noFill/>
        </a:ln>
      </c:spPr>
    </c:title>
    <c:autoTitleDeleted val="0"/>
    <c:plotArea>
      <c:layout>
        <c:manualLayout>
          <c:layoutTarget val="inner"/>
          <c:xMode val="edge"/>
          <c:yMode val="edge"/>
          <c:x val="1.9648397104446741E-2"/>
          <c:y val="0.10508474576271733"/>
          <c:w val="0.93726301275422252"/>
          <c:h val="0.7525423728813555"/>
        </c:manualLayout>
      </c:layout>
      <c:lineChart>
        <c:grouping val="standard"/>
        <c:varyColors val="0"/>
        <c:ser>
          <c:idx val="3"/>
          <c:order val="0"/>
          <c:tx>
            <c:strRef>
              <c:f>Etappes!$AB$22</c:f>
              <c:strCache>
                <c:ptCount val="1"/>
                <c:pt idx="0">
                  <c:v>Onder de vod</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5.75</c:v>
                </c:pt>
                <c:pt idx="1">
                  <c:v>-8.3333333333314386E-2</c:v>
                </c:pt>
                <c:pt idx="2">
                  <c:v>-0.33333333333331439</c:v>
                </c:pt>
                <c:pt idx="3">
                  <c:v>3.5</c:v>
                </c:pt>
                <c:pt idx="4">
                  <c:v>4.8333333333333712</c:v>
                </c:pt>
                <c:pt idx="5">
                  <c:v>48.5</c:v>
                </c:pt>
                <c:pt idx="6">
                  <c:v>98.5</c:v>
                </c:pt>
                <c:pt idx="7">
                  <c:v>140.58333333333326</c:v>
                </c:pt>
                <c:pt idx="8">
                  <c:v>157.91666666666674</c:v>
                </c:pt>
                <c:pt idx="9">
                  <c:v>156.58333333333326</c:v>
                </c:pt>
                <c:pt idx="10">
                  <c:v>178.91666666666674</c:v>
                </c:pt>
                <c:pt idx="11">
                  <c:v>190.25</c:v>
                </c:pt>
                <c:pt idx="12">
                  <c:v>210.91666666666674</c:v>
                </c:pt>
                <c:pt idx="13">
                  <c:v>231.41666666666674</c:v>
                </c:pt>
                <c:pt idx="14">
                  <c:v>222.25</c:v>
                </c:pt>
                <c:pt idx="15">
                  <c:v>229.91666666666652</c:v>
                </c:pt>
                <c:pt idx="16">
                  <c:v>250.66666666666652</c:v>
                </c:pt>
                <c:pt idx="17">
                  <c:v>266.33333333333348</c:v>
                </c:pt>
                <c:pt idx="18">
                  <c:v>262.91666666666652</c:v>
                </c:pt>
                <c:pt idx="19">
                  <c:v>271.5</c:v>
                </c:pt>
                <c:pt idx="20">
                  <c:v>241.75</c:v>
                </c:pt>
                <c:pt idx="21">
                  <c:v>261.16666666666652</c:v>
                </c:pt>
              </c:numCache>
            </c:numRef>
          </c:val>
          <c:smooth val="0"/>
          <c:extLst>
            <c:ext xmlns:c16="http://schemas.microsoft.com/office/drawing/2014/chart" uri="{C3380CC4-5D6E-409C-BE32-E72D297353CC}">
              <c16:uniqueId val="{00000000-678E-4677-87D5-446C3BDF6525}"/>
            </c:ext>
          </c:extLst>
        </c:ser>
        <c:ser>
          <c:idx val="8"/>
          <c:order val="1"/>
          <c:tx>
            <c:strRef>
              <c:f>Etappes!$AB$23</c:f>
              <c:strCache>
                <c:ptCount val="1"/>
                <c:pt idx="0">
                  <c:v>Tins Tour Toppers</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-15.25</c:v>
                </c:pt>
                <c:pt idx="1">
                  <c:v>-8.0833333333333144</c:v>
                </c:pt>
                <c:pt idx="2">
                  <c:v>6.6666666666666856</c:v>
                </c:pt>
                <c:pt idx="3">
                  <c:v>-8.5</c:v>
                </c:pt>
                <c:pt idx="4">
                  <c:v>-7.1666666666666288</c:v>
                </c:pt>
                <c:pt idx="5">
                  <c:v>9.5</c:v>
                </c:pt>
                <c:pt idx="6">
                  <c:v>32.5</c:v>
                </c:pt>
                <c:pt idx="7">
                  <c:v>31.583333333333258</c:v>
                </c:pt>
                <c:pt idx="8">
                  <c:v>48.916666666666742</c:v>
                </c:pt>
                <c:pt idx="9">
                  <c:v>47.583333333333258</c:v>
                </c:pt>
                <c:pt idx="10">
                  <c:v>69.916666666666742</c:v>
                </c:pt>
                <c:pt idx="11">
                  <c:v>115.25</c:v>
                </c:pt>
                <c:pt idx="12">
                  <c:v>127.91666666666674</c:v>
                </c:pt>
                <c:pt idx="13">
                  <c:v>122.41666666666674</c:v>
                </c:pt>
                <c:pt idx="14">
                  <c:v>154.25</c:v>
                </c:pt>
                <c:pt idx="15">
                  <c:v>169.91666666666652</c:v>
                </c:pt>
                <c:pt idx="16">
                  <c:v>212.66666666666652</c:v>
                </c:pt>
                <c:pt idx="17">
                  <c:v>248.33333333333348</c:v>
                </c:pt>
                <c:pt idx="18">
                  <c:v>295.91666666666652</c:v>
                </c:pt>
                <c:pt idx="19">
                  <c:v>292.5</c:v>
                </c:pt>
                <c:pt idx="20">
                  <c:v>329.75</c:v>
                </c:pt>
                <c:pt idx="21">
                  <c:v>385.16666666666652</c:v>
                </c:pt>
              </c:numCache>
            </c:numRef>
          </c:val>
          <c:smooth val="0"/>
          <c:extLst>
            <c:ext xmlns:c16="http://schemas.microsoft.com/office/drawing/2014/chart" uri="{C3380CC4-5D6E-409C-BE32-E72D297353CC}">
              <c16:uniqueId val="{00000001-678E-4677-87D5-446C3BDF6525}"/>
            </c:ext>
          </c:extLst>
        </c:ser>
        <c:ser>
          <c:idx val="7"/>
          <c:order val="2"/>
          <c:tx>
            <c:strRef>
              <c:f>Etappes!$AB$24</c:f>
              <c:strCache>
                <c:ptCount val="1"/>
                <c:pt idx="0">
                  <c:v>Prof's ploegje</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1.75</c:v>
                </c:pt>
                <c:pt idx="1">
                  <c:v>14.916666666666686</c:v>
                </c:pt>
                <c:pt idx="2">
                  <c:v>34.666666666666686</c:v>
                </c:pt>
                <c:pt idx="3">
                  <c:v>24.5</c:v>
                </c:pt>
                <c:pt idx="4">
                  <c:v>27.833333333333371</c:v>
                </c:pt>
                <c:pt idx="5">
                  <c:v>41.5</c:v>
                </c:pt>
                <c:pt idx="6">
                  <c:v>50.5</c:v>
                </c:pt>
                <c:pt idx="7">
                  <c:v>42.583333333333258</c:v>
                </c:pt>
                <c:pt idx="8">
                  <c:v>47.916666666666742</c:v>
                </c:pt>
                <c:pt idx="9">
                  <c:v>43.583333333333258</c:v>
                </c:pt>
                <c:pt idx="10">
                  <c:v>67.916666666666742</c:v>
                </c:pt>
                <c:pt idx="11">
                  <c:v>62.25</c:v>
                </c:pt>
                <c:pt idx="12">
                  <c:v>78.916666666666742</c:v>
                </c:pt>
                <c:pt idx="13">
                  <c:v>46.416666666666742</c:v>
                </c:pt>
                <c:pt idx="14">
                  <c:v>54.25</c:v>
                </c:pt>
                <c:pt idx="15">
                  <c:v>49.916666666666515</c:v>
                </c:pt>
                <c:pt idx="16">
                  <c:v>47.666666666666515</c:v>
                </c:pt>
                <c:pt idx="17">
                  <c:v>59.333333333333485</c:v>
                </c:pt>
                <c:pt idx="18">
                  <c:v>57.916666666666515</c:v>
                </c:pt>
                <c:pt idx="19">
                  <c:v>61.5</c:v>
                </c:pt>
                <c:pt idx="20">
                  <c:v>65.75</c:v>
                </c:pt>
                <c:pt idx="21">
                  <c:v>99.166666666666515</c:v>
                </c:pt>
              </c:numCache>
            </c:numRef>
          </c:val>
          <c:smooth val="0"/>
          <c:extLst>
            <c:ext xmlns:c16="http://schemas.microsoft.com/office/drawing/2014/chart" uri="{C3380CC4-5D6E-409C-BE32-E72D297353CC}">
              <c16:uniqueId val="{00000002-678E-4677-87D5-446C3BDF6525}"/>
            </c:ext>
          </c:extLst>
        </c:ser>
        <c:ser>
          <c:idx val="6"/>
          <c:order val="3"/>
          <c:tx>
            <c:strRef>
              <c:f>Etappes!$AB$25</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-31.25</c:v>
                </c:pt>
                <c:pt idx="1">
                  <c:v>-44.083333333333314</c:v>
                </c:pt>
                <c:pt idx="2">
                  <c:v>-35.333333333333314</c:v>
                </c:pt>
                <c:pt idx="3">
                  <c:v>-30.5</c:v>
                </c:pt>
                <c:pt idx="4">
                  <c:v>-34.166666666666629</c:v>
                </c:pt>
                <c:pt idx="5">
                  <c:v>-19.5</c:v>
                </c:pt>
                <c:pt idx="6">
                  <c:v>-16.5</c:v>
                </c:pt>
                <c:pt idx="7">
                  <c:v>13.583333333333258</c:v>
                </c:pt>
                <c:pt idx="8">
                  <c:v>8.9166666666667425</c:v>
                </c:pt>
                <c:pt idx="9">
                  <c:v>1.5833333333332575</c:v>
                </c:pt>
                <c:pt idx="10">
                  <c:v>12.916666666666742</c:v>
                </c:pt>
                <c:pt idx="11">
                  <c:v>-0.75</c:v>
                </c:pt>
                <c:pt idx="12">
                  <c:v>-33.083333333333258</c:v>
                </c:pt>
                <c:pt idx="13">
                  <c:v>-32.583333333333258</c:v>
                </c:pt>
                <c:pt idx="14">
                  <c:v>-39.75</c:v>
                </c:pt>
                <c:pt idx="15">
                  <c:v>-22.083333333333485</c:v>
                </c:pt>
                <c:pt idx="16">
                  <c:v>-20.333333333333485</c:v>
                </c:pt>
                <c:pt idx="17">
                  <c:v>-6.6666666666665151</c:v>
                </c:pt>
                <c:pt idx="18">
                  <c:v>21.916666666666515</c:v>
                </c:pt>
                <c:pt idx="19">
                  <c:v>15.5</c:v>
                </c:pt>
                <c:pt idx="20">
                  <c:v>43.75</c:v>
                </c:pt>
                <c:pt idx="21">
                  <c:v>65.166666666666515</c:v>
                </c:pt>
              </c:numCache>
            </c:numRef>
          </c:val>
          <c:smooth val="0"/>
          <c:extLst>
            <c:ext xmlns:c16="http://schemas.microsoft.com/office/drawing/2014/chart" uri="{C3380CC4-5D6E-409C-BE32-E72D297353CC}">
              <c16:uniqueId val="{00000003-678E-4677-87D5-446C3BDF6525}"/>
            </c:ext>
          </c:extLst>
        </c:ser>
        <c:ser>
          <c:idx val="4"/>
          <c:order val="4"/>
          <c:tx>
            <c:strRef>
              <c:f>Etappes!$AB$26</c:f>
              <c:strCache>
                <c:ptCount val="1"/>
                <c:pt idx="0">
                  <c:v>Lothar blijft positief</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27.75</c:v>
                </c:pt>
                <c:pt idx="1">
                  <c:v>0.91666666666668561</c:v>
                </c:pt>
                <c:pt idx="2">
                  <c:v>-43.333333333333314</c:v>
                </c:pt>
                <c:pt idx="3">
                  <c:v>-67.5</c:v>
                </c:pt>
                <c:pt idx="4">
                  <c:v>-82.166666666666629</c:v>
                </c:pt>
                <c:pt idx="5">
                  <c:v>-13.5</c:v>
                </c:pt>
                <c:pt idx="6">
                  <c:v>29.5</c:v>
                </c:pt>
                <c:pt idx="7">
                  <c:v>85.583333333333258</c:v>
                </c:pt>
                <c:pt idx="8">
                  <c:v>104.91666666666674</c:v>
                </c:pt>
                <c:pt idx="9">
                  <c:v>110.58333333333326</c:v>
                </c:pt>
                <c:pt idx="10">
                  <c:v>144.91666666666674</c:v>
                </c:pt>
                <c:pt idx="11">
                  <c:v>197.25</c:v>
                </c:pt>
                <c:pt idx="12">
                  <c:v>200.91666666666674</c:v>
                </c:pt>
                <c:pt idx="13">
                  <c:v>234.41666666666674</c:v>
                </c:pt>
                <c:pt idx="14">
                  <c:v>216.25</c:v>
                </c:pt>
                <c:pt idx="15">
                  <c:v>209.91666666666652</c:v>
                </c:pt>
                <c:pt idx="16">
                  <c:v>231.66666666666652</c:v>
                </c:pt>
                <c:pt idx="17">
                  <c:v>248.33333333333348</c:v>
                </c:pt>
                <c:pt idx="18">
                  <c:v>249.91666666666652</c:v>
                </c:pt>
                <c:pt idx="19">
                  <c:v>264.5</c:v>
                </c:pt>
                <c:pt idx="20">
                  <c:v>237.75</c:v>
                </c:pt>
                <c:pt idx="21">
                  <c:v>268.16666666666652</c:v>
                </c:pt>
              </c:numCache>
            </c:numRef>
          </c:val>
          <c:smooth val="0"/>
          <c:extLst>
            <c:ext xmlns:c16="http://schemas.microsoft.com/office/drawing/2014/chart" uri="{C3380CC4-5D6E-409C-BE32-E72D297353CC}">
              <c16:uniqueId val="{00000004-678E-4677-87D5-446C3BDF6525}"/>
            </c:ext>
          </c:extLst>
        </c:ser>
        <c:ser>
          <c:idx val="9"/>
          <c:order val="5"/>
          <c:tx>
            <c:strRef>
              <c:f>Etappes!$AB$27</c:f>
              <c:strCache>
                <c:ptCount val="1"/>
                <c:pt idx="0">
                  <c:v>De Lange Man</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29.75</c:v>
                </c:pt>
                <c:pt idx="1">
                  <c:v>89.916666666666686</c:v>
                </c:pt>
                <c:pt idx="2">
                  <c:v>148.66666666666669</c:v>
                </c:pt>
                <c:pt idx="3">
                  <c:v>179.5</c:v>
                </c:pt>
                <c:pt idx="4">
                  <c:v>182.83333333333337</c:v>
                </c:pt>
                <c:pt idx="5">
                  <c:v>154.5</c:v>
                </c:pt>
                <c:pt idx="6">
                  <c:v>128.5</c:v>
                </c:pt>
                <c:pt idx="7">
                  <c:v>96.583333333333258</c:v>
                </c:pt>
                <c:pt idx="8">
                  <c:v>102.91666666666674</c:v>
                </c:pt>
                <c:pt idx="9">
                  <c:v>95.583333333333258</c:v>
                </c:pt>
                <c:pt idx="10">
                  <c:v>76.916666666666742</c:v>
                </c:pt>
                <c:pt idx="11">
                  <c:v>65.25</c:v>
                </c:pt>
                <c:pt idx="12">
                  <c:v>74.916666666666742</c:v>
                </c:pt>
                <c:pt idx="13">
                  <c:v>61.416666666666742</c:v>
                </c:pt>
                <c:pt idx="14">
                  <c:v>108.25</c:v>
                </c:pt>
                <c:pt idx="15">
                  <c:v>99.916666666666515</c:v>
                </c:pt>
                <c:pt idx="16">
                  <c:v>92.666666666666515</c:v>
                </c:pt>
                <c:pt idx="17">
                  <c:v>105.33333333333348</c:v>
                </c:pt>
                <c:pt idx="18">
                  <c:v>102.91666666666652</c:v>
                </c:pt>
                <c:pt idx="19">
                  <c:v>102.5</c:v>
                </c:pt>
                <c:pt idx="20">
                  <c:v>143.75</c:v>
                </c:pt>
                <c:pt idx="21">
                  <c:v>133.16666666666652</c:v>
                </c:pt>
              </c:numCache>
            </c:numRef>
          </c:val>
          <c:smooth val="0"/>
          <c:extLst>
            <c:ext xmlns:c16="http://schemas.microsoft.com/office/drawing/2014/chart" uri="{C3380CC4-5D6E-409C-BE32-E72D297353CC}">
              <c16:uniqueId val="{00000005-678E-4677-87D5-446C3BDF6525}"/>
            </c:ext>
          </c:extLst>
        </c:ser>
        <c:ser>
          <c:idx val="5"/>
          <c:order val="6"/>
          <c:tx>
            <c:strRef>
              <c:f>Etappes!$AB$28</c:f>
              <c:strCache>
                <c:ptCount val="1"/>
                <c:pt idx="0">
                  <c:v>El Gran</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9.75</c:v>
                </c:pt>
                <c:pt idx="1">
                  <c:v>45.916666666666686</c:v>
                </c:pt>
                <c:pt idx="2">
                  <c:v>86.666666666666686</c:v>
                </c:pt>
                <c:pt idx="3">
                  <c:v>103.5</c:v>
                </c:pt>
                <c:pt idx="4">
                  <c:v>105.83333333333337</c:v>
                </c:pt>
                <c:pt idx="5">
                  <c:v>81.5</c:v>
                </c:pt>
                <c:pt idx="6">
                  <c:v>73.5</c:v>
                </c:pt>
                <c:pt idx="7">
                  <c:v>62.583333333333258</c:v>
                </c:pt>
                <c:pt idx="8">
                  <c:v>40.916666666666742</c:v>
                </c:pt>
                <c:pt idx="9">
                  <c:v>33.583333333333258</c:v>
                </c:pt>
                <c:pt idx="10">
                  <c:v>17.916666666666742</c:v>
                </c:pt>
                <c:pt idx="11">
                  <c:v>-12.75</c:v>
                </c:pt>
                <c:pt idx="12">
                  <c:v>-5.0833333333332575</c:v>
                </c:pt>
                <c:pt idx="13">
                  <c:v>-42.583333333333258</c:v>
                </c:pt>
                <c:pt idx="14">
                  <c:v>-15.75</c:v>
                </c:pt>
                <c:pt idx="15">
                  <c:v>8.9166666666665151</c:v>
                </c:pt>
                <c:pt idx="16">
                  <c:v>-4.3333333333334849</c:v>
                </c:pt>
                <c:pt idx="17">
                  <c:v>2.3333333333334849</c:v>
                </c:pt>
                <c:pt idx="18">
                  <c:v>14.916666666666515</c:v>
                </c:pt>
                <c:pt idx="19">
                  <c:v>26.5</c:v>
                </c:pt>
                <c:pt idx="20">
                  <c:v>34.75</c:v>
                </c:pt>
                <c:pt idx="21">
                  <c:v>30.166666666666515</c:v>
                </c:pt>
              </c:numCache>
            </c:numRef>
          </c:val>
          <c:smooth val="0"/>
          <c:extLst>
            <c:ext xmlns:c16="http://schemas.microsoft.com/office/drawing/2014/chart" uri="{C3380CC4-5D6E-409C-BE32-E72D297353CC}">
              <c16:uniqueId val="{00000006-678E-4677-87D5-446C3BDF6525}"/>
            </c:ext>
          </c:extLst>
        </c:ser>
        <c:ser>
          <c:idx val="2"/>
          <c:order val="7"/>
          <c:tx>
            <c:strRef>
              <c:f>Etappes!$AB$29</c:f>
              <c:strCache>
                <c:ptCount val="1"/>
                <c:pt idx="0">
                  <c:v>Majella køp dr vør </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49.75</c:v>
                </c:pt>
                <c:pt idx="1">
                  <c:v>73.916666666666686</c:v>
                </c:pt>
                <c:pt idx="2">
                  <c:v>89.666666666666686</c:v>
                </c:pt>
                <c:pt idx="3">
                  <c:v>101.5</c:v>
                </c:pt>
                <c:pt idx="4">
                  <c:v>105.83333333333337</c:v>
                </c:pt>
                <c:pt idx="5">
                  <c:v>122.5</c:v>
                </c:pt>
                <c:pt idx="6">
                  <c:v>144.5</c:v>
                </c:pt>
                <c:pt idx="7">
                  <c:v>150.58333333333326</c:v>
                </c:pt>
                <c:pt idx="8">
                  <c:v>177.91666666666674</c:v>
                </c:pt>
                <c:pt idx="9">
                  <c:v>182.58333333333326</c:v>
                </c:pt>
                <c:pt idx="10">
                  <c:v>229.91666666666674</c:v>
                </c:pt>
                <c:pt idx="11">
                  <c:v>267.25</c:v>
                </c:pt>
                <c:pt idx="12">
                  <c:v>301.91666666666674</c:v>
                </c:pt>
                <c:pt idx="13">
                  <c:v>337.41666666666674</c:v>
                </c:pt>
                <c:pt idx="14">
                  <c:v>367.25</c:v>
                </c:pt>
                <c:pt idx="15">
                  <c:v>357.91666666666652</c:v>
                </c:pt>
                <c:pt idx="16">
                  <c:v>380.66666666666652</c:v>
                </c:pt>
                <c:pt idx="17">
                  <c:v>406.33333333333348</c:v>
                </c:pt>
                <c:pt idx="18">
                  <c:v>433.91666666666652</c:v>
                </c:pt>
                <c:pt idx="19">
                  <c:v>464.5</c:v>
                </c:pt>
                <c:pt idx="20">
                  <c:v>499.75</c:v>
                </c:pt>
                <c:pt idx="21">
                  <c:v>573.16666666666652</c:v>
                </c:pt>
              </c:numCache>
            </c:numRef>
          </c:val>
          <c:smooth val="0"/>
          <c:extLst>
            <c:ext xmlns:c16="http://schemas.microsoft.com/office/drawing/2014/chart" uri="{C3380CC4-5D6E-409C-BE32-E72D297353CC}">
              <c16:uniqueId val="{00000007-678E-4677-87D5-446C3BDF6525}"/>
            </c:ext>
          </c:extLst>
        </c:ser>
        <c:ser>
          <c:idx val="10"/>
          <c:order val="8"/>
          <c:tx>
            <c:strRef>
              <c:f>Etappes!$AB$30</c:f>
              <c:strCache>
                <c:ptCount val="1"/>
                <c:pt idx="0">
                  <c:v>Freaky's manke Kruisbandjes</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-40.25</c:v>
                </c:pt>
                <c:pt idx="1">
                  <c:v>-108.08333333333331</c:v>
                </c:pt>
                <c:pt idx="2">
                  <c:v>-178.33333333333331</c:v>
                </c:pt>
                <c:pt idx="3">
                  <c:v>-245.5</c:v>
                </c:pt>
                <c:pt idx="4">
                  <c:v>-271.16666666666663</c:v>
                </c:pt>
                <c:pt idx="5">
                  <c:v>-305.5</c:v>
                </c:pt>
                <c:pt idx="6">
                  <c:v>-322.5</c:v>
                </c:pt>
                <c:pt idx="7">
                  <c:v>-351.41666666666674</c:v>
                </c:pt>
                <c:pt idx="8">
                  <c:v>-334.08333333333326</c:v>
                </c:pt>
                <c:pt idx="9">
                  <c:v>-319.41666666666674</c:v>
                </c:pt>
                <c:pt idx="10">
                  <c:v>-341.08333333333326</c:v>
                </c:pt>
                <c:pt idx="11">
                  <c:v>-358.75</c:v>
                </c:pt>
                <c:pt idx="12">
                  <c:v>-406.08333333333326</c:v>
                </c:pt>
                <c:pt idx="13">
                  <c:v>-417.58333333333326</c:v>
                </c:pt>
                <c:pt idx="14">
                  <c:v>-471.75</c:v>
                </c:pt>
                <c:pt idx="15">
                  <c:v>-448.08333333333348</c:v>
                </c:pt>
                <c:pt idx="16">
                  <c:v>-452.33333333333348</c:v>
                </c:pt>
                <c:pt idx="17">
                  <c:v>-462.66666666666652</c:v>
                </c:pt>
                <c:pt idx="18">
                  <c:v>-517.08333333333348</c:v>
                </c:pt>
                <c:pt idx="19">
                  <c:v>-527.5</c:v>
                </c:pt>
                <c:pt idx="20">
                  <c:v>-591.25</c:v>
                </c:pt>
                <c:pt idx="21">
                  <c:v>-624.83333333333348</c:v>
                </c:pt>
              </c:numCache>
            </c:numRef>
          </c:val>
          <c:smooth val="0"/>
          <c:extLst>
            <c:ext xmlns:c16="http://schemas.microsoft.com/office/drawing/2014/chart" uri="{C3380CC4-5D6E-409C-BE32-E72D297353CC}">
              <c16:uniqueId val="{00000008-678E-4677-87D5-446C3BDF6525}"/>
            </c:ext>
          </c:extLst>
        </c:ser>
        <c:ser>
          <c:idx val="0"/>
          <c:order val="9"/>
          <c:tx>
            <c:strRef>
              <c:f>Etappes!$AB$31</c:f>
              <c:strCache>
                <c:ptCount val="1"/>
                <c:pt idx="0">
                  <c:v>IJffjes Boys</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-14.25</c:v>
                </c:pt>
                <c:pt idx="1">
                  <c:v>14.916666666666686</c:v>
                </c:pt>
                <c:pt idx="2">
                  <c:v>33.666666666666686</c:v>
                </c:pt>
                <c:pt idx="3">
                  <c:v>102.5</c:v>
                </c:pt>
                <c:pt idx="4">
                  <c:v>110.83333333333337</c:v>
                </c:pt>
                <c:pt idx="5">
                  <c:v>82.5</c:v>
                </c:pt>
                <c:pt idx="6">
                  <c:v>25.5</c:v>
                </c:pt>
                <c:pt idx="7">
                  <c:v>16.583333333333258</c:v>
                </c:pt>
                <c:pt idx="8">
                  <c:v>-29.083333333333258</c:v>
                </c:pt>
                <c:pt idx="9">
                  <c:v>-46.416666666666742</c:v>
                </c:pt>
                <c:pt idx="10">
                  <c:v>-80.083333333333258</c:v>
                </c:pt>
                <c:pt idx="11">
                  <c:v>-117.75</c:v>
                </c:pt>
                <c:pt idx="12">
                  <c:v>-123.08333333333326</c:v>
                </c:pt>
                <c:pt idx="13">
                  <c:v>-128.58333333333326</c:v>
                </c:pt>
                <c:pt idx="14">
                  <c:v>-102.75</c:v>
                </c:pt>
                <c:pt idx="15">
                  <c:v>-120.08333333333348</c:v>
                </c:pt>
                <c:pt idx="16">
                  <c:v>-158.33333333333348</c:v>
                </c:pt>
                <c:pt idx="17">
                  <c:v>-215.66666666666652</c:v>
                </c:pt>
                <c:pt idx="18">
                  <c:v>-224.08333333333348</c:v>
                </c:pt>
                <c:pt idx="19">
                  <c:v>-250.5</c:v>
                </c:pt>
                <c:pt idx="20">
                  <c:v>-228.25</c:v>
                </c:pt>
                <c:pt idx="21">
                  <c:v>-306.83333333333348</c:v>
                </c:pt>
              </c:numCache>
            </c:numRef>
          </c:val>
          <c:smooth val="0"/>
          <c:extLst>
            <c:ext xmlns:c16="http://schemas.microsoft.com/office/drawing/2014/chart" uri="{C3380CC4-5D6E-409C-BE32-E72D297353CC}">
              <c16:uniqueId val="{00000009-678E-4677-87D5-446C3BDF6525}"/>
            </c:ext>
          </c:extLst>
        </c:ser>
        <c:ser>
          <c:idx val="1"/>
          <c:order val="10"/>
          <c:tx>
            <c:strRef>
              <c:f>Etappes!$AB$32</c:f>
              <c:strCache>
                <c:ptCount val="1"/>
                <c:pt idx="0">
                  <c:v>Am Selfkant</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-4.25</c:v>
                </c:pt>
                <c:pt idx="1">
                  <c:v>-15.083333333333314</c:v>
                </c:pt>
                <c:pt idx="2">
                  <c:v>-36.333333333333314</c:v>
                </c:pt>
                <c:pt idx="3">
                  <c:v>-33.5</c:v>
                </c:pt>
                <c:pt idx="4">
                  <c:v>-26.166666666666629</c:v>
                </c:pt>
                <c:pt idx="5">
                  <c:v>-86.5</c:v>
                </c:pt>
                <c:pt idx="6">
                  <c:v>-117.5</c:v>
                </c:pt>
                <c:pt idx="7">
                  <c:v>-152.41666666666674</c:v>
                </c:pt>
                <c:pt idx="8">
                  <c:v>-174.08333333333326</c:v>
                </c:pt>
                <c:pt idx="9">
                  <c:v>-147.41666666666674</c:v>
                </c:pt>
                <c:pt idx="10">
                  <c:v>-210.08333333333326</c:v>
                </c:pt>
                <c:pt idx="11">
                  <c:v>-229.75</c:v>
                </c:pt>
                <c:pt idx="12">
                  <c:v>-226.08333333333326</c:v>
                </c:pt>
                <c:pt idx="13">
                  <c:v>-234.58333333333326</c:v>
                </c:pt>
                <c:pt idx="14">
                  <c:v>-260.75</c:v>
                </c:pt>
                <c:pt idx="15">
                  <c:v>-263.08333333333348</c:v>
                </c:pt>
                <c:pt idx="16">
                  <c:v>-310.33333333333348</c:v>
                </c:pt>
                <c:pt idx="17">
                  <c:v>-364.66666666666652</c:v>
                </c:pt>
                <c:pt idx="18">
                  <c:v>-405.08333333333348</c:v>
                </c:pt>
                <c:pt idx="19">
                  <c:v>-412.5</c:v>
                </c:pt>
                <c:pt idx="20">
                  <c:v>-458.25</c:v>
                </c:pt>
                <c:pt idx="21">
                  <c:v>-555.83333333333348</c:v>
                </c:pt>
              </c:numCache>
            </c:numRef>
          </c:val>
          <c:smooth val="0"/>
          <c:extLst>
            <c:ext xmlns:c16="http://schemas.microsoft.com/office/drawing/2014/chart" uri="{C3380CC4-5D6E-409C-BE32-E72D297353CC}">
              <c16:uniqueId val="{0000000A-678E-4677-87D5-446C3BDF6525}"/>
            </c:ext>
          </c:extLst>
        </c:ser>
        <c:ser>
          <c:idx val="11"/>
          <c:order val="11"/>
          <c:tx>
            <c:strRef>
              <c:f>Etappes!$AB$33</c:f>
              <c:strCache>
                <c:ptCount val="1"/>
                <c:pt idx="0">
                  <c:v>Kol de la Madeleine</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Etappes!$AC$33:$AX$33</c:f>
              <c:numCache>
                <c:formatCode>0</c:formatCode>
                <c:ptCount val="22"/>
                <c:pt idx="0">
                  <c:v>-19.25</c:v>
                </c:pt>
                <c:pt idx="1">
                  <c:v>-65.083333333333314</c:v>
                </c:pt>
                <c:pt idx="2">
                  <c:v>-106.33333333333331</c:v>
                </c:pt>
                <c:pt idx="3">
                  <c:v>-129.5</c:v>
                </c:pt>
                <c:pt idx="4">
                  <c:v>-117.16666666666663</c:v>
                </c:pt>
                <c:pt idx="5">
                  <c:v>-115.5</c:v>
                </c:pt>
                <c:pt idx="6">
                  <c:v>-126.5</c:v>
                </c:pt>
                <c:pt idx="7">
                  <c:v>-136.41666666666674</c:v>
                </c:pt>
                <c:pt idx="8">
                  <c:v>-153.08333333333326</c:v>
                </c:pt>
                <c:pt idx="9">
                  <c:v>-158.41666666666674</c:v>
                </c:pt>
                <c:pt idx="10">
                  <c:v>-168.08333333333326</c:v>
                </c:pt>
                <c:pt idx="11">
                  <c:v>-177.75</c:v>
                </c:pt>
                <c:pt idx="12">
                  <c:v>-202.08333333333326</c:v>
                </c:pt>
                <c:pt idx="13">
                  <c:v>-177.58333333333326</c:v>
                </c:pt>
                <c:pt idx="14">
                  <c:v>-231.75</c:v>
                </c:pt>
                <c:pt idx="15">
                  <c:v>-273.08333333333348</c:v>
                </c:pt>
                <c:pt idx="16">
                  <c:v>-270.33333333333348</c:v>
                </c:pt>
                <c:pt idx="17">
                  <c:v>-286.66666666666652</c:v>
                </c:pt>
                <c:pt idx="18">
                  <c:v>-294.08333333333348</c:v>
                </c:pt>
                <c:pt idx="19">
                  <c:v>-308.5</c:v>
                </c:pt>
                <c:pt idx="20">
                  <c:v>-319.25</c:v>
                </c:pt>
                <c:pt idx="21">
                  <c:v>-327.83333333333348</c:v>
                </c:pt>
              </c:numCache>
            </c:numRef>
          </c:val>
          <c:smooth val="0"/>
          <c:extLst>
            <c:ext xmlns:c16="http://schemas.microsoft.com/office/drawing/2014/chart" uri="{C3380CC4-5D6E-409C-BE32-E72D297353CC}">
              <c16:uniqueId val="{0000000B-678E-4677-87D5-446C3BDF6525}"/>
            </c:ext>
          </c:extLst>
        </c:ser>
        <c:ser>
          <c:idx val="12"/>
          <c:order val="12"/>
          <c:tx>
            <c:strRef>
              <c:f>Etappes!#REF!</c:f>
              <c:strCache>
                <c:ptCount val="1"/>
                <c:pt idx="0">
                  <c:v>#VERW!</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Cache>
                <c:formatCode>General</c:formatCode>
                <c:ptCount val="1"/>
                <c:pt idx="0">
                  <c:v>1</c:v>
                </c:pt>
              </c:numCache>
            </c:numRef>
          </c:val>
          <c:smooth val="0"/>
          <c:extLst>
            <c:ext xmlns:c16="http://schemas.microsoft.com/office/drawing/2014/chart" uri="{C3380CC4-5D6E-409C-BE32-E72D297353CC}">
              <c16:uniqueId val="{0000000C-678E-4677-87D5-446C3BDF6525}"/>
            </c:ext>
          </c:extLst>
        </c:ser>
        <c:dLbls>
          <c:showLegendKey val="0"/>
          <c:showVal val="0"/>
          <c:showCatName val="0"/>
          <c:showSerName val="0"/>
          <c:showPercent val="0"/>
          <c:showBubbleSize val="0"/>
        </c:dLbls>
        <c:marker val="1"/>
        <c:smooth val="0"/>
        <c:axId val="120837248"/>
        <c:axId val="120838784"/>
      </c:lineChart>
      <c:catAx>
        <c:axId val="120837248"/>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0838784"/>
        <c:crosses val="autoZero"/>
        <c:auto val="1"/>
        <c:lblAlgn val="ctr"/>
        <c:lblOffset val="100"/>
        <c:tickLblSkip val="1"/>
        <c:tickMarkSkip val="1"/>
        <c:noMultiLvlLbl val="0"/>
      </c:catAx>
      <c:valAx>
        <c:axId val="120838784"/>
        <c:scaling>
          <c:orientation val="minMax"/>
          <c:max val="-30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0837248"/>
        <c:crosses val="autoZero"/>
        <c:crossBetween val="midCat"/>
      </c:valAx>
      <c:spPr>
        <a:noFill/>
        <a:ln w="25400">
          <a:noFill/>
        </a:ln>
      </c:spPr>
    </c:plotArea>
    <c:legend>
      <c:legendPos val="r"/>
      <c:legendEntry>
        <c:idx val="12"/>
        <c:delete val="1"/>
      </c:legendEntry>
      <c:layout>
        <c:manualLayout>
          <c:xMode val="edge"/>
          <c:yMode val="edge"/>
          <c:x val="5.8255773871078907E-2"/>
          <c:y val="0.88587570621469502"/>
          <c:w val="0.8729152543845925"/>
          <c:h val="0.11412429378531073"/>
        </c:manualLayout>
      </c:layout>
      <c:overlay val="0"/>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2022 - met originaliteitsfactor</a:t>
            </a:r>
          </a:p>
        </c:rich>
      </c:tx>
      <c:layout>
        <c:manualLayout>
          <c:xMode val="edge"/>
          <c:yMode val="edge"/>
          <c:x val="0.33092037228545584"/>
          <c:y val="2.0338983050847428E-2"/>
        </c:manualLayout>
      </c:layout>
      <c:overlay val="0"/>
      <c:spPr>
        <a:noFill/>
        <a:ln w="25400">
          <a:noFill/>
        </a:ln>
      </c:spPr>
    </c:title>
    <c:autoTitleDeleted val="0"/>
    <c:plotArea>
      <c:layout>
        <c:manualLayout>
          <c:layoutTarget val="inner"/>
          <c:xMode val="edge"/>
          <c:yMode val="edge"/>
          <c:x val="1.9648397104446741E-2"/>
          <c:y val="0.10508474576271735"/>
          <c:w val="0.93726301275422252"/>
          <c:h val="0.7525423728813555"/>
        </c:manualLayout>
      </c:layout>
      <c:lineChart>
        <c:grouping val="standard"/>
        <c:varyColors val="0"/>
        <c:ser>
          <c:idx val="3"/>
          <c:order val="0"/>
          <c:tx>
            <c:strRef>
              <c:f>Etappes!$AB$38</c:f>
              <c:strCache>
                <c:ptCount val="1"/>
                <c:pt idx="0">
                  <c:v>Onder de vod</c:v>
                </c:pt>
              </c:strCache>
            </c:strRef>
          </c:tx>
          <c:spPr>
            <a:ln w="25400">
              <a:solidFill>
                <a:srgbClr val="00FFFF"/>
              </a:solidFill>
              <a:prstDash val="sysDash"/>
            </a:ln>
          </c:spPr>
          <c:marker>
            <c:symbol val="x"/>
            <c:size val="7"/>
            <c:spPr>
              <a:noFill/>
              <a:ln>
                <a:solidFill>
                  <a:srgbClr val="00FFFF"/>
                </a:solidFill>
                <a:prstDash val="sysDash"/>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Etappes!$AC$38:$AX$38</c:f>
              <c:numCache>
                <c:formatCode>0</c:formatCode>
                <c:ptCount val="22"/>
                <c:pt idx="0">
                  <c:v>-9.61999177794155</c:v>
                </c:pt>
                <c:pt idx="1">
                  <c:v>-38.500518389720867</c:v>
                </c:pt>
                <c:pt idx="2">
                  <c:v>-59.068380719417632</c:v>
                </c:pt>
                <c:pt idx="3">
                  <c:v>-76.632919742452032</c:v>
                </c:pt>
                <c:pt idx="4">
                  <c:v>-87.932175665336558</c:v>
                </c:pt>
                <c:pt idx="5">
                  <c:v>-58.599099723557629</c:v>
                </c:pt>
                <c:pt idx="6">
                  <c:v>-26.238242222396821</c:v>
                </c:pt>
                <c:pt idx="7">
                  <c:v>-3.4374234696736039</c:v>
                </c:pt>
                <c:pt idx="8">
                  <c:v>4.2718448671153055</c:v>
                </c:pt>
                <c:pt idx="9">
                  <c:v>-1.8569817912875806</c:v>
                </c:pt>
                <c:pt idx="10">
                  <c:v>7.9527457476344807</c:v>
                </c:pt>
                <c:pt idx="11">
                  <c:v>6.8239416733733833</c:v>
                </c:pt>
                <c:pt idx="12">
                  <c:v>10.872207432454843</c:v>
                </c:pt>
                <c:pt idx="13">
                  <c:v>21.087722814526387</c:v>
                </c:pt>
                <c:pt idx="14">
                  <c:v>-2.7781516521151843</c:v>
                </c:pt>
                <c:pt idx="15">
                  <c:v>-4.2021689306097869</c:v>
                </c:pt>
                <c:pt idx="16">
                  <c:v>4.8047639116111895</c:v>
                </c:pt>
                <c:pt idx="17">
                  <c:v>5.4919980914723965</c:v>
                </c:pt>
                <c:pt idx="18">
                  <c:v>-10.389192153962085</c:v>
                </c:pt>
                <c:pt idx="19">
                  <c:v>-15.732347891362679</c:v>
                </c:pt>
                <c:pt idx="20">
                  <c:v>-56.667541120777514</c:v>
                </c:pt>
                <c:pt idx="21">
                  <c:v>-56.969494931406643</c:v>
                </c:pt>
              </c:numCache>
            </c:numRef>
          </c:val>
          <c:smooth val="0"/>
          <c:extLst>
            <c:ext xmlns:c16="http://schemas.microsoft.com/office/drawing/2014/chart" uri="{C3380CC4-5D6E-409C-BE32-E72D297353CC}">
              <c16:uniqueId val="{00000000-3117-C849-85EF-3428DB73AAD1}"/>
            </c:ext>
          </c:extLst>
        </c:ser>
        <c:ser>
          <c:idx val="8"/>
          <c:order val="1"/>
          <c:tx>
            <c:strRef>
              <c:f>Etappes!$AB$39</c:f>
              <c:strCache>
                <c:ptCount val="1"/>
                <c:pt idx="0">
                  <c:v>Tins Tour Toppers</c:v>
                </c:pt>
              </c:strCache>
            </c:strRef>
          </c:tx>
          <c:spPr>
            <a:ln w="19050">
              <a:solidFill>
                <a:srgbClr val="FF9900"/>
              </a:solidFill>
              <a:prstDash val="solid"/>
            </a:ln>
          </c:spPr>
          <c:marker>
            <c:symbol val="dash"/>
            <c:size val="7"/>
            <c:spPr>
              <a:noFill/>
              <a:ln w="19050">
                <a:solidFill>
                  <a:srgbClr val="00CCFF"/>
                </a:solidFill>
                <a:prstDash val="solid"/>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Etappes!$AC$39:$AX$39</c:f>
              <c:numCache>
                <c:formatCode>0</c:formatCode>
                <c:ptCount val="22"/>
                <c:pt idx="0">
                  <c:v>-25.772589513687336</c:v>
                </c:pt>
                <c:pt idx="1">
                  <c:v>-38.968555466028249</c:v>
                </c:pt>
                <c:pt idx="2">
                  <c:v>-41.9690716247772</c:v>
                </c:pt>
                <c:pt idx="3">
                  <c:v>-73.633227571572547</c:v>
                </c:pt>
                <c:pt idx="4">
                  <c:v>-82.826316651073739</c:v>
                </c:pt>
                <c:pt idx="5">
                  <c:v>-74.421944064632157</c:v>
                </c:pt>
                <c:pt idx="6">
                  <c:v>-62.543027255060792</c:v>
                </c:pt>
                <c:pt idx="7">
                  <c:v>-74.775847384575854</c:v>
                </c:pt>
                <c:pt idx="8">
                  <c:v>-64.088161289466825</c:v>
                </c:pt>
                <c:pt idx="9">
                  <c:v>-69.472383508289795</c:v>
                </c:pt>
                <c:pt idx="10">
                  <c:v>-55.875810533789263</c:v>
                </c:pt>
                <c:pt idx="11">
                  <c:v>-22.805996418769837</c:v>
                </c:pt>
                <c:pt idx="12">
                  <c:v>-23.353003772524744</c:v>
                </c:pt>
                <c:pt idx="13">
                  <c:v>-34.933124057587293</c:v>
                </c:pt>
                <c:pt idx="14">
                  <c:v>-18.138277520021802</c:v>
                </c:pt>
                <c:pt idx="15">
                  <c:v>-9.5845953081447988</c:v>
                </c:pt>
                <c:pt idx="16">
                  <c:v>23.260316806915398</c:v>
                </c:pt>
                <c:pt idx="17">
                  <c:v>46.774995663043228</c:v>
                </c:pt>
                <c:pt idx="18">
                  <c:v>80.521691315614589</c:v>
                </c:pt>
                <c:pt idx="19">
                  <c:v>67.200630868428561</c:v>
                </c:pt>
                <c:pt idx="20">
                  <c:v>90.232277602074191</c:v>
                </c:pt>
                <c:pt idx="21">
                  <c:v>129.03269407567404</c:v>
                </c:pt>
              </c:numCache>
            </c:numRef>
          </c:val>
          <c:smooth val="0"/>
          <c:extLst>
            <c:ext xmlns:c16="http://schemas.microsoft.com/office/drawing/2014/chart" uri="{C3380CC4-5D6E-409C-BE32-E72D297353CC}">
              <c16:uniqueId val="{00000001-3117-C849-85EF-3428DB73AAD1}"/>
            </c:ext>
          </c:extLst>
        </c:ser>
        <c:ser>
          <c:idx val="7"/>
          <c:order val="2"/>
          <c:tx>
            <c:strRef>
              <c:f>Etappes!$AB$40</c:f>
              <c:strCache>
                <c:ptCount val="1"/>
                <c:pt idx="0">
                  <c:v>Prof's ploegje</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Etappes!$AC$40:$AX$40</c:f>
              <c:numCache>
                <c:formatCode>0</c:formatCode>
                <c:ptCount val="22"/>
                <c:pt idx="0">
                  <c:v>-6.0629813451204768</c:v>
                </c:pt>
                <c:pt idx="1">
                  <c:v>-8.2960738669519856</c:v>
                </c:pt>
                <c:pt idx="2">
                  <c:v>-1.1696777728506618</c:v>
                </c:pt>
                <c:pt idx="3">
                  <c:v>-24.165645669422361</c:v>
                </c:pt>
                <c:pt idx="4">
                  <c:v>-28.685206822815871</c:v>
                </c:pt>
                <c:pt idx="5">
                  <c:v>-18.721121435104351</c:v>
                </c:pt>
                <c:pt idx="6">
                  <c:v>-15.123269714290473</c:v>
                </c:pt>
                <c:pt idx="7">
                  <c:v>-29.224378918707998</c:v>
                </c:pt>
                <c:pt idx="8">
                  <c:v>-25.98740721239983</c:v>
                </c:pt>
                <c:pt idx="9">
                  <c:v>-33.234308028422902</c:v>
                </c:pt>
                <c:pt idx="10">
                  <c:v>-12.748068435362939</c:v>
                </c:pt>
                <c:pt idx="11">
                  <c:v>-23.238003201855918</c:v>
                </c:pt>
                <c:pt idx="12">
                  <c:v>-16.569936230311441</c:v>
                </c:pt>
                <c:pt idx="13">
                  <c:v>-51.674789521579669</c:v>
                </c:pt>
                <c:pt idx="14">
                  <c:v>-52.614663001332929</c:v>
                </c:pt>
                <c:pt idx="15">
                  <c:v>-59.349532528523468</c:v>
                </c:pt>
                <c:pt idx="16">
                  <c:v>-63.814297134490971</c:v>
                </c:pt>
                <c:pt idx="17">
                  <c:v>-56.659771258591263</c:v>
                </c:pt>
                <c:pt idx="18">
                  <c:v>-64.380116304533203</c:v>
                </c:pt>
                <c:pt idx="19">
                  <c:v>-67.361066346177722</c:v>
                </c:pt>
                <c:pt idx="20">
                  <c:v>-70.681833380752323</c:v>
                </c:pt>
                <c:pt idx="21">
                  <c:v>-43.84856584639374</c:v>
                </c:pt>
              </c:numCache>
            </c:numRef>
          </c:val>
          <c:smooth val="0"/>
          <c:extLst>
            <c:ext xmlns:c16="http://schemas.microsoft.com/office/drawing/2014/chart" uri="{C3380CC4-5D6E-409C-BE32-E72D297353CC}">
              <c16:uniqueId val="{00000002-3117-C849-85EF-3428DB73AAD1}"/>
            </c:ext>
          </c:extLst>
        </c:ser>
        <c:ser>
          <c:idx val="6"/>
          <c:order val="3"/>
          <c:tx>
            <c:strRef>
              <c:f>Etappes!$AB$41</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Etappes!$AC$41:$AX$41</c:f>
              <c:numCache>
                <c:formatCode>0</c:formatCode>
                <c:ptCount val="22"/>
                <c:pt idx="0">
                  <c:v>-36.701111675810296</c:v>
                </c:pt>
                <c:pt idx="1">
                  <c:v>-62.609387498554554</c:v>
                </c:pt>
                <c:pt idx="2">
                  <c:v>-64.830907759383649</c:v>
                </c:pt>
                <c:pt idx="3">
                  <c:v>-72.673594943700436</c:v>
                </c:pt>
                <c:pt idx="4">
                  <c:v>-83.28355337376604</c:v>
                </c:pt>
                <c:pt idx="5">
                  <c:v>-71.469662509472187</c:v>
                </c:pt>
                <c:pt idx="6">
                  <c:v>-72.641749438965007</c:v>
                </c:pt>
                <c:pt idx="7">
                  <c:v>-49.543154169344007</c:v>
                </c:pt>
                <c:pt idx="8">
                  <c:v>-55.101483974333178</c:v>
                </c:pt>
                <c:pt idx="9">
                  <c:v>-65.02420403321139</c:v>
                </c:pt>
                <c:pt idx="10">
                  <c:v>-55.892745227222804</c:v>
                </c:pt>
                <c:pt idx="11">
                  <c:v>-73.316542031722747</c:v>
                </c:pt>
                <c:pt idx="12">
                  <c:v>-112.66093204057643</c:v>
                </c:pt>
                <c:pt idx="13">
                  <c:v>-116.01079131718052</c:v>
                </c:pt>
                <c:pt idx="14">
                  <c:v>-130.35884600297891</c:v>
                </c:pt>
                <c:pt idx="15">
                  <c:v>-115.46029865152241</c:v>
                </c:pt>
                <c:pt idx="16">
                  <c:v>-115.25983057755548</c:v>
                </c:pt>
                <c:pt idx="17">
                  <c:v>-105.01066157731066</c:v>
                </c:pt>
                <c:pt idx="18">
                  <c:v>-83.360981933742096</c:v>
                </c:pt>
                <c:pt idx="19">
                  <c:v>-95.07324650478904</c:v>
                </c:pt>
                <c:pt idx="20">
                  <c:v>-74.666477253264929</c:v>
                </c:pt>
                <c:pt idx="21">
                  <c:v>-57.565047965202666</c:v>
                </c:pt>
              </c:numCache>
            </c:numRef>
          </c:val>
          <c:smooth val="0"/>
          <c:extLst>
            <c:ext xmlns:c16="http://schemas.microsoft.com/office/drawing/2014/chart" uri="{C3380CC4-5D6E-409C-BE32-E72D297353CC}">
              <c16:uniqueId val="{00000003-3117-C849-85EF-3428DB73AAD1}"/>
            </c:ext>
          </c:extLst>
        </c:ser>
        <c:ser>
          <c:idx val="4"/>
          <c:order val="4"/>
          <c:tx>
            <c:strRef>
              <c:f>Etappes!$AB$42</c:f>
              <c:strCache>
                <c:ptCount val="1"/>
                <c:pt idx="0">
                  <c:v>Lothar blijft positief</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Etappes!$AC$42:$AX$42</c:f>
              <c:numCache>
                <c:formatCode>0</c:formatCode>
                <c:ptCount val="22"/>
                <c:pt idx="0">
                  <c:v>20.591151446207476</c:v>
                </c:pt>
                <c:pt idx="1">
                  <c:v>-17.766075372522494</c:v>
                </c:pt>
                <c:pt idx="2">
                  <c:v>-69.765733177848972</c:v>
                </c:pt>
                <c:pt idx="3">
                  <c:v>-104.50263001148789</c:v>
                </c:pt>
                <c:pt idx="4">
                  <c:v>-125.11768198090056</c:v>
                </c:pt>
                <c:pt idx="5">
                  <c:v>-60.557691745251645</c:v>
                </c:pt>
                <c:pt idx="6">
                  <c:v>-22.404284468881997</c:v>
                </c:pt>
                <c:pt idx="7">
                  <c:v>26.834752367049759</c:v>
                </c:pt>
                <c:pt idx="8">
                  <c:v>45.008339550623759</c:v>
                </c:pt>
                <c:pt idx="9">
                  <c:v>47.734790134781406</c:v>
                </c:pt>
                <c:pt idx="10">
                  <c:v>79.926841230400896</c:v>
                </c:pt>
                <c:pt idx="11">
                  <c:v>126.51444335038786</c:v>
                </c:pt>
                <c:pt idx="12">
                  <c:v>122.17904750952653</c:v>
                </c:pt>
                <c:pt idx="13">
                  <c:v>150.97621921073051</c:v>
                </c:pt>
                <c:pt idx="14">
                  <c:v>126.89395639041732</c:v>
                </c:pt>
                <c:pt idx="15">
                  <c:v>119.53867885359068</c:v>
                </c:pt>
                <c:pt idx="16">
                  <c:v>139.81999976403449</c:v>
                </c:pt>
                <c:pt idx="17">
                  <c:v>154.16189390250565</c:v>
                </c:pt>
                <c:pt idx="18">
                  <c:v>150.83122817002322</c:v>
                </c:pt>
                <c:pt idx="19">
                  <c:v>160.03602790254354</c:v>
                </c:pt>
                <c:pt idx="20">
                  <c:v>128.6330190733288</c:v>
                </c:pt>
                <c:pt idx="21">
                  <c:v>156.03987137131253</c:v>
                </c:pt>
              </c:numCache>
            </c:numRef>
          </c:val>
          <c:smooth val="0"/>
          <c:extLst>
            <c:ext xmlns:c16="http://schemas.microsoft.com/office/drawing/2014/chart" uri="{C3380CC4-5D6E-409C-BE32-E72D297353CC}">
              <c16:uniqueId val="{00000004-3117-C849-85EF-3428DB73AAD1}"/>
            </c:ext>
          </c:extLst>
        </c:ser>
        <c:ser>
          <c:idx val="9"/>
          <c:order val="5"/>
          <c:tx>
            <c:strRef>
              <c:f>Etappes!$AB$43</c:f>
              <c:strCache>
                <c:ptCount val="1"/>
                <c:pt idx="0">
                  <c:v>De Lange Man</c:v>
                </c:pt>
              </c:strCache>
            </c:strRef>
          </c:tx>
          <c:spPr>
            <a:ln>
              <a:prstDash val="lgDash"/>
            </a:ln>
          </c:spPr>
          <c:marker>
            <c:spPr>
              <a:ln>
                <a:prstDash val="lgDash"/>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Etappes!$AC$43:$AX$43</c:f>
              <c:numCache>
                <c:formatCode>0</c:formatCode>
                <c:ptCount val="22"/>
                <c:pt idx="0">
                  <c:v>22.510904532627222</c:v>
                </c:pt>
                <c:pt idx="1">
                  <c:v>67.662936973156548</c:v>
                </c:pt>
                <c:pt idx="2">
                  <c:v>114.53056311844733</c:v>
                </c:pt>
                <c:pt idx="3">
                  <c:v>132.58687616135171</c:v>
                </c:pt>
                <c:pt idx="4">
                  <c:v>129.24960196971676</c:v>
                </c:pt>
                <c:pt idx="5">
                  <c:v>100.70156751400759</c:v>
                </c:pt>
                <c:pt idx="6">
                  <c:v>72.623493308895604</c:v>
                </c:pt>
                <c:pt idx="7">
                  <c:v>37.393394342358306</c:v>
                </c:pt>
                <c:pt idx="8">
                  <c:v>43.088586464204127</c:v>
                </c:pt>
                <c:pt idx="9">
                  <c:v>33.33664198663314</c:v>
                </c:pt>
                <c:pt idx="10">
                  <c:v>14.655236292129302</c:v>
                </c:pt>
                <c:pt idx="11">
                  <c:v>-0.1892603533158308</c:v>
                </c:pt>
                <c:pt idx="12">
                  <c:v>1.2346030650819557</c:v>
                </c:pt>
                <c:pt idx="13">
                  <c:v>-15.082422764578268</c:v>
                </c:pt>
                <c:pt idx="14">
                  <c:v>23.227289723750573</c:v>
                </c:pt>
                <c:pt idx="15">
                  <c:v>13.952259100504307</c:v>
                </c:pt>
                <c:pt idx="16">
                  <c:v>6.3971602578612874</c:v>
                </c:pt>
                <c:pt idx="17">
                  <c:v>16.899548223493184</c:v>
                </c:pt>
                <c:pt idx="18">
                  <c:v>9.7293763181714894</c:v>
                </c:pt>
                <c:pt idx="19">
                  <c:v>4.5360279025435375</c:v>
                </c:pt>
                <c:pt idx="20">
                  <c:v>38.40462401160039</c:v>
                </c:pt>
                <c:pt idx="21">
                  <c:v>26.456538037979499</c:v>
                </c:pt>
              </c:numCache>
            </c:numRef>
          </c:val>
          <c:smooth val="0"/>
          <c:extLst>
            <c:ext xmlns:c16="http://schemas.microsoft.com/office/drawing/2014/chart" uri="{C3380CC4-5D6E-409C-BE32-E72D297353CC}">
              <c16:uniqueId val="{00000005-3117-C849-85EF-3428DB73AAD1}"/>
            </c:ext>
          </c:extLst>
        </c:ser>
        <c:ser>
          <c:idx val="5"/>
          <c:order val="6"/>
          <c:tx>
            <c:strRef>
              <c:f>Etappes!$AB$44</c:f>
              <c:strCache>
                <c:ptCount val="1"/>
                <c:pt idx="0">
                  <c:v>El Gran</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Etappes!$AC$44:$AX$44</c:f>
              <c:numCache>
                <c:formatCode>0</c:formatCode>
                <c:ptCount val="22"/>
                <c:pt idx="0">
                  <c:v>3.3133736684297048</c:v>
                </c:pt>
                <c:pt idx="1">
                  <c:v>25.428369071921963</c:v>
                </c:pt>
                <c:pt idx="2">
                  <c:v>55.018217439434977</c:v>
                </c:pt>
                <c:pt idx="3">
                  <c:v>59.636258877401019</c:v>
                </c:pt>
                <c:pt idx="4">
                  <c:v>55.339108142556256</c:v>
                </c:pt>
                <c:pt idx="5">
                  <c:v>30.630579859686577</c:v>
                </c:pt>
                <c:pt idx="6">
                  <c:v>19.830283432352417</c:v>
                </c:pt>
                <c:pt idx="7">
                  <c:v>4.7575918732225091</c:v>
                </c:pt>
                <c:pt idx="8">
                  <c:v>-16.423759214808342</c:v>
                </c:pt>
                <c:pt idx="9">
                  <c:v>-26.175703692379102</c:v>
                </c:pt>
                <c:pt idx="10">
                  <c:v>-41.977479757253377</c:v>
                </c:pt>
                <c:pt idx="11">
                  <c:v>-75.059630723686041</c:v>
                </c:pt>
                <c:pt idx="12">
                  <c:v>-75.555520391708114</c:v>
                </c:pt>
                <c:pt idx="13">
                  <c:v>-114.90958325840552</c:v>
                </c:pt>
                <c:pt idx="14">
                  <c:v>-95.797401634274138</c:v>
                </c:pt>
                <c:pt idx="15">
                  <c:v>-73.39650633159431</c:v>
                </c:pt>
                <c:pt idx="16">
                  <c:v>-86.710864433496681</c:v>
                </c:pt>
                <c:pt idx="17">
                  <c:v>-81.967735727124364</c:v>
                </c:pt>
                <c:pt idx="18">
                  <c:v>-74.739759484297792</c:v>
                </c:pt>
                <c:pt idx="19">
                  <c:v>-68.414589381407495</c:v>
                </c:pt>
                <c:pt idx="20">
                  <c:v>-66.221919198276282</c:v>
                </c:pt>
                <c:pt idx="21">
                  <c:v>-72.410745912638049</c:v>
                </c:pt>
              </c:numCache>
            </c:numRef>
          </c:val>
          <c:smooth val="0"/>
          <c:extLst>
            <c:ext xmlns:c16="http://schemas.microsoft.com/office/drawing/2014/chart" uri="{C3380CC4-5D6E-409C-BE32-E72D297353CC}">
              <c16:uniqueId val="{00000006-3117-C849-85EF-3428DB73AAD1}"/>
            </c:ext>
          </c:extLst>
        </c:ser>
        <c:ser>
          <c:idx val="2"/>
          <c:order val="7"/>
          <c:tx>
            <c:strRef>
              <c:f>Etappes!$AB$45</c:f>
              <c:strCache>
                <c:ptCount val="1"/>
                <c:pt idx="0">
                  <c:v>Majella køp dr vør </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Etappes!$AC$45:$AX$45</c:f>
              <c:numCache>
                <c:formatCode>0</c:formatCode>
                <c:ptCount val="22"/>
                <c:pt idx="0">
                  <c:v>56.528929223985216</c:v>
                </c:pt>
                <c:pt idx="1">
                  <c:v>82.867381417600882</c:v>
                </c:pt>
                <c:pt idx="2">
                  <c:v>103.28081003202743</c:v>
                </c:pt>
                <c:pt idx="3">
                  <c:v>115.92341937122808</c:v>
                </c:pt>
                <c:pt idx="4">
                  <c:v>121.37861431539557</c:v>
                </c:pt>
                <c:pt idx="5">
                  <c:v>148.08107368684693</c:v>
                </c:pt>
                <c:pt idx="6">
                  <c:v>179.66892540766094</c:v>
                </c:pt>
                <c:pt idx="7">
                  <c:v>194.50598693495067</c:v>
                </c:pt>
                <c:pt idx="8">
                  <c:v>231.87710498272236</c:v>
                </c:pt>
                <c:pt idx="9">
                  <c:v>236.79207408539833</c:v>
                </c:pt>
                <c:pt idx="10">
                  <c:v>297.05091530447476</c:v>
                </c:pt>
                <c:pt idx="11">
                  <c:v>341.75715939977022</c:v>
                </c:pt>
                <c:pt idx="12">
                  <c:v>378.23571417619291</c:v>
                </c:pt>
                <c:pt idx="13">
                  <c:v>417.78350316134743</c:v>
                </c:pt>
                <c:pt idx="14">
                  <c:v>453.36716626695988</c:v>
                </c:pt>
                <c:pt idx="15">
                  <c:v>451.2720121869238</c:v>
                </c:pt>
                <c:pt idx="16">
                  <c:v>485.64432075168816</c:v>
                </c:pt>
                <c:pt idx="17">
                  <c:v>525.36535069262845</c:v>
                </c:pt>
                <c:pt idx="18">
                  <c:v>559.12431458977562</c:v>
                </c:pt>
                <c:pt idx="19">
                  <c:v>596.43429950748123</c:v>
                </c:pt>
                <c:pt idx="20">
                  <c:v>637.90511783875991</c:v>
                </c:pt>
                <c:pt idx="21">
                  <c:v>732.31135285279333</c:v>
                </c:pt>
              </c:numCache>
            </c:numRef>
          </c:val>
          <c:smooth val="0"/>
          <c:extLst>
            <c:ext xmlns:c16="http://schemas.microsoft.com/office/drawing/2014/chart" uri="{C3380CC4-5D6E-409C-BE32-E72D297353CC}">
              <c16:uniqueId val="{00000007-3117-C849-85EF-3428DB73AAD1}"/>
            </c:ext>
          </c:extLst>
        </c:ser>
        <c:ser>
          <c:idx val="10"/>
          <c:order val="8"/>
          <c:tx>
            <c:strRef>
              <c:f>Etappes!$AB$46</c:f>
              <c:strCache>
                <c:ptCount val="1"/>
                <c:pt idx="0">
                  <c:v>Freaky's manke Kruisbandjes</c:v>
                </c:pt>
              </c:strCache>
            </c:strRef>
          </c:tx>
          <c:spPr>
            <a:ln>
              <a:prstDash val="sysDash"/>
            </a:ln>
          </c:spPr>
          <c:marker>
            <c:symbol val="square"/>
            <c:size val="5"/>
            <c:spPr>
              <a:ln>
                <a:prstDash val="sysDash"/>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Etappes!$AC$46:$AX$46</c:f>
              <c:numCache>
                <c:formatCode>0</c:formatCode>
                <c:ptCount val="22"/>
                <c:pt idx="0">
                  <c:v>-31.544240939184945</c:v>
                </c:pt>
                <c:pt idx="1">
                  <c:v>6.2845375947570687</c:v>
                </c:pt>
                <c:pt idx="2">
                  <c:v>-3.7423368211194656</c:v>
                </c:pt>
                <c:pt idx="3">
                  <c:v>7.5881279959367021</c:v>
                </c:pt>
                <c:pt idx="4">
                  <c:v>21.481644618425776</c:v>
                </c:pt>
                <c:pt idx="5">
                  <c:v>-27.579555683782473</c:v>
                </c:pt>
                <c:pt idx="6">
                  <c:v>-44.642543123807741</c:v>
                </c:pt>
                <c:pt idx="7">
                  <c:v>-65.407369708406122</c:v>
                </c:pt>
                <c:pt idx="8">
                  <c:v>-73.707580331963072</c:v>
                </c:pt>
                <c:pt idx="9">
                  <c:v>-42.788951555627364</c:v>
                </c:pt>
                <c:pt idx="10">
                  <c:v>-91.844073040513877</c:v>
                </c:pt>
                <c:pt idx="11">
                  <c:v>-100.84876134615047</c:v>
                </c:pt>
                <c:pt idx="12">
                  <c:v>-90.772584192105569</c:v>
                </c:pt>
                <c:pt idx="13">
                  <c:v>-93.235168167324218</c:v>
                </c:pt>
                <c:pt idx="14">
                  <c:v>-109.56458198478845</c:v>
                </c:pt>
                <c:pt idx="15">
                  <c:v>-98.668780353868897</c:v>
                </c:pt>
                <c:pt idx="16">
                  <c:v>-131.73780046043339</c:v>
                </c:pt>
                <c:pt idx="17">
                  <c:v>-167.94716678988925</c:v>
                </c:pt>
                <c:pt idx="18">
                  <c:v>-200.11440335894213</c:v>
                </c:pt>
                <c:pt idx="19">
                  <c:v>-195.70227391909248</c:v>
                </c:pt>
                <c:pt idx="20">
                  <c:v>-233.48208495844301</c:v>
                </c:pt>
                <c:pt idx="21">
                  <c:v>-308.02351894207823</c:v>
                </c:pt>
              </c:numCache>
            </c:numRef>
          </c:val>
          <c:smooth val="0"/>
          <c:extLst>
            <c:ext xmlns:c16="http://schemas.microsoft.com/office/drawing/2014/chart" uri="{C3380CC4-5D6E-409C-BE32-E72D297353CC}">
              <c16:uniqueId val="{00000008-3117-C849-85EF-3428DB73AAD1}"/>
            </c:ext>
          </c:extLst>
        </c:ser>
        <c:ser>
          <c:idx val="0"/>
          <c:order val="9"/>
          <c:tx>
            <c:strRef>
              <c:f>Etappes!$AB$47</c:f>
              <c:strCache>
                <c:ptCount val="1"/>
                <c:pt idx="0">
                  <c:v>IJffjes Boys</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Etappes!$AC$47:$AX$47</c:f>
              <c:numCache>
                <c:formatCode>0</c:formatCode>
                <c:ptCount val="22"/>
                <c:pt idx="0">
                  <c:v>-1.2817799958729097</c:v>
                </c:pt>
                <c:pt idx="1">
                  <c:v>21.704048084267583</c:v>
                </c:pt>
                <c:pt idx="2">
                  <c:v>45.227476698694147</c:v>
                </c:pt>
                <c:pt idx="3">
                  <c:v>116.96008603789471</c:v>
                </c:pt>
                <c:pt idx="4">
                  <c:v>126.56194764872885</c:v>
                </c:pt>
                <c:pt idx="5">
                  <c:v>106.61440702018024</c:v>
                </c:pt>
                <c:pt idx="6">
                  <c:v>56.305592074327478</c:v>
                </c:pt>
                <c:pt idx="7">
                  <c:v>55.592653601617258</c:v>
                </c:pt>
                <c:pt idx="8">
                  <c:v>17.287104982722212</c:v>
                </c:pt>
                <c:pt idx="9">
                  <c:v>-0.60459258126843451</c:v>
                </c:pt>
                <c:pt idx="10">
                  <c:v>-24.315751362192032</c:v>
                </c:pt>
                <c:pt idx="11">
                  <c:v>-57.359507266896344</c:v>
                </c:pt>
                <c:pt idx="12">
                  <c:v>-62.347619157140571</c:v>
                </c:pt>
                <c:pt idx="13">
                  <c:v>-65.30316350531939</c:v>
                </c:pt>
                <c:pt idx="14">
                  <c:v>-33.866167066373464</c:v>
                </c:pt>
                <c:pt idx="15">
                  <c:v>-44.25465447974284</c:v>
                </c:pt>
                <c:pt idx="16">
                  <c:v>-73.119012581645165</c:v>
                </c:pt>
                <c:pt idx="17">
                  <c:v>-119.44131597403839</c:v>
                </c:pt>
                <c:pt idx="18">
                  <c:v>-123.00235207689093</c:v>
                </c:pt>
                <c:pt idx="19">
                  <c:v>-144.78236715918547</c:v>
                </c:pt>
                <c:pt idx="20">
                  <c:v>-116.78821549457325</c:v>
                </c:pt>
                <c:pt idx="21">
                  <c:v>-179.95531381387309</c:v>
                </c:pt>
              </c:numCache>
            </c:numRef>
          </c:val>
          <c:smooth val="0"/>
          <c:extLst>
            <c:ext xmlns:c16="http://schemas.microsoft.com/office/drawing/2014/chart" uri="{C3380CC4-5D6E-409C-BE32-E72D297353CC}">
              <c16:uniqueId val="{00000009-3117-C849-85EF-3428DB73AAD1}"/>
            </c:ext>
          </c:extLst>
        </c:ser>
        <c:ser>
          <c:idx val="1"/>
          <c:order val="10"/>
          <c:tx>
            <c:strRef>
              <c:f>Etappes!$AB$48</c:f>
              <c:strCache>
                <c:ptCount val="1"/>
                <c:pt idx="0">
                  <c:v>Am Selfkant</c:v>
                </c:pt>
              </c:strCache>
            </c:strRef>
          </c:tx>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Etappes!$AC$48:$AX$48</c:f>
              <c:numCache>
                <c:formatCode>0</c:formatCode>
                <c:ptCount val="22"/>
                <c:pt idx="0">
                  <c:v>10.841548271604239</c:v>
                </c:pt>
                <c:pt idx="1">
                  <c:v>6.2845375947570687</c:v>
                </c:pt>
                <c:pt idx="2">
                  <c:v>-3.7423368211194656</c:v>
                </c:pt>
                <c:pt idx="3">
                  <c:v>7.5881279959367021</c:v>
                </c:pt>
                <c:pt idx="4">
                  <c:v>21.481644618425776</c:v>
                </c:pt>
                <c:pt idx="5">
                  <c:v>-27.579555683782473</c:v>
                </c:pt>
                <c:pt idx="6">
                  <c:v>-44.642543123807741</c:v>
                </c:pt>
                <c:pt idx="7">
                  <c:v>-65.407369708406122</c:v>
                </c:pt>
                <c:pt idx="8">
                  <c:v>-73.707580331963072</c:v>
                </c:pt>
                <c:pt idx="9">
                  <c:v>-42.788951555627364</c:v>
                </c:pt>
                <c:pt idx="10">
                  <c:v>-91.844073040513877</c:v>
                </c:pt>
                <c:pt idx="11">
                  <c:v>-100.84876134615047</c:v>
                </c:pt>
                <c:pt idx="12">
                  <c:v>-90.772584192105569</c:v>
                </c:pt>
                <c:pt idx="13">
                  <c:v>-93.235168167324218</c:v>
                </c:pt>
                <c:pt idx="14">
                  <c:v>-109.56458198478845</c:v>
                </c:pt>
                <c:pt idx="15">
                  <c:v>-98.668780353868897</c:v>
                </c:pt>
                <c:pt idx="16">
                  <c:v>-131.73780046043339</c:v>
                </c:pt>
                <c:pt idx="17">
                  <c:v>-167.94716678988925</c:v>
                </c:pt>
                <c:pt idx="18">
                  <c:v>-200.11440335894213</c:v>
                </c:pt>
                <c:pt idx="19">
                  <c:v>-195.70227391909248</c:v>
                </c:pt>
                <c:pt idx="20">
                  <c:v>-233.48208495844301</c:v>
                </c:pt>
                <c:pt idx="21">
                  <c:v>-308.02351894207823</c:v>
                </c:pt>
              </c:numCache>
            </c:numRef>
          </c:val>
          <c:smooth val="0"/>
          <c:extLst>
            <c:ext xmlns:c16="http://schemas.microsoft.com/office/drawing/2014/chart" uri="{C3380CC4-5D6E-409C-BE32-E72D297353CC}">
              <c16:uniqueId val="{00000000-61A7-48E2-B673-80E3900CE116}"/>
            </c:ext>
          </c:extLst>
        </c:ser>
        <c:ser>
          <c:idx val="11"/>
          <c:order val="11"/>
          <c:tx>
            <c:strRef>
              <c:f>Etappes!$AB$49</c:f>
              <c:strCache>
                <c:ptCount val="1"/>
                <c:pt idx="0">
                  <c:v>Kol de la Madeleine</c:v>
                </c:pt>
              </c:strCache>
            </c:strRef>
          </c:tx>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Etappes!$AC$49:$AX$49</c:f>
              <c:numCache>
                <c:formatCode>0</c:formatCode>
                <c:ptCount val="22"/>
                <c:pt idx="0">
                  <c:v>-2.80321189523616</c:v>
                </c:pt>
                <c:pt idx="1">
                  <c:v>-44.091200142682737</c:v>
                </c:pt>
                <c:pt idx="2">
                  <c:v>-73.76862259208599</c:v>
                </c:pt>
                <c:pt idx="3">
                  <c:v>-88.674878501112289</c:v>
                </c:pt>
                <c:pt idx="4">
                  <c:v>-67.647626819356105</c:v>
                </c:pt>
                <c:pt idx="5">
                  <c:v>-47.098997235138768</c:v>
                </c:pt>
                <c:pt idx="6">
                  <c:v>-40.192634876026887</c:v>
                </c:pt>
                <c:pt idx="7">
                  <c:v>-31.288835760084567</c:v>
                </c:pt>
                <c:pt idx="8">
                  <c:v>-32.517008492454806</c:v>
                </c:pt>
                <c:pt idx="9">
                  <c:v>-35.91742946070076</c:v>
                </c:pt>
                <c:pt idx="10">
                  <c:v>-25.087737177794679</c:v>
                </c:pt>
                <c:pt idx="11">
                  <c:v>-21.42908173498131</c:v>
                </c:pt>
                <c:pt idx="12">
                  <c:v>-40.489392206785624</c:v>
                </c:pt>
                <c:pt idx="13">
                  <c:v>-5.4632344273049966</c:v>
                </c:pt>
                <c:pt idx="14">
                  <c:v>-50.805741534458321</c:v>
                </c:pt>
                <c:pt idx="15">
                  <c:v>-81.177633203146797</c:v>
                </c:pt>
                <c:pt idx="16">
                  <c:v>-57.546955844056356</c:v>
                </c:pt>
                <c:pt idx="17">
                  <c:v>-49.71996845630747</c:v>
                </c:pt>
                <c:pt idx="18">
                  <c:v>-44.105401722280476</c:v>
                </c:pt>
                <c:pt idx="19">
                  <c:v>-45.438821059894508</c:v>
                </c:pt>
                <c:pt idx="20">
                  <c:v>-43.184882161239329</c:v>
                </c:pt>
                <c:pt idx="21">
                  <c:v>-17.044249984085582</c:v>
                </c:pt>
              </c:numCache>
            </c:numRef>
          </c:val>
          <c:smooth val="0"/>
          <c:extLst>
            <c:ext xmlns:c16="http://schemas.microsoft.com/office/drawing/2014/chart" uri="{C3380CC4-5D6E-409C-BE32-E72D297353CC}">
              <c16:uniqueId val="{00000001-0CC1-47D6-AB4A-6EDFF27570FC}"/>
            </c:ext>
          </c:extLst>
        </c:ser>
        <c:ser>
          <c:idx val="12"/>
          <c:order val="12"/>
          <c:tx>
            <c:strRef>
              <c:f>Etappes!#REF!</c:f>
              <c:strCache>
                <c:ptCount val="1"/>
                <c:pt idx="0">
                  <c:v>#VERW!</c:v>
                </c:pt>
              </c:strCache>
            </c:strRef>
          </c:tx>
          <c:cat>
            <c:strRef>
              <c:f>Etappes!$AC$37:$AX$37</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Etappes!#REF!</c:f>
              <c:numCache>
                <c:formatCode>General</c:formatCode>
                <c:ptCount val="1"/>
                <c:pt idx="0">
                  <c:v>1</c:v>
                </c:pt>
              </c:numCache>
            </c:numRef>
          </c:val>
          <c:smooth val="0"/>
          <c:extLst>
            <c:ext xmlns:c16="http://schemas.microsoft.com/office/drawing/2014/chart" uri="{C3380CC4-5D6E-409C-BE32-E72D297353CC}">
              <c16:uniqueId val="{00000002-0CC1-47D6-AB4A-6EDFF27570FC}"/>
            </c:ext>
          </c:extLst>
        </c:ser>
        <c:dLbls>
          <c:showLegendKey val="0"/>
          <c:showVal val="0"/>
          <c:showCatName val="0"/>
          <c:showSerName val="0"/>
          <c:showPercent val="0"/>
          <c:showBubbleSize val="0"/>
        </c:dLbls>
        <c:marker val="1"/>
        <c:smooth val="0"/>
        <c:axId val="121151488"/>
        <c:axId val="121153024"/>
      </c:lineChart>
      <c:catAx>
        <c:axId val="121151488"/>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1153024"/>
        <c:crosses val="autoZero"/>
        <c:auto val="1"/>
        <c:lblAlgn val="ctr"/>
        <c:lblOffset val="100"/>
        <c:tickLblSkip val="1"/>
        <c:tickMarkSkip val="1"/>
        <c:noMultiLvlLbl val="0"/>
      </c:catAx>
      <c:valAx>
        <c:axId val="121153024"/>
        <c:scaling>
          <c:orientation val="minMax"/>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1151488"/>
        <c:crosses val="autoZero"/>
        <c:crossBetween val="midCat"/>
      </c:valAx>
      <c:spPr>
        <a:noFill/>
        <a:ln w="25400">
          <a:noFill/>
        </a:ln>
      </c:spPr>
    </c:plotArea>
    <c:legend>
      <c:legendPos val="r"/>
      <c:legendEntry>
        <c:idx val="12"/>
        <c:delete val="1"/>
      </c:legendEntry>
      <c:layout>
        <c:manualLayout>
          <c:xMode val="edge"/>
          <c:yMode val="edge"/>
          <c:x val="6.7907618062737013E-2"/>
          <c:y val="0.88587570621469502"/>
          <c:w val="0.84318160127086306"/>
          <c:h val="0.11412424761302489"/>
        </c:manualLayout>
      </c:layout>
      <c:overlay val="0"/>
      <c:spPr>
        <a:no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206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fiek2">
    <tabColor rgb="FFFFFF00"/>
  </sheetPr>
  <sheetViews>
    <sheetView zoomScale="145"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4332B0C-FCEB-46C1-9A12-4665119767E5}">
  <sheetPr>
    <tabColor rgb="FFFFFF00"/>
  </sheetPr>
  <sheetViews>
    <sheetView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Grafiek3">
    <tabColor rgb="FFFFFF00"/>
  </sheetPr>
  <sheetViews>
    <sheetView workbookViewId="0"/>
  </sheetViews>
  <pageMargins left="0.75" right="0.75" top="1" bottom="1" header="0.5" footer="0.5"/>
  <pageSetup paperSize="9" orientation="landscape" verticalDpi="300"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3DA223B-3844-41F1-B555-F3C6084432EC}">
  <sheetPr>
    <tabColor rgb="FFFFFF00"/>
  </sheetPr>
  <sheetViews>
    <sheetView workbookViewId="0"/>
  </sheetViews>
  <pageMargins left="0.75" right="0.75" top="1" bottom="1" header="0.5" footer="0.5"/>
  <pageSetup paperSize="9" orientation="landscape" verticalDpi="300"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rgb="FFFFC000"/>
  </sheetPr>
  <sheetViews>
    <sheetView zoomScale="110"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199418" cy="5604164"/>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04960" cy="5608320"/>
    <xdr:graphicFrame macro="">
      <xdr:nvGraphicFramePr>
        <xdr:cNvPr id="2" name="Grafiek 1">
          <a:extLst>
            <a:ext uri="{FF2B5EF4-FFF2-40B4-BE49-F238E27FC236}">
              <a16:creationId xmlns:a16="http://schemas.microsoft.com/office/drawing/2014/main" id="{335560D8-2D6A-436C-915B-C56E09AE2EA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04960" cy="5608320"/>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04960" cy="5608320"/>
    <xdr:graphicFrame macro="">
      <xdr:nvGraphicFramePr>
        <xdr:cNvPr id="2" name="Chart 1">
          <a:extLst>
            <a:ext uri="{FF2B5EF4-FFF2-40B4-BE49-F238E27FC236}">
              <a16:creationId xmlns:a16="http://schemas.microsoft.com/office/drawing/2014/main" id="{94E9F7BF-A04E-B079-6EAF-17D7258283A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14</xdr:col>
      <xdr:colOff>0</xdr:colOff>
      <xdr:row>44</xdr:row>
      <xdr:rowOff>0</xdr:rowOff>
    </xdr:from>
    <xdr:to>
      <xdr:col>14</xdr:col>
      <xdr:colOff>9525</xdr:colOff>
      <xdr:row>44</xdr:row>
      <xdr:rowOff>9525</xdr:rowOff>
    </xdr:to>
    <xdr:pic>
      <xdr:nvPicPr>
        <xdr:cNvPr id="4160" name="Picture 1" descr="hit">
          <a:extLst>
            <a:ext uri="{FF2B5EF4-FFF2-40B4-BE49-F238E27FC236}">
              <a16:creationId xmlns:a16="http://schemas.microsoft.com/office/drawing/2014/main" id="{00000000-0008-0000-0300-000040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absoluteAnchor>
    <xdr:pos x="0" y="0"/>
    <xdr:ext cx="9199418" cy="5604164"/>
    <xdr:graphicFrame macro="">
      <xdr:nvGraphicFramePr>
        <xdr:cNvPr id="2" name="Grafiek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9525</xdr:colOff>
      <xdr:row>9</xdr:row>
      <xdr:rowOff>9525</xdr:rowOff>
    </xdr:to>
    <xdr:pic>
      <xdr:nvPicPr>
        <xdr:cNvPr id="1151" name="Picture 1" descr="hit">
          <a:extLst>
            <a:ext uri="{FF2B5EF4-FFF2-40B4-BE49-F238E27FC236}">
              <a16:creationId xmlns:a16="http://schemas.microsoft.com/office/drawing/2014/main" id="{00000000-0008-0000-0600-00007F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8</xdr:col>
      <xdr:colOff>0</xdr:colOff>
      <xdr:row>18</xdr:row>
      <xdr:rowOff>0</xdr:rowOff>
    </xdr:from>
    <xdr:to>
      <xdr:col>8</xdr:col>
      <xdr:colOff>9525</xdr:colOff>
      <xdr:row>18</xdr:row>
      <xdr:rowOff>9525</xdr:rowOff>
    </xdr:to>
    <xdr:pic>
      <xdr:nvPicPr>
        <xdr:cNvPr id="1152" name="Picture 2" descr="hit">
          <a:extLst>
            <a:ext uri="{FF2B5EF4-FFF2-40B4-BE49-F238E27FC236}">
              <a16:creationId xmlns:a16="http://schemas.microsoft.com/office/drawing/2014/main" id="{00000000-0008-0000-0600-000080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4" name="Picture 2" descr="hit">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0706" y="3182471"/>
          <a:ext cx="9525" cy="95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a:extLst>
            <a:ext uri="{FF2B5EF4-FFF2-40B4-BE49-F238E27FC236}">
              <a16:creationId xmlns:a16="http://schemas.microsoft.com/office/drawing/2014/main" id="{00000000-0008-0000-1500-000040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0</xdr:colOff>
      <xdr:row>31</xdr:row>
      <xdr:rowOff>0</xdr:rowOff>
    </xdr:from>
    <xdr:to>
      <xdr:col>13</xdr:col>
      <xdr:colOff>9525</xdr:colOff>
      <xdr:row>31</xdr:row>
      <xdr:rowOff>9525</xdr:rowOff>
    </xdr:to>
    <xdr:pic>
      <xdr:nvPicPr>
        <xdr:cNvPr id="2" name="Picture 1" descr="hit">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496300" y="374332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00B050"/>
    <pageSetUpPr fitToPage="1"/>
  </sheetPr>
  <dimension ref="A1:BH344"/>
  <sheetViews>
    <sheetView showZeros="0" tabSelected="1" topLeftCell="A50" zoomScale="115" zoomScaleNormal="115" workbookViewId="0">
      <pane xSplit="2" topLeftCell="C1" activePane="topRight" state="frozen"/>
      <selection activeCell="B11" sqref="B11"/>
      <selection pane="topRight" activeCell="Y70" sqref="Y70"/>
    </sheetView>
  </sheetViews>
  <sheetFormatPr defaultColWidth="9.33203125" defaultRowHeight="12" customHeight="1"/>
  <cols>
    <col min="1" max="1" width="4" style="94" customWidth="1"/>
    <col min="2" max="2" width="29.88671875" style="94" customWidth="1"/>
    <col min="3" max="4" width="5.109375" style="95" customWidth="1"/>
    <col min="5" max="5" width="5.88671875" style="95" customWidth="1"/>
    <col min="6" max="6" width="5.109375" style="99" customWidth="1"/>
    <col min="7" max="10" width="5.109375" style="95" customWidth="1"/>
    <col min="11" max="11" width="5.109375" style="94" customWidth="1"/>
    <col min="12" max="12" width="5.109375" style="97" customWidth="1"/>
    <col min="13" max="13" width="5.44140625" style="94" customWidth="1"/>
    <col min="14" max="14" width="5.109375" style="95" customWidth="1"/>
    <col min="15" max="23" width="5.109375" style="94" customWidth="1"/>
    <col min="24" max="24" width="5.109375" style="268" customWidth="1"/>
    <col min="25" max="25" width="2.44140625" style="94" customWidth="1"/>
    <col min="26" max="26" width="6.5546875" style="94" customWidth="1"/>
    <col min="27" max="27" width="5.6640625" style="94" customWidth="1"/>
    <col min="28" max="28" width="22.6640625" style="94" customWidth="1"/>
    <col min="29" max="40" width="5.44140625" style="94" customWidth="1"/>
    <col min="41" max="50" width="4.6640625" style="94" customWidth="1"/>
    <col min="51" max="52" width="9.33203125" style="94" customWidth="1"/>
    <col min="53" max="16384" width="9.33203125" style="94"/>
  </cols>
  <sheetData>
    <row r="1" spans="1:28" s="298" customFormat="1" ht="13.5" hidden="1" customHeight="1">
      <c r="A1" s="297" t="s">
        <v>236</v>
      </c>
      <c r="C1" s="299" t="s">
        <v>23</v>
      </c>
      <c r="D1" s="299" t="s">
        <v>24</v>
      </c>
      <c r="E1" s="299" t="s">
        <v>25</v>
      </c>
      <c r="F1" s="299" t="s">
        <v>26</v>
      </c>
      <c r="G1" s="299" t="s">
        <v>27</v>
      </c>
      <c r="H1" s="299" t="s">
        <v>28</v>
      </c>
      <c r="I1" s="299" t="s">
        <v>29</v>
      </c>
      <c r="J1" s="299" t="s">
        <v>30</v>
      </c>
      <c r="K1" s="299" t="s">
        <v>31</v>
      </c>
      <c r="L1" s="299" t="s">
        <v>32</v>
      </c>
      <c r="M1" s="299" t="s">
        <v>33</v>
      </c>
      <c r="N1" s="299" t="s">
        <v>22</v>
      </c>
      <c r="O1" s="299" t="s">
        <v>34</v>
      </c>
      <c r="P1" s="299" t="s">
        <v>35</v>
      </c>
      <c r="Q1" s="299" t="s">
        <v>36</v>
      </c>
      <c r="R1" s="299" t="s">
        <v>37</v>
      </c>
      <c r="S1" s="299" t="s">
        <v>38</v>
      </c>
      <c r="T1" s="299" t="s">
        <v>39</v>
      </c>
      <c r="U1" s="299" t="s">
        <v>40</v>
      </c>
      <c r="V1" s="299" t="s">
        <v>41</v>
      </c>
      <c r="W1" s="299" t="s">
        <v>56</v>
      </c>
      <c r="X1" s="299" t="s">
        <v>115</v>
      </c>
    </row>
    <row r="2" spans="1:28" s="298" customFormat="1" ht="13.5" hidden="1" customHeight="1" thickBot="1">
      <c r="B2" s="300" t="s">
        <v>7</v>
      </c>
      <c r="C2" s="301">
        <v>1</v>
      </c>
      <c r="D2" s="301">
        <v>2</v>
      </c>
      <c r="E2" s="301">
        <v>3</v>
      </c>
      <c r="F2" s="301">
        <v>4</v>
      </c>
      <c r="G2" s="301">
        <v>5</v>
      </c>
      <c r="H2" s="301">
        <v>6</v>
      </c>
      <c r="I2" s="301">
        <v>7</v>
      </c>
      <c r="J2" s="301">
        <v>8</v>
      </c>
      <c r="K2" s="301">
        <v>9</v>
      </c>
      <c r="L2" s="301">
        <v>10</v>
      </c>
      <c r="M2" s="301">
        <v>11</v>
      </c>
      <c r="N2" s="301">
        <v>12</v>
      </c>
      <c r="O2" s="301">
        <v>13</v>
      </c>
      <c r="P2" s="301">
        <v>14</v>
      </c>
      <c r="Q2" s="301">
        <v>15</v>
      </c>
      <c r="R2" s="301">
        <v>16</v>
      </c>
      <c r="S2" s="301">
        <v>17</v>
      </c>
      <c r="T2" s="301">
        <v>18</v>
      </c>
      <c r="U2" s="301">
        <v>19</v>
      </c>
      <c r="V2" s="301">
        <v>20</v>
      </c>
      <c r="W2" s="301">
        <v>21</v>
      </c>
      <c r="X2" s="301" t="s">
        <v>2</v>
      </c>
      <c r="Y2" s="299"/>
      <c r="AA2" s="299" t="s">
        <v>11</v>
      </c>
      <c r="AB2" s="302"/>
    </row>
    <row r="3" spans="1:28" s="298" customFormat="1" ht="13.5" hidden="1" customHeight="1">
      <c r="A3" s="298">
        <v>1</v>
      </c>
      <c r="B3" s="303" t="str">
        <f t="shared" ref="B3:B13" ca="1" si="0">INDIRECT($AB3&amp;"!c1")</f>
        <v>Onder de vod</v>
      </c>
      <c r="C3" s="304">
        <f ca="1">ROUND(INDIRECT($AB3&amp;"!"&amp;C$1&amp;"22"),1)</f>
        <v>149</v>
      </c>
      <c r="D3" s="304">
        <f t="shared" ref="D3:L13" ca="1" si="1">ROUND(INDIRECT($AB3&amp;"!"&amp;D$1&amp;"22"),1)</f>
        <v>175</v>
      </c>
      <c r="E3" s="304">
        <f t="shared" ca="1" si="1"/>
        <v>177</v>
      </c>
      <c r="F3" s="304">
        <f t="shared" ca="1" si="1"/>
        <v>159</v>
      </c>
      <c r="G3" s="304">
        <f t="shared" ca="1" si="1"/>
        <v>99</v>
      </c>
      <c r="H3" s="304">
        <f t="shared" ca="1" si="1"/>
        <v>184</v>
      </c>
      <c r="I3" s="304">
        <f t="shared" ca="1" si="1"/>
        <v>205</v>
      </c>
      <c r="J3" s="304">
        <f t="shared" ca="1" si="1"/>
        <v>213</v>
      </c>
      <c r="K3" s="304">
        <f t="shared" ca="1" si="1"/>
        <v>140</v>
      </c>
      <c r="L3" s="304">
        <f t="shared" ca="1" si="1"/>
        <v>35</v>
      </c>
      <c r="M3" s="304">
        <f t="shared" ref="M3:X13" ca="1" si="2">ROUND(INDIRECT($AB3&amp;"!"&amp;M$1&amp;"22"),1)</f>
        <v>178</v>
      </c>
      <c r="N3" s="304">
        <f t="shared" ca="1" si="2"/>
        <v>137</v>
      </c>
      <c r="O3" s="304">
        <f t="shared" ca="1" si="2"/>
        <v>130</v>
      </c>
      <c r="P3" s="304">
        <f t="shared" ca="1" si="2"/>
        <v>100</v>
      </c>
      <c r="Q3" s="304">
        <f t="shared" ca="1" si="2"/>
        <v>138</v>
      </c>
      <c r="R3" s="304">
        <f t="shared" ca="1" si="2"/>
        <v>123</v>
      </c>
      <c r="S3" s="304">
        <f t="shared" ca="1" si="2"/>
        <v>169</v>
      </c>
      <c r="T3" s="304">
        <f t="shared" ca="1" si="2"/>
        <v>208</v>
      </c>
      <c r="U3" s="304">
        <f t="shared" ca="1" si="2"/>
        <v>127</v>
      </c>
      <c r="V3" s="304">
        <f t="shared" ca="1" si="2"/>
        <v>144</v>
      </c>
      <c r="W3" s="304">
        <f t="shared" ca="1" si="2"/>
        <v>109</v>
      </c>
      <c r="X3" s="304">
        <f t="shared" ca="1" si="2"/>
        <v>281</v>
      </c>
      <c r="Y3" s="305">
        <f t="shared" ref="Y3:Y13" ca="1" si="3">SUM(C3:X3)+RAND()/10</f>
        <v>3380.0814009710011</v>
      </c>
      <c r="Z3" s="298">
        <f ca="1">RANK(Y3,$Y$3:$Y$14)</f>
        <v>4</v>
      </c>
      <c r="AA3" s="306">
        <f ca="1">IF(AB3&lt;&gt;"",HLOOKUP(AB3,originaliteit!$B$1:$N$64,64,0),"")</f>
        <v>0.89884393063583812</v>
      </c>
      <c r="AB3" s="307" t="str">
        <f t="shared" ref="AB3:AB14" si="4">INDEX(lijst_sheets,,A3)</f>
        <v>Vod</v>
      </c>
    </row>
    <row r="4" spans="1:28" s="298" customFormat="1" ht="13.5" hidden="1" customHeight="1">
      <c r="A4" s="298">
        <v>2</v>
      </c>
      <c r="B4" s="303" t="str">
        <f t="shared" ca="1" si="0"/>
        <v>Tins Tour Toppers</v>
      </c>
      <c r="C4" s="304">
        <f t="shared" ref="C4:C15" ca="1" si="5">ROUND(INDIRECT($AB4&amp;"!"&amp;C$1&amp;"22"),1)</f>
        <v>128</v>
      </c>
      <c r="D4" s="304">
        <f t="shared" ca="1" si="1"/>
        <v>188</v>
      </c>
      <c r="E4" s="304">
        <f t="shared" ca="1" si="1"/>
        <v>192</v>
      </c>
      <c r="F4" s="304">
        <f t="shared" ca="1" si="1"/>
        <v>140</v>
      </c>
      <c r="G4" s="304">
        <f t="shared" ca="1" si="1"/>
        <v>99</v>
      </c>
      <c r="H4" s="304">
        <f t="shared" ca="1" si="1"/>
        <v>157</v>
      </c>
      <c r="I4" s="304">
        <f t="shared" ca="1" si="1"/>
        <v>178</v>
      </c>
      <c r="J4" s="304">
        <f t="shared" ca="1" si="1"/>
        <v>170</v>
      </c>
      <c r="K4" s="304">
        <f t="shared" ca="1" si="1"/>
        <v>140</v>
      </c>
      <c r="L4" s="304">
        <f t="shared" ca="1" si="1"/>
        <v>35</v>
      </c>
      <c r="M4" s="304">
        <f t="shared" ca="1" si="2"/>
        <v>178</v>
      </c>
      <c r="N4" s="304">
        <f t="shared" ca="1" si="2"/>
        <v>171</v>
      </c>
      <c r="O4" s="304">
        <f t="shared" ca="1" si="2"/>
        <v>122</v>
      </c>
      <c r="P4" s="304">
        <f t="shared" ca="1" si="2"/>
        <v>74</v>
      </c>
      <c r="Q4" s="304">
        <f t="shared" ca="1" si="2"/>
        <v>179</v>
      </c>
      <c r="R4" s="304">
        <f t="shared" ca="1" si="2"/>
        <v>131</v>
      </c>
      <c r="S4" s="304">
        <f t="shared" ca="1" si="2"/>
        <v>191</v>
      </c>
      <c r="T4" s="304">
        <f t="shared" ca="1" si="2"/>
        <v>228</v>
      </c>
      <c r="U4" s="304">
        <f t="shared" ca="1" si="2"/>
        <v>178</v>
      </c>
      <c r="V4" s="304">
        <f t="shared" ca="1" si="2"/>
        <v>132</v>
      </c>
      <c r="W4" s="304">
        <f t="shared" ca="1" si="2"/>
        <v>176</v>
      </c>
      <c r="X4" s="304">
        <f t="shared" ca="1" si="2"/>
        <v>317</v>
      </c>
      <c r="Y4" s="305">
        <f t="shared" ca="1" si="3"/>
        <v>3504.0276668623369</v>
      </c>
      <c r="Z4" s="298">
        <f t="shared" ref="Z4:Z14" ca="1" si="6">RANK(Y4,$Y$3:$Y$14)</f>
        <v>2</v>
      </c>
      <c r="AA4" s="306">
        <f ca="1">IF(AB4&lt;&gt;"",HLOOKUP(AB4,originaliteit!$B$1:$N$64,64,0),"")</f>
        <v>0.92011834319526642</v>
      </c>
      <c r="AB4" s="307" t="str">
        <f t="shared" si="4"/>
        <v>TTT</v>
      </c>
    </row>
    <row r="5" spans="1:28" s="298" customFormat="1" ht="13.5" hidden="1" customHeight="1">
      <c r="A5" s="298">
        <v>3</v>
      </c>
      <c r="B5" s="303" t="str">
        <f t="shared" ca="1" si="0"/>
        <v>Prof's ploegje</v>
      </c>
      <c r="C5" s="304">
        <f t="shared" ca="1" si="5"/>
        <v>145</v>
      </c>
      <c r="D5" s="304">
        <f t="shared" ca="1" si="1"/>
        <v>194</v>
      </c>
      <c r="E5" s="304">
        <f t="shared" ca="1" si="1"/>
        <v>197</v>
      </c>
      <c r="F5" s="304">
        <f t="shared" ca="1" si="1"/>
        <v>145</v>
      </c>
      <c r="G5" s="304">
        <f t="shared" ca="1" si="1"/>
        <v>101</v>
      </c>
      <c r="H5" s="304">
        <f t="shared" ca="1" si="1"/>
        <v>154</v>
      </c>
      <c r="I5" s="304">
        <f t="shared" ca="1" si="1"/>
        <v>164</v>
      </c>
      <c r="J5" s="304">
        <f t="shared" ca="1" si="1"/>
        <v>163</v>
      </c>
      <c r="K5" s="304">
        <f t="shared" ca="1" si="1"/>
        <v>128</v>
      </c>
      <c r="L5" s="304">
        <f t="shared" ca="1" si="1"/>
        <v>32</v>
      </c>
      <c r="M5" s="304">
        <f t="shared" ca="1" si="2"/>
        <v>180</v>
      </c>
      <c r="N5" s="304">
        <f t="shared" ca="1" si="2"/>
        <v>120</v>
      </c>
      <c r="O5" s="304">
        <f t="shared" ca="1" si="2"/>
        <v>126</v>
      </c>
      <c r="P5" s="304">
        <f t="shared" ca="1" si="2"/>
        <v>47</v>
      </c>
      <c r="Q5" s="304">
        <f t="shared" ca="1" si="2"/>
        <v>155</v>
      </c>
      <c r="R5" s="304">
        <f t="shared" ca="1" si="2"/>
        <v>111</v>
      </c>
      <c r="S5" s="304">
        <f t="shared" ca="1" si="2"/>
        <v>146</v>
      </c>
      <c r="T5" s="304">
        <f t="shared" ca="1" si="2"/>
        <v>204</v>
      </c>
      <c r="U5" s="304">
        <f t="shared" ca="1" si="2"/>
        <v>129</v>
      </c>
      <c r="V5" s="304">
        <f t="shared" ca="1" si="2"/>
        <v>139</v>
      </c>
      <c r="W5" s="304">
        <f t="shared" ca="1" si="2"/>
        <v>143</v>
      </c>
      <c r="X5" s="304">
        <f t="shared" ca="1" si="2"/>
        <v>295</v>
      </c>
      <c r="Y5" s="305">
        <f t="shared" ca="1" si="3"/>
        <v>3218.0956663978241</v>
      </c>
      <c r="Z5" s="298">
        <f t="shared" ca="1" si="6"/>
        <v>6</v>
      </c>
      <c r="AA5" s="306">
        <f ca="1">IF(AB5&lt;&gt;"",HLOOKUP(AB5,originaliteit!$B$1:$N$64,64,0),"")</f>
        <v>0.94817073170731692</v>
      </c>
      <c r="AB5" s="307" t="str">
        <f t="shared" si="4"/>
        <v>Brits</v>
      </c>
    </row>
    <row r="6" spans="1:28" s="298" customFormat="1" ht="13.5" hidden="1" customHeight="1">
      <c r="A6" s="298">
        <v>4</v>
      </c>
      <c r="B6" s="303" t="str">
        <f t="shared" ca="1" si="0"/>
        <v>Prajak Mahawong</v>
      </c>
      <c r="C6" s="304">
        <f t="shared" ca="1" si="5"/>
        <v>112</v>
      </c>
      <c r="D6" s="304">
        <f t="shared" ca="1" si="1"/>
        <v>168</v>
      </c>
      <c r="E6" s="304">
        <f t="shared" ca="1" si="1"/>
        <v>186</v>
      </c>
      <c r="F6" s="304">
        <f t="shared" ca="1" si="1"/>
        <v>160</v>
      </c>
      <c r="G6" s="304">
        <f t="shared" ca="1" si="1"/>
        <v>94</v>
      </c>
      <c r="H6" s="304">
        <f t="shared" ca="1" si="1"/>
        <v>155</v>
      </c>
      <c r="I6" s="304">
        <f t="shared" ca="1" si="1"/>
        <v>158</v>
      </c>
      <c r="J6" s="304">
        <f t="shared" ca="1" si="1"/>
        <v>201</v>
      </c>
      <c r="K6" s="304">
        <f t="shared" ca="1" si="1"/>
        <v>118</v>
      </c>
      <c r="L6" s="304">
        <f t="shared" ca="1" si="1"/>
        <v>29</v>
      </c>
      <c r="M6" s="304">
        <f t="shared" ca="1" si="2"/>
        <v>167</v>
      </c>
      <c r="N6" s="304">
        <f t="shared" ca="1" si="2"/>
        <v>112</v>
      </c>
      <c r="O6" s="304">
        <f t="shared" ca="1" si="2"/>
        <v>77</v>
      </c>
      <c r="P6" s="304">
        <f t="shared" ca="1" si="2"/>
        <v>80</v>
      </c>
      <c r="Q6" s="304">
        <f t="shared" ca="1" si="2"/>
        <v>140</v>
      </c>
      <c r="R6" s="304">
        <f t="shared" ca="1" si="2"/>
        <v>133</v>
      </c>
      <c r="S6" s="304">
        <f t="shared" ca="1" si="2"/>
        <v>150</v>
      </c>
      <c r="T6" s="304">
        <f t="shared" ca="1" si="2"/>
        <v>206</v>
      </c>
      <c r="U6" s="304">
        <f t="shared" ca="1" si="2"/>
        <v>159</v>
      </c>
      <c r="V6" s="304">
        <f t="shared" ca="1" si="2"/>
        <v>129</v>
      </c>
      <c r="W6" s="304">
        <f t="shared" ca="1" si="2"/>
        <v>167</v>
      </c>
      <c r="X6" s="304">
        <f t="shared" ca="1" si="2"/>
        <v>283</v>
      </c>
      <c r="Y6" s="305">
        <f t="shared" ca="1" si="3"/>
        <v>3184.0708189913503</v>
      </c>
      <c r="Z6" s="298">
        <f t="shared" ca="1" si="6"/>
        <v>7</v>
      </c>
      <c r="AA6" s="306">
        <f ca="1">IF(AB6&lt;&gt;"",HLOOKUP(AB6,originaliteit!$B$1:$N$64,64,0),"")</f>
        <v>0.95398773006134951</v>
      </c>
      <c r="AB6" s="307" t="str">
        <f t="shared" si="4"/>
        <v>Bangkok</v>
      </c>
    </row>
    <row r="7" spans="1:28" s="298" customFormat="1" ht="13.5" hidden="1" customHeight="1">
      <c r="A7" s="298">
        <v>5</v>
      </c>
      <c r="B7" s="303" t="str">
        <f t="shared" ca="1" si="0"/>
        <v>Lothar blijft positief</v>
      </c>
      <c r="C7" s="304">
        <f t="shared" ca="1" si="5"/>
        <v>171</v>
      </c>
      <c r="D7" s="304">
        <f t="shared" ca="1" si="1"/>
        <v>154</v>
      </c>
      <c r="E7" s="304">
        <f t="shared" ca="1" si="1"/>
        <v>133</v>
      </c>
      <c r="F7" s="304">
        <f t="shared" ca="1" si="1"/>
        <v>131</v>
      </c>
      <c r="G7" s="304">
        <f t="shared" ca="1" si="1"/>
        <v>83</v>
      </c>
      <c r="H7" s="304">
        <f t="shared" ca="1" si="1"/>
        <v>209</v>
      </c>
      <c r="I7" s="304">
        <f t="shared" ca="1" si="1"/>
        <v>198</v>
      </c>
      <c r="J7" s="304">
        <f t="shared" ca="1" si="1"/>
        <v>227</v>
      </c>
      <c r="K7" s="304">
        <f t="shared" ca="1" si="1"/>
        <v>142</v>
      </c>
      <c r="L7" s="304">
        <f t="shared" ca="1" si="1"/>
        <v>42</v>
      </c>
      <c r="M7" s="304">
        <f t="shared" ca="1" si="2"/>
        <v>190</v>
      </c>
      <c r="N7" s="304">
        <f t="shared" ca="1" si="2"/>
        <v>178</v>
      </c>
      <c r="O7" s="304">
        <f t="shared" ca="1" si="2"/>
        <v>113</v>
      </c>
      <c r="P7" s="304">
        <f t="shared" ca="1" si="2"/>
        <v>113</v>
      </c>
      <c r="Q7" s="304">
        <f t="shared" ca="1" si="2"/>
        <v>129</v>
      </c>
      <c r="R7" s="304">
        <f t="shared" ca="1" si="2"/>
        <v>109</v>
      </c>
      <c r="S7" s="304">
        <f t="shared" ca="1" si="2"/>
        <v>170</v>
      </c>
      <c r="T7" s="304">
        <f t="shared" ca="1" si="2"/>
        <v>209</v>
      </c>
      <c r="U7" s="304">
        <f t="shared" ca="1" si="2"/>
        <v>132</v>
      </c>
      <c r="V7" s="304">
        <f t="shared" ca="1" si="2"/>
        <v>150</v>
      </c>
      <c r="W7" s="304">
        <f t="shared" ca="1" si="2"/>
        <v>112</v>
      </c>
      <c r="X7" s="304">
        <f t="shared" ca="1" si="2"/>
        <v>292</v>
      </c>
      <c r="Y7" s="305">
        <f t="shared" ca="1" si="3"/>
        <v>3387.0156551579908</v>
      </c>
      <c r="Z7" s="298">
        <f t="shared" ca="1" si="6"/>
        <v>3</v>
      </c>
      <c r="AA7" s="306">
        <f ca="1">IF(AB7&lt;&gt;"",HLOOKUP(AB7,originaliteit!$B$1:$N$64,64,0),"")</f>
        <v>0.9598765432098767</v>
      </c>
      <c r="AB7" s="307" t="str">
        <f t="shared" si="4"/>
        <v>Lothar</v>
      </c>
    </row>
    <row r="8" spans="1:28" s="298" customFormat="1" ht="13.5" hidden="1" customHeight="1">
      <c r="A8" s="298">
        <v>6</v>
      </c>
      <c r="B8" s="303" t="str">
        <f t="shared" ca="1" si="0"/>
        <v>De Lange Man</v>
      </c>
      <c r="C8" s="304">
        <f t="shared" ca="1" si="5"/>
        <v>173</v>
      </c>
      <c r="D8" s="304">
        <f t="shared" ca="1" si="1"/>
        <v>241</v>
      </c>
      <c r="E8" s="304">
        <f t="shared" ca="1" si="1"/>
        <v>236</v>
      </c>
      <c r="F8" s="304">
        <f t="shared" ca="1" si="1"/>
        <v>186</v>
      </c>
      <c r="G8" s="304">
        <f t="shared" ca="1" si="1"/>
        <v>101</v>
      </c>
      <c r="H8" s="304">
        <f t="shared" ca="1" si="1"/>
        <v>112</v>
      </c>
      <c r="I8" s="304">
        <f t="shared" ca="1" si="1"/>
        <v>129</v>
      </c>
      <c r="J8" s="304">
        <f t="shared" ca="1" si="1"/>
        <v>139</v>
      </c>
      <c r="K8" s="304">
        <f t="shared" ca="1" si="1"/>
        <v>129</v>
      </c>
      <c r="L8" s="304">
        <f t="shared" ca="1" si="1"/>
        <v>29</v>
      </c>
      <c r="M8" s="304">
        <f t="shared" ca="1" si="2"/>
        <v>137</v>
      </c>
      <c r="N8" s="304">
        <f t="shared" ca="1" si="2"/>
        <v>114</v>
      </c>
      <c r="O8" s="304">
        <f t="shared" ca="1" si="2"/>
        <v>119</v>
      </c>
      <c r="P8" s="304">
        <f t="shared" ca="1" si="2"/>
        <v>66</v>
      </c>
      <c r="Q8" s="304">
        <f t="shared" ca="1" si="2"/>
        <v>194</v>
      </c>
      <c r="R8" s="304">
        <f t="shared" ca="1" si="2"/>
        <v>107</v>
      </c>
      <c r="S8" s="304">
        <f t="shared" ca="1" si="2"/>
        <v>141</v>
      </c>
      <c r="T8" s="304">
        <f t="shared" ca="1" si="2"/>
        <v>205</v>
      </c>
      <c r="U8" s="304">
        <f t="shared" ca="1" si="2"/>
        <v>128</v>
      </c>
      <c r="V8" s="304">
        <f t="shared" ca="1" si="2"/>
        <v>135</v>
      </c>
      <c r="W8" s="304">
        <f t="shared" ca="1" si="2"/>
        <v>180</v>
      </c>
      <c r="X8" s="304">
        <f t="shared" ca="1" si="2"/>
        <v>251</v>
      </c>
      <c r="Y8" s="305">
        <f t="shared" ca="1" si="3"/>
        <v>3252.0172503148574</v>
      </c>
      <c r="Z8" s="298">
        <f t="shared" ca="1" si="6"/>
        <v>5</v>
      </c>
      <c r="AA8" s="306">
        <f ca="1">IF(AB8&lt;&gt;"",HLOOKUP(AB8,originaliteit!$B$1:$N$64,64,0),"")</f>
        <v>0.9598765432098767</v>
      </c>
      <c r="AB8" s="307" t="str">
        <f t="shared" si="4"/>
        <v>Lange</v>
      </c>
    </row>
    <row r="9" spans="1:28" s="298" customFormat="1" ht="13.5" hidden="1" customHeight="1">
      <c r="A9" s="298">
        <v>7</v>
      </c>
      <c r="B9" s="303" t="str">
        <f t="shared" ca="1" si="0"/>
        <v>El Gran</v>
      </c>
      <c r="C9" s="304">
        <f t="shared" ca="1" si="5"/>
        <v>153</v>
      </c>
      <c r="D9" s="304">
        <f t="shared" ca="1" si="1"/>
        <v>217</v>
      </c>
      <c r="E9" s="304">
        <f t="shared" ca="1" si="1"/>
        <v>218</v>
      </c>
      <c r="F9" s="304">
        <f t="shared" ca="1" si="1"/>
        <v>172</v>
      </c>
      <c r="G9" s="304">
        <f t="shared" ca="1" si="1"/>
        <v>100</v>
      </c>
      <c r="H9" s="304">
        <f t="shared" ca="1" si="1"/>
        <v>116</v>
      </c>
      <c r="I9" s="304">
        <f t="shared" ca="1" si="1"/>
        <v>147</v>
      </c>
      <c r="J9" s="304">
        <f t="shared" ca="1" si="1"/>
        <v>160</v>
      </c>
      <c r="K9" s="304">
        <f t="shared" ca="1" si="1"/>
        <v>101</v>
      </c>
      <c r="L9" s="304">
        <f t="shared" ca="1" si="1"/>
        <v>29</v>
      </c>
      <c r="M9" s="304">
        <f t="shared" ca="1" si="2"/>
        <v>140</v>
      </c>
      <c r="N9" s="304">
        <f t="shared" ca="1" si="2"/>
        <v>95</v>
      </c>
      <c r="O9" s="304">
        <f t="shared" ca="1" si="2"/>
        <v>117</v>
      </c>
      <c r="P9" s="304">
        <f t="shared" ca="1" si="2"/>
        <v>42</v>
      </c>
      <c r="Q9" s="304">
        <f t="shared" ca="1" si="2"/>
        <v>174</v>
      </c>
      <c r="R9" s="304">
        <f t="shared" ca="1" si="2"/>
        <v>140</v>
      </c>
      <c r="S9" s="304">
        <f t="shared" ca="1" si="2"/>
        <v>135</v>
      </c>
      <c r="T9" s="304">
        <f t="shared" ca="1" si="2"/>
        <v>199</v>
      </c>
      <c r="U9" s="304">
        <f t="shared" ca="1" si="2"/>
        <v>143</v>
      </c>
      <c r="V9" s="304">
        <f t="shared" ca="1" si="2"/>
        <v>147</v>
      </c>
      <c r="W9" s="304">
        <f t="shared" ca="1" si="2"/>
        <v>147</v>
      </c>
      <c r="X9" s="304">
        <f t="shared" ca="1" si="2"/>
        <v>257</v>
      </c>
      <c r="Y9" s="305">
        <f t="shared" ca="1" si="3"/>
        <v>3149.0417543919662</v>
      </c>
      <c r="Z9" s="298">
        <f t="shared" ca="1" si="6"/>
        <v>8</v>
      </c>
      <c r="AA9" s="306">
        <f ca="1">IF(AB9&lt;&gt;"",HLOOKUP(AB9,originaliteit!$B$1:$N$64,64,0),"")</f>
        <v>0.9598765432098767</v>
      </c>
      <c r="AB9" s="307" t="str">
        <f t="shared" si="4"/>
        <v>Gran</v>
      </c>
    </row>
    <row r="10" spans="1:28" s="298" customFormat="1" ht="13.5" hidden="1" customHeight="1">
      <c r="A10" s="298">
        <v>8</v>
      </c>
      <c r="B10" s="303" t="str">
        <f t="shared" ca="1" si="0"/>
        <v xml:space="preserve">Majella køp dr vør </v>
      </c>
      <c r="C10" s="304">
        <f t="shared" ca="1" si="5"/>
        <v>193</v>
      </c>
      <c r="D10" s="304">
        <f t="shared" ca="1" si="1"/>
        <v>205</v>
      </c>
      <c r="E10" s="304">
        <f t="shared" ca="1" si="1"/>
        <v>193</v>
      </c>
      <c r="F10" s="304">
        <f t="shared" ca="1" si="1"/>
        <v>167</v>
      </c>
      <c r="G10" s="304">
        <f t="shared" ca="1" si="1"/>
        <v>102</v>
      </c>
      <c r="H10" s="304">
        <f t="shared" ca="1" si="1"/>
        <v>157</v>
      </c>
      <c r="I10" s="304">
        <f t="shared" ca="1" si="1"/>
        <v>177</v>
      </c>
      <c r="J10" s="304">
        <f t="shared" ca="1" si="1"/>
        <v>177</v>
      </c>
      <c r="K10" s="304">
        <f t="shared" ca="1" si="1"/>
        <v>150</v>
      </c>
      <c r="L10" s="304">
        <f t="shared" ca="1" si="1"/>
        <v>41</v>
      </c>
      <c r="M10" s="304">
        <f t="shared" ca="1" si="2"/>
        <v>203</v>
      </c>
      <c r="N10" s="304">
        <f t="shared" ca="1" si="2"/>
        <v>163</v>
      </c>
      <c r="O10" s="304">
        <f t="shared" ca="1" si="2"/>
        <v>144</v>
      </c>
      <c r="P10" s="304">
        <f t="shared" ca="1" si="2"/>
        <v>115</v>
      </c>
      <c r="Q10" s="304">
        <f t="shared" ca="1" si="2"/>
        <v>177</v>
      </c>
      <c r="R10" s="304">
        <f t="shared" ca="1" si="2"/>
        <v>106</v>
      </c>
      <c r="S10" s="304">
        <f t="shared" ca="1" si="2"/>
        <v>171</v>
      </c>
      <c r="T10" s="304">
        <f t="shared" ca="1" si="2"/>
        <v>218</v>
      </c>
      <c r="U10" s="304">
        <f t="shared" ca="1" si="2"/>
        <v>158</v>
      </c>
      <c r="V10" s="304">
        <f t="shared" ca="1" si="2"/>
        <v>166</v>
      </c>
      <c r="W10" s="304">
        <f t="shared" ca="1" si="2"/>
        <v>174</v>
      </c>
      <c r="X10" s="304">
        <f t="shared" ca="1" si="2"/>
        <v>335</v>
      </c>
      <c r="Y10" s="305">
        <f t="shared" ca="1" si="3"/>
        <v>3692.0345856229087</v>
      </c>
      <c r="Z10" s="298">
        <f t="shared" ca="1" si="6"/>
        <v>1</v>
      </c>
      <c r="AA10" s="306">
        <f ca="1">IF(AB10&lt;&gt;"",HLOOKUP(AB10,originaliteit!$B$1:$N$64,64,0),"")</f>
        <v>1.0366666666666666</v>
      </c>
      <c r="AB10" s="307" t="str">
        <f t="shared" si="4"/>
        <v>Majella</v>
      </c>
    </row>
    <row r="11" spans="1:28" s="298" customFormat="1" ht="13.5" hidden="1" customHeight="1">
      <c r="A11" s="298">
        <v>9</v>
      </c>
      <c r="B11" s="303" t="str">
        <f t="shared" ca="1" si="0"/>
        <v>Freaky's manke Kruisbandjes</v>
      </c>
      <c r="C11" s="304">
        <f t="shared" ca="1" si="5"/>
        <v>103</v>
      </c>
      <c r="D11" s="304">
        <f t="shared" ca="1" si="1"/>
        <v>113</v>
      </c>
      <c r="E11" s="304">
        <f t="shared" ca="1" si="1"/>
        <v>107</v>
      </c>
      <c r="F11" s="304">
        <f t="shared" ca="1" si="1"/>
        <v>88</v>
      </c>
      <c r="G11" s="304">
        <f t="shared" ca="1" si="1"/>
        <v>72</v>
      </c>
      <c r="H11" s="304">
        <f t="shared" ca="1" si="1"/>
        <v>106</v>
      </c>
      <c r="I11" s="304">
        <f t="shared" ca="1" si="1"/>
        <v>138</v>
      </c>
      <c r="J11" s="304">
        <f t="shared" ca="1" si="1"/>
        <v>142</v>
      </c>
      <c r="K11" s="304">
        <f t="shared" ca="1" si="1"/>
        <v>140</v>
      </c>
      <c r="L11" s="304">
        <f t="shared" ca="1" si="1"/>
        <v>51</v>
      </c>
      <c r="M11" s="304">
        <f t="shared" ca="1" si="2"/>
        <v>134</v>
      </c>
      <c r="N11" s="304">
        <f t="shared" ca="1" si="2"/>
        <v>108</v>
      </c>
      <c r="O11" s="304">
        <f t="shared" ca="1" si="2"/>
        <v>62</v>
      </c>
      <c r="P11" s="304">
        <f t="shared" ca="1" si="2"/>
        <v>68</v>
      </c>
      <c r="Q11" s="304">
        <f t="shared" ca="1" si="2"/>
        <v>93</v>
      </c>
      <c r="R11" s="304">
        <f t="shared" ca="1" si="2"/>
        <v>139</v>
      </c>
      <c r="S11" s="304">
        <f t="shared" ca="1" si="2"/>
        <v>144</v>
      </c>
      <c r="T11" s="304">
        <f t="shared" ca="1" si="2"/>
        <v>182</v>
      </c>
      <c r="U11" s="304">
        <f t="shared" ca="1" si="2"/>
        <v>76</v>
      </c>
      <c r="V11" s="304">
        <f t="shared" ca="1" si="2"/>
        <v>125</v>
      </c>
      <c r="W11" s="304">
        <f t="shared" ca="1" si="2"/>
        <v>75</v>
      </c>
      <c r="X11" s="304">
        <f t="shared" ca="1" si="2"/>
        <v>228</v>
      </c>
      <c r="Y11" s="305">
        <f t="shared" ca="1" si="3"/>
        <v>2494.0478454631302</v>
      </c>
      <c r="Z11" s="298">
        <f t="shared" ca="1" si="6"/>
        <v>12</v>
      </c>
      <c r="AA11" s="306">
        <f ca="1">IF(AB11&lt;&gt;"",HLOOKUP(AB11,originaliteit!$B$1:$N$64,64,0),"")</f>
        <v>1.0874125874125873</v>
      </c>
      <c r="AB11" s="307" t="str">
        <f t="shared" si="4"/>
        <v>Freaky</v>
      </c>
    </row>
    <row r="12" spans="1:28" s="298" customFormat="1" ht="13.5" hidden="1" customHeight="1">
      <c r="A12" s="298">
        <v>10</v>
      </c>
      <c r="B12" s="303" t="str">
        <f t="shared" ca="1" si="0"/>
        <v>IJffjes Boys</v>
      </c>
      <c r="C12" s="304">
        <f t="shared" ca="1" si="5"/>
        <v>129</v>
      </c>
      <c r="D12" s="304">
        <f t="shared" ca="1" si="1"/>
        <v>210</v>
      </c>
      <c r="E12" s="304">
        <f t="shared" ca="1" si="1"/>
        <v>196</v>
      </c>
      <c r="F12" s="304">
        <f t="shared" ca="1" si="1"/>
        <v>224</v>
      </c>
      <c r="G12" s="304">
        <f t="shared" ca="1" si="1"/>
        <v>106</v>
      </c>
      <c r="H12" s="304">
        <f t="shared" ca="1" si="1"/>
        <v>112</v>
      </c>
      <c r="I12" s="304">
        <f t="shared" ca="1" si="1"/>
        <v>98</v>
      </c>
      <c r="J12" s="304">
        <f t="shared" ca="1" si="1"/>
        <v>162</v>
      </c>
      <c r="K12" s="304">
        <f t="shared" ca="1" si="1"/>
        <v>77</v>
      </c>
      <c r="L12" s="304">
        <f t="shared" ca="1" si="1"/>
        <v>19</v>
      </c>
      <c r="M12" s="304">
        <f t="shared" ca="1" si="2"/>
        <v>122</v>
      </c>
      <c r="N12" s="304">
        <f t="shared" ca="1" si="2"/>
        <v>88</v>
      </c>
      <c r="O12" s="304">
        <f t="shared" ca="1" si="2"/>
        <v>104</v>
      </c>
      <c r="P12" s="304">
        <f t="shared" ca="1" si="2"/>
        <v>74</v>
      </c>
      <c r="Q12" s="304">
        <f t="shared" ca="1" si="2"/>
        <v>173</v>
      </c>
      <c r="R12" s="304">
        <f t="shared" ca="1" si="2"/>
        <v>98</v>
      </c>
      <c r="S12" s="304">
        <f t="shared" ca="1" si="2"/>
        <v>110</v>
      </c>
      <c r="T12" s="304">
        <f t="shared" ca="1" si="2"/>
        <v>135</v>
      </c>
      <c r="U12" s="304">
        <f t="shared" ca="1" si="2"/>
        <v>122</v>
      </c>
      <c r="V12" s="304">
        <f t="shared" ca="1" si="2"/>
        <v>109</v>
      </c>
      <c r="W12" s="304">
        <f t="shared" ca="1" si="2"/>
        <v>161</v>
      </c>
      <c r="X12" s="304">
        <f t="shared" ca="1" si="2"/>
        <v>183</v>
      </c>
      <c r="Y12" s="305">
        <f t="shared" ca="1" si="3"/>
        <v>2812.0492217629057</v>
      </c>
      <c r="Z12" s="298">
        <f t="shared" ca="1" si="6"/>
        <v>9</v>
      </c>
      <c r="AA12" s="306">
        <f ca="1">IF(AB12&lt;&gt;"",HLOOKUP(AB12,originaliteit!$B$1:$N$64,64,0),"")</f>
        <v>1.1028368794326242</v>
      </c>
      <c r="AB12" s="307" t="str">
        <f t="shared" si="4"/>
        <v>Ijff</v>
      </c>
    </row>
    <row r="13" spans="1:28" s="298" customFormat="1" ht="13.5" hidden="1" customHeight="1">
      <c r="A13" s="298">
        <v>11</v>
      </c>
      <c r="B13" s="303" t="str">
        <f t="shared" ca="1" si="0"/>
        <v>Am Selfkant</v>
      </c>
      <c r="C13" s="304">
        <f t="shared" ca="1" si="5"/>
        <v>139</v>
      </c>
      <c r="D13" s="304">
        <f t="shared" ca="1" si="1"/>
        <v>170</v>
      </c>
      <c r="E13" s="304">
        <f t="shared" ca="1" si="1"/>
        <v>156</v>
      </c>
      <c r="F13" s="304">
        <f t="shared" ca="1" si="1"/>
        <v>158</v>
      </c>
      <c r="G13" s="304">
        <f t="shared" ca="1" si="1"/>
        <v>105</v>
      </c>
      <c r="H13" s="304">
        <f t="shared" ca="1" si="1"/>
        <v>80</v>
      </c>
      <c r="I13" s="304">
        <f t="shared" ca="1" si="1"/>
        <v>124</v>
      </c>
      <c r="J13" s="304">
        <f t="shared" ca="1" si="1"/>
        <v>136</v>
      </c>
      <c r="K13" s="304">
        <f t="shared" ca="1" si="1"/>
        <v>101</v>
      </c>
      <c r="L13" s="304">
        <f t="shared" ca="1" si="1"/>
        <v>63</v>
      </c>
      <c r="M13" s="304">
        <f t="shared" ca="1" si="2"/>
        <v>93</v>
      </c>
      <c r="N13" s="304">
        <f t="shared" ca="1" si="2"/>
        <v>106</v>
      </c>
      <c r="O13" s="304">
        <f t="shared" ca="1" si="2"/>
        <v>113</v>
      </c>
      <c r="P13" s="304">
        <f t="shared" ca="1" si="2"/>
        <v>71</v>
      </c>
      <c r="Q13" s="304">
        <f t="shared" ca="1" si="2"/>
        <v>121</v>
      </c>
      <c r="R13" s="304">
        <f t="shared" ca="1" si="2"/>
        <v>113</v>
      </c>
      <c r="S13" s="304">
        <f t="shared" ca="1" si="2"/>
        <v>101</v>
      </c>
      <c r="T13" s="304">
        <f t="shared" ca="1" si="2"/>
        <v>138</v>
      </c>
      <c r="U13" s="304">
        <f t="shared" ca="1" si="2"/>
        <v>90</v>
      </c>
      <c r="V13" s="304">
        <f t="shared" ca="1" si="2"/>
        <v>128</v>
      </c>
      <c r="W13" s="304">
        <f t="shared" ca="1" si="2"/>
        <v>93</v>
      </c>
      <c r="X13" s="304">
        <f t="shared" ca="1" si="2"/>
        <v>164</v>
      </c>
      <c r="Y13" s="305">
        <f t="shared" ca="1" si="3"/>
        <v>2563.0116710110692</v>
      </c>
      <c r="Z13" s="298">
        <f t="shared" ca="1" si="6"/>
        <v>11</v>
      </c>
      <c r="AA13" s="306">
        <f ca="1">IF(AB13&lt;&gt;"",HLOOKUP(AB13,originaliteit!$B$1:$N$64,64,0),"")</f>
        <v>1.1107142857142855</v>
      </c>
      <c r="AB13" s="307" t="str">
        <f t="shared" si="4"/>
        <v>Selfkant</v>
      </c>
    </row>
    <row r="14" spans="1:28" s="298" customFormat="1" ht="13.5" hidden="1" customHeight="1">
      <c r="A14" s="298">
        <v>12</v>
      </c>
      <c r="B14" s="303" t="str">
        <f t="shared" ref="B14:B19" ca="1" si="7">INDIRECT($AB14&amp;"!c1")</f>
        <v>Kol de la Madeleine</v>
      </c>
      <c r="C14" s="304">
        <f t="shared" ca="1" si="5"/>
        <v>124</v>
      </c>
      <c r="D14" s="304">
        <f t="shared" ref="D14:D19" ca="1" si="8">ROUND(INDIRECT($AB14&amp;"!"&amp;D$1&amp;"22"),1)</f>
        <v>135</v>
      </c>
      <c r="E14" s="304">
        <f t="shared" ref="E14:X16" ca="1" si="9">ROUND(INDIRECT($AB14&amp;"!"&amp;E$1&amp;"22"),1)</f>
        <v>136</v>
      </c>
      <c r="F14" s="304">
        <f t="shared" ca="1" si="9"/>
        <v>132</v>
      </c>
      <c r="G14" s="304">
        <f t="shared" ca="1" si="9"/>
        <v>110</v>
      </c>
      <c r="H14" s="304">
        <f t="shared" ca="1" si="9"/>
        <v>142</v>
      </c>
      <c r="I14" s="304">
        <f t="shared" ca="1" si="9"/>
        <v>144</v>
      </c>
      <c r="J14" s="304">
        <f t="shared" ca="1" si="9"/>
        <v>161</v>
      </c>
      <c r="K14" s="304">
        <f t="shared" ca="1" si="9"/>
        <v>106</v>
      </c>
      <c r="L14" s="304">
        <f t="shared" ca="1" si="9"/>
        <v>31</v>
      </c>
      <c r="M14" s="304">
        <f t="shared" ca="1" si="9"/>
        <v>146</v>
      </c>
      <c r="N14" s="304">
        <f t="shared" ca="1" si="9"/>
        <v>116</v>
      </c>
      <c r="O14" s="304">
        <f t="shared" ca="1" si="9"/>
        <v>85</v>
      </c>
      <c r="P14" s="304">
        <f t="shared" ca="1" si="9"/>
        <v>104</v>
      </c>
      <c r="Q14" s="304">
        <f t="shared" ca="1" si="9"/>
        <v>93</v>
      </c>
      <c r="R14" s="304">
        <f t="shared" ca="1" si="9"/>
        <v>74</v>
      </c>
      <c r="S14" s="304">
        <f t="shared" ca="1" si="9"/>
        <v>151</v>
      </c>
      <c r="T14" s="304">
        <f t="shared" ca="1" si="9"/>
        <v>176</v>
      </c>
      <c r="U14" s="304">
        <f t="shared" ca="1" si="9"/>
        <v>123</v>
      </c>
      <c r="V14" s="304">
        <f t="shared" ca="1" si="9"/>
        <v>121</v>
      </c>
      <c r="W14" s="304">
        <f t="shared" ca="1" si="9"/>
        <v>128</v>
      </c>
      <c r="X14" s="304">
        <f t="shared" ca="1" si="9"/>
        <v>253</v>
      </c>
      <c r="Y14" s="305">
        <f t="shared" ref="Y14:Y19" ca="1" si="10">SUM(C14:X14)+RAND()/10</f>
        <v>2791.0231226176102</v>
      </c>
      <c r="Z14" s="298">
        <f t="shared" ca="1" si="6"/>
        <v>10</v>
      </c>
      <c r="AA14" s="306">
        <f ca="1">IF(AB14&lt;&gt;"",HLOOKUP(AB14,originaliteit!$B$1:$N$64,64,0),"")</f>
        <v>1.1350364963503652</v>
      </c>
      <c r="AB14" s="307" t="str">
        <f t="shared" si="4"/>
        <v>Kolbrelli</v>
      </c>
    </row>
    <row r="15" spans="1:28" s="298" customFormat="1" ht="13.5" hidden="1" customHeight="1">
      <c r="A15" s="298">
        <v>13</v>
      </c>
      <c r="B15" s="303" t="e">
        <f t="shared" ca="1" si="7"/>
        <v>#REF!</v>
      </c>
      <c r="C15" s="304" t="e">
        <f t="shared" ca="1" si="5"/>
        <v>#REF!</v>
      </c>
      <c r="D15" s="304" t="e">
        <f t="shared" ca="1" si="8"/>
        <v>#REF!</v>
      </c>
      <c r="E15" s="304" t="e">
        <f t="shared" ca="1" si="9"/>
        <v>#REF!</v>
      </c>
      <c r="F15" s="304" t="e">
        <f t="shared" ca="1" si="9"/>
        <v>#REF!</v>
      </c>
      <c r="G15" s="304" t="e">
        <f t="shared" ca="1" si="9"/>
        <v>#REF!</v>
      </c>
      <c r="H15" s="304" t="e">
        <f t="shared" ca="1" si="9"/>
        <v>#REF!</v>
      </c>
      <c r="I15" s="304" t="e">
        <f t="shared" ca="1" si="9"/>
        <v>#REF!</v>
      </c>
      <c r="J15" s="304" t="e">
        <f t="shared" ca="1" si="9"/>
        <v>#REF!</v>
      </c>
      <c r="K15" s="304" t="e">
        <f t="shared" ca="1" si="9"/>
        <v>#REF!</v>
      </c>
      <c r="L15" s="304" t="e">
        <f t="shared" ca="1" si="9"/>
        <v>#REF!</v>
      </c>
      <c r="M15" s="304" t="e">
        <f t="shared" ca="1" si="9"/>
        <v>#REF!</v>
      </c>
      <c r="N15" s="304" t="e">
        <f t="shared" ca="1" si="9"/>
        <v>#REF!</v>
      </c>
      <c r="O15" s="304" t="e">
        <f t="shared" ca="1" si="9"/>
        <v>#REF!</v>
      </c>
      <c r="P15" s="304" t="e">
        <f t="shared" ca="1" si="9"/>
        <v>#REF!</v>
      </c>
      <c r="Q15" s="304" t="e">
        <f t="shared" ca="1" si="9"/>
        <v>#REF!</v>
      </c>
      <c r="R15" s="304" t="e">
        <f t="shared" ca="1" si="9"/>
        <v>#REF!</v>
      </c>
      <c r="S15" s="304" t="e">
        <f t="shared" ca="1" si="9"/>
        <v>#REF!</v>
      </c>
      <c r="T15" s="304" t="e">
        <f t="shared" ca="1" si="9"/>
        <v>#REF!</v>
      </c>
      <c r="U15" s="304" t="e">
        <f t="shared" ca="1" si="9"/>
        <v>#REF!</v>
      </c>
      <c r="V15" s="304" t="e">
        <f t="shared" ca="1" si="9"/>
        <v>#REF!</v>
      </c>
      <c r="W15" s="304" t="e">
        <f t="shared" ca="1" si="9"/>
        <v>#REF!</v>
      </c>
      <c r="X15" s="304" t="e">
        <f t="shared" ca="1" si="9"/>
        <v>#REF!</v>
      </c>
      <c r="Y15" s="305" t="e">
        <f t="shared" ca="1" si="10"/>
        <v>#REF!</v>
      </c>
      <c r="Z15" s="298" t="e">
        <f t="shared" ref="Z15" ca="1" si="11">RANK(Y15,$Y$3:$Y$15)</f>
        <v>#REF!</v>
      </c>
      <c r="AA15" s="306" t="e">
        <f>IF(AB15&lt;&gt;"",HLOOKUP(AB15,originaliteit!$B$1:$N$64,64,0),"")</f>
        <v>#REF!</v>
      </c>
      <c r="AB15" s="307" t="e">
        <f t="shared" ref="AB15:AB19" si="12">INDEX(lijst_sheets,,A15)</f>
        <v>#REF!</v>
      </c>
    </row>
    <row r="16" spans="1:28" s="298" customFormat="1" ht="13.5" hidden="1" customHeight="1">
      <c r="A16" s="298">
        <v>14</v>
      </c>
      <c r="B16" s="303" t="e">
        <f t="shared" ca="1" si="7"/>
        <v>#REF!</v>
      </c>
      <c r="C16" s="304" t="e">
        <f t="shared" ref="C16:C19" ca="1" si="13">ROUND(INDIRECT($AB16&amp;"!"&amp;C$1&amp;"22"),1)</f>
        <v>#REF!</v>
      </c>
      <c r="D16" s="304" t="e">
        <f t="shared" ca="1" si="8"/>
        <v>#REF!</v>
      </c>
      <c r="E16" s="304" t="e">
        <f t="shared" ca="1" si="9"/>
        <v>#REF!</v>
      </c>
      <c r="F16" s="304" t="e">
        <f t="shared" ca="1" si="9"/>
        <v>#REF!</v>
      </c>
      <c r="G16" s="304" t="e">
        <f t="shared" ca="1" si="9"/>
        <v>#REF!</v>
      </c>
      <c r="H16" s="304" t="e">
        <f t="shared" ca="1" si="9"/>
        <v>#REF!</v>
      </c>
      <c r="I16" s="304" t="e">
        <f t="shared" ca="1" si="9"/>
        <v>#REF!</v>
      </c>
      <c r="J16" s="304" t="e">
        <f t="shared" ca="1" si="9"/>
        <v>#REF!</v>
      </c>
      <c r="K16" s="304" t="e">
        <f t="shared" ca="1" si="9"/>
        <v>#REF!</v>
      </c>
      <c r="L16" s="304" t="e">
        <f t="shared" ca="1" si="9"/>
        <v>#REF!</v>
      </c>
      <c r="M16" s="304" t="e">
        <f t="shared" ca="1" si="9"/>
        <v>#REF!</v>
      </c>
      <c r="N16" s="304" t="e">
        <f t="shared" ca="1" si="9"/>
        <v>#REF!</v>
      </c>
      <c r="O16" s="304" t="e">
        <f t="shared" ref="E16:X19" ca="1" si="14">ROUND(INDIRECT($AB16&amp;"!"&amp;O$1&amp;"22"),1)</f>
        <v>#REF!</v>
      </c>
      <c r="P16" s="304" t="e">
        <f t="shared" ca="1" si="14"/>
        <v>#REF!</v>
      </c>
      <c r="Q16" s="304" t="e">
        <f t="shared" ca="1" si="14"/>
        <v>#REF!</v>
      </c>
      <c r="R16" s="304" t="e">
        <f t="shared" ca="1" si="14"/>
        <v>#REF!</v>
      </c>
      <c r="S16" s="304" t="e">
        <f t="shared" ca="1" si="14"/>
        <v>#REF!</v>
      </c>
      <c r="T16" s="304" t="e">
        <f t="shared" ca="1" si="14"/>
        <v>#REF!</v>
      </c>
      <c r="U16" s="304" t="e">
        <f t="shared" ca="1" si="14"/>
        <v>#REF!</v>
      </c>
      <c r="V16" s="304" t="e">
        <f t="shared" ca="1" si="14"/>
        <v>#REF!</v>
      </c>
      <c r="W16" s="304" t="e">
        <f t="shared" ca="1" si="14"/>
        <v>#REF!</v>
      </c>
      <c r="X16" s="304" t="e">
        <f t="shared" ca="1" si="14"/>
        <v>#REF!</v>
      </c>
      <c r="Y16" s="305" t="e">
        <f t="shared" ca="1" si="10"/>
        <v>#REF!</v>
      </c>
      <c r="Z16" s="298" t="e">
        <f t="shared" ref="Z16:Z19" ca="1" si="15">RANK(Y16,$Y$3:$Y$13)</f>
        <v>#REF!</v>
      </c>
      <c r="AA16" s="306" t="e">
        <f>IF(AB16&lt;&gt;"",HLOOKUP(AB16,originaliteit!$B$1:$N$64,64,0),"")</f>
        <v>#REF!</v>
      </c>
      <c r="AB16" s="307" t="e">
        <f t="shared" si="12"/>
        <v>#REF!</v>
      </c>
    </row>
    <row r="17" spans="1:50" s="298" customFormat="1" ht="13.5" hidden="1" customHeight="1">
      <c r="A17" s="298">
        <v>15</v>
      </c>
      <c r="B17" s="303" t="e">
        <f t="shared" ca="1" si="7"/>
        <v>#REF!</v>
      </c>
      <c r="C17" s="304" t="e">
        <f t="shared" ca="1" si="13"/>
        <v>#REF!</v>
      </c>
      <c r="D17" s="304" t="e">
        <f t="shared" ca="1" si="8"/>
        <v>#REF!</v>
      </c>
      <c r="E17" s="304" t="e">
        <f t="shared" ca="1" si="14"/>
        <v>#REF!</v>
      </c>
      <c r="F17" s="304" t="e">
        <f t="shared" ca="1" si="14"/>
        <v>#REF!</v>
      </c>
      <c r="G17" s="304" t="e">
        <f t="shared" ca="1" si="14"/>
        <v>#REF!</v>
      </c>
      <c r="H17" s="304" t="e">
        <f t="shared" ca="1" si="14"/>
        <v>#REF!</v>
      </c>
      <c r="I17" s="304" t="e">
        <f t="shared" ca="1" si="14"/>
        <v>#REF!</v>
      </c>
      <c r="J17" s="304" t="e">
        <f t="shared" ca="1" si="14"/>
        <v>#REF!</v>
      </c>
      <c r="K17" s="304" t="e">
        <f t="shared" ca="1" si="14"/>
        <v>#REF!</v>
      </c>
      <c r="L17" s="304" t="e">
        <f t="shared" ca="1" si="14"/>
        <v>#REF!</v>
      </c>
      <c r="M17" s="304" t="e">
        <f t="shared" ca="1" si="14"/>
        <v>#REF!</v>
      </c>
      <c r="N17" s="304" t="e">
        <f t="shared" ca="1" si="14"/>
        <v>#REF!</v>
      </c>
      <c r="O17" s="304" t="e">
        <f t="shared" ca="1" si="14"/>
        <v>#REF!</v>
      </c>
      <c r="P17" s="304" t="e">
        <f t="shared" ca="1" si="14"/>
        <v>#REF!</v>
      </c>
      <c r="Q17" s="304" t="e">
        <f t="shared" ca="1" si="14"/>
        <v>#REF!</v>
      </c>
      <c r="R17" s="304" t="e">
        <f t="shared" ca="1" si="14"/>
        <v>#REF!</v>
      </c>
      <c r="S17" s="304" t="e">
        <f t="shared" ca="1" si="14"/>
        <v>#REF!</v>
      </c>
      <c r="T17" s="304" t="e">
        <f t="shared" ca="1" si="14"/>
        <v>#REF!</v>
      </c>
      <c r="U17" s="304" t="e">
        <f t="shared" ca="1" si="14"/>
        <v>#REF!</v>
      </c>
      <c r="V17" s="304" t="e">
        <f t="shared" ca="1" si="14"/>
        <v>#REF!</v>
      </c>
      <c r="W17" s="304" t="e">
        <f t="shared" ca="1" si="14"/>
        <v>#REF!</v>
      </c>
      <c r="X17" s="304" t="e">
        <f t="shared" ca="1" si="14"/>
        <v>#REF!</v>
      </c>
      <c r="Y17" s="305" t="e">
        <f t="shared" ca="1" si="10"/>
        <v>#REF!</v>
      </c>
      <c r="Z17" s="298" t="e">
        <f t="shared" ca="1" si="15"/>
        <v>#REF!</v>
      </c>
      <c r="AA17" s="306" t="e">
        <f>IF(AB17&lt;&gt;"",HLOOKUP(AB17,originaliteit!$B$1:$N$64,64,0),"")</f>
        <v>#REF!</v>
      </c>
      <c r="AB17" s="307" t="e">
        <f t="shared" si="12"/>
        <v>#REF!</v>
      </c>
    </row>
    <row r="18" spans="1:50" s="298" customFormat="1" ht="13.5" hidden="1" customHeight="1">
      <c r="A18" s="298">
        <v>16</v>
      </c>
      <c r="B18" s="303" t="e">
        <f t="shared" ca="1" si="7"/>
        <v>#REF!</v>
      </c>
      <c r="C18" s="304" t="e">
        <f t="shared" ca="1" si="13"/>
        <v>#REF!</v>
      </c>
      <c r="D18" s="304" t="e">
        <f t="shared" ca="1" si="8"/>
        <v>#REF!</v>
      </c>
      <c r="E18" s="304" t="e">
        <f t="shared" ca="1" si="14"/>
        <v>#REF!</v>
      </c>
      <c r="F18" s="304" t="e">
        <f t="shared" ca="1" si="14"/>
        <v>#REF!</v>
      </c>
      <c r="G18" s="304" t="e">
        <f t="shared" ca="1" si="14"/>
        <v>#REF!</v>
      </c>
      <c r="H18" s="304" t="e">
        <f t="shared" ca="1" si="14"/>
        <v>#REF!</v>
      </c>
      <c r="I18" s="304" t="e">
        <f t="shared" ca="1" si="14"/>
        <v>#REF!</v>
      </c>
      <c r="J18" s="304" t="e">
        <f t="shared" ca="1" si="14"/>
        <v>#REF!</v>
      </c>
      <c r="K18" s="304" t="e">
        <f t="shared" ca="1" si="14"/>
        <v>#REF!</v>
      </c>
      <c r="L18" s="304" t="e">
        <f t="shared" ca="1" si="14"/>
        <v>#REF!</v>
      </c>
      <c r="M18" s="304" t="e">
        <f t="shared" ca="1" si="14"/>
        <v>#REF!</v>
      </c>
      <c r="N18" s="304" t="e">
        <f t="shared" ca="1" si="14"/>
        <v>#REF!</v>
      </c>
      <c r="O18" s="304" t="e">
        <f t="shared" ca="1" si="14"/>
        <v>#REF!</v>
      </c>
      <c r="P18" s="304" t="e">
        <f t="shared" ca="1" si="14"/>
        <v>#REF!</v>
      </c>
      <c r="Q18" s="304" t="e">
        <f t="shared" ca="1" si="14"/>
        <v>#REF!</v>
      </c>
      <c r="R18" s="304" t="e">
        <f t="shared" ca="1" si="14"/>
        <v>#REF!</v>
      </c>
      <c r="S18" s="304" t="e">
        <f t="shared" ca="1" si="14"/>
        <v>#REF!</v>
      </c>
      <c r="T18" s="304" t="e">
        <f t="shared" ca="1" si="14"/>
        <v>#REF!</v>
      </c>
      <c r="U18" s="304" t="e">
        <f t="shared" ca="1" si="14"/>
        <v>#REF!</v>
      </c>
      <c r="V18" s="304" t="e">
        <f t="shared" ca="1" si="14"/>
        <v>#REF!</v>
      </c>
      <c r="W18" s="304" t="e">
        <f t="shared" ca="1" si="14"/>
        <v>#REF!</v>
      </c>
      <c r="X18" s="304" t="e">
        <f t="shared" ca="1" si="14"/>
        <v>#REF!</v>
      </c>
      <c r="Y18" s="305" t="e">
        <f t="shared" ca="1" si="10"/>
        <v>#REF!</v>
      </c>
      <c r="Z18" s="298" t="e">
        <f t="shared" ca="1" si="15"/>
        <v>#REF!</v>
      </c>
      <c r="AA18" s="306" t="e">
        <f>IF(AB18&lt;&gt;"",HLOOKUP(AB18,originaliteit!$B$1:$N$64,64,0),"")</f>
        <v>#REF!</v>
      </c>
      <c r="AB18" s="307" t="e">
        <f t="shared" si="12"/>
        <v>#REF!</v>
      </c>
    </row>
    <row r="19" spans="1:50" s="298" customFormat="1" ht="13.5" hidden="1" customHeight="1">
      <c r="A19" s="298">
        <v>17</v>
      </c>
      <c r="B19" s="303" t="e">
        <f t="shared" ca="1" si="7"/>
        <v>#REF!</v>
      </c>
      <c r="C19" s="304" t="e">
        <f t="shared" ca="1" si="13"/>
        <v>#REF!</v>
      </c>
      <c r="D19" s="304" t="e">
        <f t="shared" ca="1" si="8"/>
        <v>#REF!</v>
      </c>
      <c r="E19" s="304" t="e">
        <f t="shared" ca="1" si="14"/>
        <v>#REF!</v>
      </c>
      <c r="F19" s="304" t="e">
        <f t="shared" ca="1" si="14"/>
        <v>#REF!</v>
      </c>
      <c r="G19" s="304" t="e">
        <f t="shared" ca="1" si="14"/>
        <v>#REF!</v>
      </c>
      <c r="H19" s="304" t="e">
        <f t="shared" ca="1" si="14"/>
        <v>#REF!</v>
      </c>
      <c r="I19" s="304" t="e">
        <f t="shared" ca="1" si="14"/>
        <v>#REF!</v>
      </c>
      <c r="J19" s="304" t="e">
        <f t="shared" ca="1" si="14"/>
        <v>#REF!</v>
      </c>
      <c r="K19" s="304" t="e">
        <f t="shared" ca="1" si="14"/>
        <v>#REF!</v>
      </c>
      <c r="L19" s="304" t="e">
        <f t="shared" ca="1" si="14"/>
        <v>#REF!</v>
      </c>
      <c r="M19" s="304" t="e">
        <f t="shared" ca="1" si="14"/>
        <v>#REF!</v>
      </c>
      <c r="N19" s="304" t="e">
        <f t="shared" ca="1" si="14"/>
        <v>#REF!</v>
      </c>
      <c r="O19" s="304" t="e">
        <f t="shared" ca="1" si="14"/>
        <v>#REF!</v>
      </c>
      <c r="P19" s="304" t="e">
        <f t="shared" ca="1" si="14"/>
        <v>#REF!</v>
      </c>
      <c r="Q19" s="304" t="e">
        <f t="shared" ca="1" si="14"/>
        <v>#REF!</v>
      </c>
      <c r="R19" s="304" t="e">
        <f t="shared" ca="1" si="14"/>
        <v>#REF!</v>
      </c>
      <c r="S19" s="304" t="e">
        <f t="shared" ca="1" si="14"/>
        <v>#REF!</v>
      </c>
      <c r="T19" s="304" t="e">
        <f t="shared" ca="1" si="14"/>
        <v>#REF!</v>
      </c>
      <c r="U19" s="304" t="e">
        <f t="shared" ca="1" si="14"/>
        <v>#REF!</v>
      </c>
      <c r="V19" s="304" t="e">
        <f t="shared" ca="1" si="14"/>
        <v>#REF!</v>
      </c>
      <c r="W19" s="304" t="e">
        <f t="shared" ca="1" si="14"/>
        <v>#REF!</v>
      </c>
      <c r="X19" s="304" t="e">
        <f t="shared" ca="1" si="14"/>
        <v>#REF!</v>
      </c>
      <c r="Y19" s="305" t="e">
        <f t="shared" ca="1" si="10"/>
        <v>#REF!</v>
      </c>
      <c r="Z19" s="298" t="e">
        <f t="shared" ca="1" si="15"/>
        <v>#REF!</v>
      </c>
      <c r="AA19" s="306" t="e">
        <f>IF(AB19&lt;&gt;"",HLOOKUP(AB19,originaliteit!$B$1:$N$64,64,0),"")</f>
        <v>#REF!</v>
      </c>
      <c r="AB19" s="307" t="e">
        <f t="shared" si="12"/>
        <v>#REF!</v>
      </c>
    </row>
    <row r="20" spans="1:50" ht="12" customHeight="1">
      <c r="B20" s="100" t="s">
        <v>6</v>
      </c>
      <c r="AB20" s="100" t="s">
        <v>8</v>
      </c>
    </row>
    <row r="21" spans="1:50" s="95" customFormat="1" ht="12" customHeight="1" thickBot="1">
      <c r="C21" s="96">
        <f>C2</f>
        <v>1</v>
      </c>
      <c r="D21" s="96">
        <f t="shared" ref="D21" si="16">D2</f>
        <v>2</v>
      </c>
      <c r="E21" s="96">
        <f t="shared" ref="E21:X21" si="17">E2</f>
        <v>3</v>
      </c>
      <c r="F21" s="96">
        <f t="shared" si="17"/>
        <v>4</v>
      </c>
      <c r="G21" s="96">
        <f t="shared" si="17"/>
        <v>5</v>
      </c>
      <c r="H21" s="96">
        <f t="shared" si="17"/>
        <v>6</v>
      </c>
      <c r="I21" s="96">
        <f t="shared" si="17"/>
        <v>7</v>
      </c>
      <c r="J21" s="96">
        <f t="shared" si="17"/>
        <v>8</v>
      </c>
      <c r="K21" s="96">
        <f t="shared" si="17"/>
        <v>9</v>
      </c>
      <c r="L21" s="96">
        <f t="shared" si="17"/>
        <v>10</v>
      </c>
      <c r="M21" s="96">
        <f t="shared" si="17"/>
        <v>11</v>
      </c>
      <c r="N21" s="96">
        <f t="shared" si="17"/>
        <v>12</v>
      </c>
      <c r="O21" s="96">
        <f t="shared" si="17"/>
        <v>13</v>
      </c>
      <c r="P21" s="96">
        <f t="shared" si="17"/>
        <v>14</v>
      </c>
      <c r="Q21" s="96">
        <f t="shared" si="17"/>
        <v>15</v>
      </c>
      <c r="R21" s="96">
        <f t="shared" si="17"/>
        <v>16</v>
      </c>
      <c r="S21" s="96">
        <f t="shared" si="17"/>
        <v>17</v>
      </c>
      <c r="T21" s="96">
        <f t="shared" si="17"/>
        <v>18</v>
      </c>
      <c r="U21" s="96">
        <f t="shared" si="17"/>
        <v>19</v>
      </c>
      <c r="V21" s="96">
        <f t="shared" si="17"/>
        <v>20</v>
      </c>
      <c r="W21" s="96">
        <f t="shared" si="17"/>
        <v>21</v>
      </c>
      <c r="X21" s="267" t="str">
        <f t="shared" si="17"/>
        <v>B</v>
      </c>
      <c r="AC21" s="96">
        <f>C21</f>
        <v>1</v>
      </c>
      <c r="AD21" s="96">
        <f>D21</f>
        <v>2</v>
      </c>
      <c r="AE21" s="96">
        <f t="shared" ref="AE21:AX21" si="18">E21</f>
        <v>3</v>
      </c>
      <c r="AF21" s="96">
        <f t="shared" si="18"/>
        <v>4</v>
      </c>
      <c r="AG21" s="96">
        <f t="shared" si="18"/>
        <v>5</v>
      </c>
      <c r="AH21" s="96">
        <f t="shared" si="18"/>
        <v>6</v>
      </c>
      <c r="AI21" s="96">
        <f t="shared" si="18"/>
        <v>7</v>
      </c>
      <c r="AJ21" s="96">
        <f t="shared" si="18"/>
        <v>8</v>
      </c>
      <c r="AK21" s="96">
        <f t="shared" si="18"/>
        <v>9</v>
      </c>
      <c r="AL21" s="96">
        <f t="shared" si="18"/>
        <v>10</v>
      </c>
      <c r="AM21" s="96">
        <f t="shared" si="18"/>
        <v>11</v>
      </c>
      <c r="AN21" s="96">
        <f t="shared" si="18"/>
        <v>12</v>
      </c>
      <c r="AO21" s="96">
        <f t="shared" si="18"/>
        <v>13</v>
      </c>
      <c r="AP21" s="96">
        <f t="shared" si="18"/>
        <v>14</v>
      </c>
      <c r="AQ21" s="96">
        <f t="shared" si="18"/>
        <v>15</v>
      </c>
      <c r="AR21" s="96">
        <f t="shared" si="18"/>
        <v>16</v>
      </c>
      <c r="AS21" s="96">
        <f t="shared" si="18"/>
        <v>17</v>
      </c>
      <c r="AT21" s="96">
        <f t="shared" si="18"/>
        <v>18</v>
      </c>
      <c r="AU21" s="96">
        <f t="shared" si="18"/>
        <v>19</v>
      </c>
      <c r="AV21" s="96">
        <f t="shared" si="18"/>
        <v>20</v>
      </c>
      <c r="AW21" s="96">
        <f t="shared" si="18"/>
        <v>21</v>
      </c>
      <c r="AX21" s="96" t="str">
        <f t="shared" si="18"/>
        <v>B</v>
      </c>
    </row>
    <row r="22" spans="1:50" ht="12" customHeight="1">
      <c r="A22" s="97"/>
      <c r="B22" s="101" t="str">
        <f ca="1">B3</f>
        <v>Onder de vod</v>
      </c>
      <c r="C22" s="108">
        <f ca="1">C3</f>
        <v>149</v>
      </c>
      <c r="D22" s="108">
        <f t="shared" ref="D22:D23" ca="1" si="19">IF(D3=0,,D3+C22)</f>
        <v>324</v>
      </c>
      <c r="E22" s="108">
        <f t="shared" ref="E22:G23" ca="1" si="20">IF(E3=0,,E3+D22)</f>
        <v>501</v>
      </c>
      <c r="F22" s="108">
        <f t="shared" ca="1" si="20"/>
        <v>660</v>
      </c>
      <c r="G22" s="108">
        <f t="shared" ca="1" si="20"/>
        <v>759</v>
      </c>
      <c r="H22" s="108">
        <f t="shared" ref="H22:H23" ca="1" si="21">IF(H3=0,,H3+G22)</f>
        <v>943</v>
      </c>
      <c r="I22" s="108">
        <f t="shared" ref="I22:I23" ca="1" si="22">IF(I3=0,,I3+H22)</f>
        <v>1148</v>
      </c>
      <c r="J22" s="108">
        <f t="shared" ref="J22:J23" ca="1" si="23">IF(J3=0,,J3+I22)</f>
        <v>1361</v>
      </c>
      <c r="K22" s="108">
        <f t="shared" ref="K22:K23" ca="1" si="24">IF(K3=0,,K3+J22)</f>
        <v>1501</v>
      </c>
      <c r="L22" s="108">
        <f t="shared" ref="L22:L23" ca="1" si="25">IF(L3=0,,L3+K22)</f>
        <v>1536</v>
      </c>
      <c r="M22" s="108">
        <f t="shared" ref="M22:M23" ca="1" si="26">IF(M3=0,,M3+L22)</f>
        <v>1714</v>
      </c>
      <c r="N22" s="108">
        <f t="shared" ref="N22:N23" ca="1" si="27">IF(N3=0,,N3+M22)</f>
        <v>1851</v>
      </c>
      <c r="O22" s="108">
        <f t="shared" ref="O22:O23" ca="1" si="28">IF(O3=0,,O3+N22)</f>
        <v>1981</v>
      </c>
      <c r="P22" s="108">
        <f t="shared" ref="P22:P23" ca="1" si="29">IF(P3=0,,P3+O22)</f>
        <v>2081</v>
      </c>
      <c r="Q22" s="108">
        <f t="shared" ref="Q22:Q23" ca="1" si="30">IF(Q3=0,,Q3+P22)</f>
        <v>2219</v>
      </c>
      <c r="R22" s="108">
        <f t="shared" ref="R22:R23" ca="1" si="31">IF(R3=0,,R3+Q22)</f>
        <v>2342</v>
      </c>
      <c r="S22" s="108">
        <f t="shared" ref="S22:S23" ca="1" si="32">IF(S3=0,,S3+R22)</f>
        <v>2511</v>
      </c>
      <c r="T22" s="108">
        <f t="shared" ref="T22:T23" ca="1" si="33">IF(T3=0,,T3+S22)</f>
        <v>2719</v>
      </c>
      <c r="U22" s="108">
        <f t="shared" ref="U22:U23" ca="1" si="34">IF(U3=0,,U3+T22)</f>
        <v>2846</v>
      </c>
      <c r="V22" s="108">
        <f t="shared" ref="V22:V23" ca="1" si="35">IF(V3=0,,V3+U22)</f>
        <v>2990</v>
      </c>
      <c r="W22" s="108">
        <f t="shared" ref="W22:W23" ca="1" si="36">IF(W3=0,,W3+V22)</f>
        <v>3099</v>
      </c>
      <c r="X22" s="243">
        <f t="shared" ref="X22:X23" ca="1" si="37">IF(X3=0,,X3+W22)</f>
        <v>3380</v>
      </c>
      <c r="Y22" s="104"/>
      <c r="Z22" s="95"/>
      <c r="AB22" s="102" t="str">
        <f t="shared" ref="AB22" ca="1" si="38">B22</f>
        <v>Onder de vod</v>
      </c>
      <c r="AC22" s="103">
        <f t="shared" ref="AC22:AC33" ca="1" si="39">C22-AC$34</f>
        <v>5.75</v>
      </c>
      <c r="AD22" s="103">
        <f t="shared" ref="AD22:AD33" ca="1" si="40">IF(D22&gt;0,D22-AD$34,"")</f>
        <v>-8.3333333333314386E-2</v>
      </c>
      <c r="AE22" s="103">
        <f t="shared" ref="AE22:AE33" ca="1" si="41">IF(E22&gt;0,E22-AE$34,"")</f>
        <v>-0.33333333333331439</v>
      </c>
      <c r="AF22" s="103">
        <f t="shared" ref="AF22:AF33" ca="1" si="42">IF(F22&gt;0,F22-AF$34,"")</f>
        <v>3.5</v>
      </c>
      <c r="AG22" s="103">
        <f t="shared" ref="AG22:AG33" ca="1" si="43">IF(G22&gt;0,G22-AG$34,"")</f>
        <v>4.8333333333333712</v>
      </c>
      <c r="AH22" s="103">
        <f t="shared" ref="AH22:AH33" ca="1" si="44">IF(H22&gt;0,H22-AH$34,"")</f>
        <v>48.5</v>
      </c>
      <c r="AI22" s="103">
        <f t="shared" ref="AI22:AI33" ca="1" si="45">IF(I22&gt;0,I22-AI$34,"")</f>
        <v>98.5</v>
      </c>
      <c r="AJ22" s="103">
        <f t="shared" ref="AJ22:AJ33" ca="1" si="46">IF(J22&gt;0,J22-AJ$34,"")</f>
        <v>140.58333333333326</v>
      </c>
      <c r="AK22" s="103">
        <f t="shared" ref="AK22:AK33" ca="1" si="47">IF(K22&gt;0,K22-AK$34,"")</f>
        <v>157.91666666666674</v>
      </c>
      <c r="AL22" s="103">
        <f t="shared" ref="AL22:AL33" ca="1" si="48">IF(L22&gt;0,L22-AL$34,"")</f>
        <v>156.58333333333326</v>
      </c>
      <c r="AM22" s="103">
        <f t="shared" ref="AM22:AM33" ca="1" si="49">IF(M22&gt;0,M22-AM$34,"")</f>
        <v>178.91666666666674</v>
      </c>
      <c r="AN22" s="103">
        <f t="shared" ref="AN22:AN33" ca="1" si="50">IF(N22&gt;0,N22-AN$34,"")</f>
        <v>190.25</v>
      </c>
      <c r="AO22" s="103">
        <f t="shared" ref="AO22:AO33" ca="1" si="51">IF(O22&gt;0,O22-AO$34,"")</f>
        <v>210.91666666666674</v>
      </c>
      <c r="AP22" s="103">
        <f t="shared" ref="AP22:AP33" ca="1" si="52">IF(P22&gt;0,P22-AP$34,"")</f>
        <v>231.41666666666674</v>
      </c>
      <c r="AQ22" s="103">
        <f t="shared" ref="AQ22:AQ33" ca="1" si="53">IF(Q22&gt;0,Q22-AQ$34,"")</f>
        <v>222.25</v>
      </c>
      <c r="AR22" s="103">
        <f t="shared" ref="AR22:AR33" ca="1" si="54">IF(R22&gt;0,R22-AR$34,"")</f>
        <v>229.91666666666652</v>
      </c>
      <c r="AS22" s="103">
        <f t="shared" ref="AS22:AS33" ca="1" si="55">IF(S22&gt;0,S22-AS$34,"")</f>
        <v>250.66666666666652</v>
      </c>
      <c r="AT22" s="103">
        <f t="shared" ref="AT22:AT33" ca="1" si="56">IF(T22&gt;0,T22-AT$34,"")</f>
        <v>266.33333333333348</v>
      </c>
      <c r="AU22" s="103">
        <f t="shared" ref="AU22:AU33" ca="1" si="57">IF(U22&gt;0,U22-AU$34,"")</f>
        <v>262.91666666666652</v>
      </c>
      <c r="AV22" s="103">
        <f t="shared" ref="AV22:AV33" ca="1" si="58">IF(V22&gt;0,V22-AV$34,"")</f>
        <v>271.5</v>
      </c>
      <c r="AW22" s="103">
        <f t="shared" ref="AW22:AW33" ca="1" si="59">IF(W22&gt;0,W22-AW$34,"")</f>
        <v>241.75</v>
      </c>
      <c r="AX22" s="103">
        <f t="shared" ref="AX22:AX33" ca="1" si="60">IF(X22&gt;0,X22-AX$34,"")</f>
        <v>261.16666666666652</v>
      </c>
    </row>
    <row r="23" spans="1:50" ht="12" customHeight="1">
      <c r="A23" s="97"/>
      <c r="B23" s="101" t="str">
        <f t="shared" ref="B23:C23" ca="1" si="61">B4</f>
        <v>Tins Tour Toppers</v>
      </c>
      <c r="C23" s="108">
        <f t="shared" ca="1" si="61"/>
        <v>128</v>
      </c>
      <c r="D23" s="108">
        <f t="shared" ca="1" si="19"/>
        <v>316</v>
      </c>
      <c r="E23" s="108">
        <f t="shared" ca="1" si="20"/>
        <v>508</v>
      </c>
      <c r="F23" s="108">
        <f t="shared" ca="1" si="20"/>
        <v>648</v>
      </c>
      <c r="G23" s="108">
        <f t="shared" ca="1" si="20"/>
        <v>747</v>
      </c>
      <c r="H23" s="108">
        <f t="shared" ca="1" si="21"/>
        <v>904</v>
      </c>
      <c r="I23" s="108">
        <f t="shared" ca="1" si="22"/>
        <v>1082</v>
      </c>
      <c r="J23" s="108">
        <f t="shared" ca="1" si="23"/>
        <v>1252</v>
      </c>
      <c r="K23" s="108">
        <f t="shared" ca="1" si="24"/>
        <v>1392</v>
      </c>
      <c r="L23" s="108">
        <f t="shared" ca="1" si="25"/>
        <v>1427</v>
      </c>
      <c r="M23" s="108">
        <f t="shared" ca="1" si="26"/>
        <v>1605</v>
      </c>
      <c r="N23" s="108">
        <f t="shared" ca="1" si="27"/>
        <v>1776</v>
      </c>
      <c r="O23" s="108">
        <f t="shared" ca="1" si="28"/>
        <v>1898</v>
      </c>
      <c r="P23" s="108">
        <f t="shared" ca="1" si="29"/>
        <v>1972</v>
      </c>
      <c r="Q23" s="108">
        <f t="shared" ca="1" si="30"/>
        <v>2151</v>
      </c>
      <c r="R23" s="108">
        <f t="shared" ca="1" si="31"/>
        <v>2282</v>
      </c>
      <c r="S23" s="108">
        <f t="shared" ca="1" si="32"/>
        <v>2473</v>
      </c>
      <c r="T23" s="108">
        <f t="shared" ca="1" si="33"/>
        <v>2701</v>
      </c>
      <c r="U23" s="108">
        <f t="shared" ca="1" si="34"/>
        <v>2879</v>
      </c>
      <c r="V23" s="108">
        <f t="shared" ca="1" si="35"/>
        <v>3011</v>
      </c>
      <c r="W23" s="108">
        <f t="shared" ca="1" si="36"/>
        <v>3187</v>
      </c>
      <c r="X23" s="243">
        <f t="shared" ca="1" si="37"/>
        <v>3504</v>
      </c>
      <c r="Y23" s="104"/>
      <c r="Z23" s="95"/>
      <c r="AB23" s="102" t="str">
        <f ca="1">B23</f>
        <v>Tins Tour Toppers</v>
      </c>
      <c r="AC23" s="103">
        <f t="shared" ca="1" si="39"/>
        <v>-15.25</v>
      </c>
      <c r="AD23" s="103">
        <f t="shared" ca="1" si="40"/>
        <v>-8.0833333333333144</v>
      </c>
      <c r="AE23" s="103">
        <f t="shared" ca="1" si="41"/>
        <v>6.6666666666666856</v>
      </c>
      <c r="AF23" s="103">
        <f t="shared" ca="1" si="42"/>
        <v>-8.5</v>
      </c>
      <c r="AG23" s="103">
        <f t="shared" ca="1" si="43"/>
        <v>-7.1666666666666288</v>
      </c>
      <c r="AH23" s="103">
        <f t="shared" ca="1" si="44"/>
        <v>9.5</v>
      </c>
      <c r="AI23" s="103">
        <f t="shared" ca="1" si="45"/>
        <v>32.5</v>
      </c>
      <c r="AJ23" s="103">
        <f t="shared" ca="1" si="46"/>
        <v>31.583333333333258</v>
      </c>
      <c r="AK23" s="103">
        <f t="shared" ca="1" si="47"/>
        <v>48.916666666666742</v>
      </c>
      <c r="AL23" s="103">
        <f t="shared" ca="1" si="48"/>
        <v>47.583333333333258</v>
      </c>
      <c r="AM23" s="103">
        <f t="shared" ca="1" si="49"/>
        <v>69.916666666666742</v>
      </c>
      <c r="AN23" s="103">
        <f t="shared" ca="1" si="50"/>
        <v>115.25</v>
      </c>
      <c r="AO23" s="103">
        <f t="shared" ca="1" si="51"/>
        <v>127.91666666666674</v>
      </c>
      <c r="AP23" s="103">
        <f t="shared" ca="1" si="52"/>
        <v>122.41666666666674</v>
      </c>
      <c r="AQ23" s="103">
        <f t="shared" ca="1" si="53"/>
        <v>154.25</v>
      </c>
      <c r="AR23" s="103">
        <f t="shared" ca="1" si="54"/>
        <v>169.91666666666652</v>
      </c>
      <c r="AS23" s="103">
        <f t="shared" ca="1" si="55"/>
        <v>212.66666666666652</v>
      </c>
      <c r="AT23" s="103">
        <f t="shared" ca="1" si="56"/>
        <v>248.33333333333348</v>
      </c>
      <c r="AU23" s="103">
        <f t="shared" ca="1" si="57"/>
        <v>295.91666666666652</v>
      </c>
      <c r="AV23" s="103">
        <f t="shared" ca="1" si="58"/>
        <v>292.5</v>
      </c>
      <c r="AW23" s="103">
        <f t="shared" ca="1" si="59"/>
        <v>329.75</v>
      </c>
      <c r="AX23" s="103">
        <f t="shared" ca="1" si="60"/>
        <v>385.16666666666652</v>
      </c>
    </row>
    <row r="24" spans="1:50" ht="12" customHeight="1">
      <c r="A24" s="97"/>
      <c r="B24" s="101" t="str">
        <f t="shared" ref="B24:C24" ca="1" si="62">B5</f>
        <v>Prof's ploegje</v>
      </c>
      <c r="C24" s="108">
        <f t="shared" ca="1" si="62"/>
        <v>145</v>
      </c>
      <c r="D24" s="108">
        <f t="shared" ref="D24:D29" ca="1" si="63">IF(D5=0,,D5+C24)</f>
        <v>339</v>
      </c>
      <c r="E24" s="108">
        <f t="shared" ref="E24:E29" ca="1" si="64">IF(E5=0,,E5+D24)</f>
        <v>536</v>
      </c>
      <c r="F24" s="108">
        <f t="shared" ref="F24:F29" ca="1" si="65">IF(F5=0,,F5+E24)</f>
        <v>681</v>
      </c>
      <c r="G24" s="108">
        <f t="shared" ref="G24:G29" ca="1" si="66">IF(G5=0,,G5+F24)</f>
        <v>782</v>
      </c>
      <c r="H24" s="108">
        <f t="shared" ref="H24:H29" ca="1" si="67">IF(H5=0,,H5+G24)</f>
        <v>936</v>
      </c>
      <c r="I24" s="108">
        <f t="shared" ref="I24:I29" ca="1" si="68">IF(I5=0,,I5+H24)</f>
        <v>1100</v>
      </c>
      <c r="J24" s="108">
        <f t="shared" ref="J24:J29" ca="1" si="69">IF(J5=0,,J5+I24)</f>
        <v>1263</v>
      </c>
      <c r="K24" s="108">
        <f t="shared" ref="K24:K29" ca="1" si="70">IF(K5=0,,K5+J24)</f>
        <v>1391</v>
      </c>
      <c r="L24" s="108">
        <f t="shared" ref="L24:L29" ca="1" si="71">IF(L5=0,,L5+K24)</f>
        <v>1423</v>
      </c>
      <c r="M24" s="108">
        <f t="shared" ref="M24:M29" ca="1" si="72">IF(M5=0,,M5+L24)</f>
        <v>1603</v>
      </c>
      <c r="N24" s="108">
        <f t="shared" ref="N24:N29" ca="1" si="73">IF(N5=0,,N5+M24)</f>
        <v>1723</v>
      </c>
      <c r="O24" s="108">
        <f t="shared" ref="O24:O29" ca="1" si="74">IF(O5=0,,O5+N24)</f>
        <v>1849</v>
      </c>
      <c r="P24" s="108">
        <f t="shared" ref="P24:P29" ca="1" si="75">IF(P5=0,,P5+O24)</f>
        <v>1896</v>
      </c>
      <c r="Q24" s="108">
        <f t="shared" ref="Q24:Q29" ca="1" si="76">IF(Q5=0,,Q5+P24)</f>
        <v>2051</v>
      </c>
      <c r="R24" s="108">
        <f t="shared" ref="R24:R29" ca="1" si="77">IF(R5=0,,R5+Q24)</f>
        <v>2162</v>
      </c>
      <c r="S24" s="108">
        <f t="shared" ref="S24:S29" ca="1" si="78">IF(S5=0,,S5+R24)</f>
        <v>2308</v>
      </c>
      <c r="T24" s="108">
        <f t="shared" ref="T24:T29" ca="1" si="79">IF(T5=0,,T5+S24)</f>
        <v>2512</v>
      </c>
      <c r="U24" s="108">
        <f t="shared" ref="U24:U29" ca="1" si="80">IF(U5=0,,U5+T24)</f>
        <v>2641</v>
      </c>
      <c r="V24" s="108">
        <f t="shared" ref="V24:V29" ca="1" si="81">IF(V5=0,,V5+U24)</f>
        <v>2780</v>
      </c>
      <c r="W24" s="108">
        <f t="shared" ref="W24:W29" ca="1" si="82">IF(W5=0,,W5+V24)</f>
        <v>2923</v>
      </c>
      <c r="X24" s="243">
        <f t="shared" ref="X24:X29" ca="1" si="83">IF(X5=0,,X5+W24)</f>
        <v>3218</v>
      </c>
      <c r="Y24" s="104"/>
      <c r="Z24" s="95"/>
      <c r="AB24" s="102" t="str">
        <f t="shared" ref="AB24:AB33" ca="1" si="84">B24</f>
        <v>Prof's ploegje</v>
      </c>
      <c r="AC24" s="103">
        <f t="shared" ca="1" si="39"/>
        <v>1.75</v>
      </c>
      <c r="AD24" s="103">
        <f t="shared" ca="1" si="40"/>
        <v>14.916666666666686</v>
      </c>
      <c r="AE24" s="103">
        <f t="shared" ca="1" si="41"/>
        <v>34.666666666666686</v>
      </c>
      <c r="AF24" s="103">
        <f t="shared" ca="1" si="42"/>
        <v>24.5</v>
      </c>
      <c r="AG24" s="103">
        <f t="shared" ca="1" si="43"/>
        <v>27.833333333333371</v>
      </c>
      <c r="AH24" s="103">
        <f t="shared" ca="1" si="44"/>
        <v>41.5</v>
      </c>
      <c r="AI24" s="103">
        <f t="shared" ca="1" si="45"/>
        <v>50.5</v>
      </c>
      <c r="AJ24" s="103">
        <f t="shared" ca="1" si="46"/>
        <v>42.583333333333258</v>
      </c>
      <c r="AK24" s="103">
        <f t="shared" ca="1" si="47"/>
        <v>47.916666666666742</v>
      </c>
      <c r="AL24" s="103">
        <f t="shared" ca="1" si="48"/>
        <v>43.583333333333258</v>
      </c>
      <c r="AM24" s="103">
        <f t="shared" ca="1" si="49"/>
        <v>67.916666666666742</v>
      </c>
      <c r="AN24" s="103">
        <f t="shared" ca="1" si="50"/>
        <v>62.25</v>
      </c>
      <c r="AO24" s="103">
        <f t="shared" ca="1" si="51"/>
        <v>78.916666666666742</v>
      </c>
      <c r="AP24" s="103">
        <f t="shared" ca="1" si="52"/>
        <v>46.416666666666742</v>
      </c>
      <c r="AQ24" s="103">
        <f t="shared" ca="1" si="53"/>
        <v>54.25</v>
      </c>
      <c r="AR24" s="103">
        <f t="shared" ca="1" si="54"/>
        <v>49.916666666666515</v>
      </c>
      <c r="AS24" s="103">
        <f t="shared" ca="1" si="55"/>
        <v>47.666666666666515</v>
      </c>
      <c r="AT24" s="103">
        <f t="shared" ca="1" si="56"/>
        <v>59.333333333333485</v>
      </c>
      <c r="AU24" s="103">
        <f t="shared" ca="1" si="57"/>
        <v>57.916666666666515</v>
      </c>
      <c r="AV24" s="103">
        <f t="shared" ca="1" si="58"/>
        <v>61.5</v>
      </c>
      <c r="AW24" s="103">
        <f t="shared" ca="1" si="59"/>
        <v>65.75</v>
      </c>
      <c r="AX24" s="103">
        <f t="shared" ca="1" si="60"/>
        <v>99.166666666666515</v>
      </c>
    </row>
    <row r="25" spans="1:50" ht="12" customHeight="1">
      <c r="A25" s="97"/>
      <c r="B25" s="101" t="str">
        <f t="shared" ref="B25:C25" ca="1" si="85">B6</f>
        <v>Prajak Mahawong</v>
      </c>
      <c r="C25" s="108">
        <f t="shared" ca="1" si="85"/>
        <v>112</v>
      </c>
      <c r="D25" s="108">
        <f t="shared" ca="1" si="63"/>
        <v>280</v>
      </c>
      <c r="E25" s="108">
        <f t="shared" ca="1" si="64"/>
        <v>466</v>
      </c>
      <c r="F25" s="108">
        <f t="shared" ca="1" si="65"/>
        <v>626</v>
      </c>
      <c r="G25" s="108">
        <f t="shared" ca="1" si="66"/>
        <v>720</v>
      </c>
      <c r="H25" s="108">
        <f t="shared" ca="1" si="67"/>
        <v>875</v>
      </c>
      <c r="I25" s="108">
        <f t="shared" ca="1" si="68"/>
        <v>1033</v>
      </c>
      <c r="J25" s="108">
        <f t="shared" ca="1" si="69"/>
        <v>1234</v>
      </c>
      <c r="K25" s="108">
        <f t="shared" ca="1" si="70"/>
        <v>1352</v>
      </c>
      <c r="L25" s="108">
        <f t="shared" ca="1" si="71"/>
        <v>1381</v>
      </c>
      <c r="M25" s="108">
        <f t="shared" ca="1" si="72"/>
        <v>1548</v>
      </c>
      <c r="N25" s="108">
        <f t="shared" ca="1" si="73"/>
        <v>1660</v>
      </c>
      <c r="O25" s="108">
        <f t="shared" ca="1" si="74"/>
        <v>1737</v>
      </c>
      <c r="P25" s="108">
        <f t="shared" ca="1" si="75"/>
        <v>1817</v>
      </c>
      <c r="Q25" s="108">
        <f t="shared" ca="1" si="76"/>
        <v>1957</v>
      </c>
      <c r="R25" s="108">
        <f t="shared" ca="1" si="77"/>
        <v>2090</v>
      </c>
      <c r="S25" s="108">
        <f t="shared" ca="1" si="78"/>
        <v>2240</v>
      </c>
      <c r="T25" s="108">
        <f t="shared" ca="1" si="79"/>
        <v>2446</v>
      </c>
      <c r="U25" s="108">
        <f t="shared" ca="1" si="80"/>
        <v>2605</v>
      </c>
      <c r="V25" s="108">
        <f t="shared" ca="1" si="81"/>
        <v>2734</v>
      </c>
      <c r="W25" s="108">
        <f t="shared" ca="1" si="82"/>
        <v>2901</v>
      </c>
      <c r="X25" s="243">
        <f t="shared" ca="1" si="83"/>
        <v>3184</v>
      </c>
      <c r="Y25" s="104"/>
      <c r="Z25" s="95"/>
      <c r="AB25" s="102" t="str">
        <f t="shared" ca="1" si="84"/>
        <v>Prajak Mahawong</v>
      </c>
      <c r="AC25" s="103">
        <f t="shared" ca="1" si="39"/>
        <v>-31.25</v>
      </c>
      <c r="AD25" s="103">
        <f t="shared" ca="1" si="40"/>
        <v>-44.083333333333314</v>
      </c>
      <c r="AE25" s="103">
        <f t="shared" ca="1" si="41"/>
        <v>-35.333333333333314</v>
      </c>
      <c r="AF25" s="103">
        <f t="shared" ca="1" si="42"/>
        <v>-30.5</v>
      </c>
      <c r="AG25" s="103">
        <f t="shared" ca="1" si="43"/>
        <v>-34.166666666666629</v>
      </c>
      <c r="AH25" s="103">
        <f t="shared" ca="1" si="44"/>
        <v>-19.5</v>
      </c>
      <c r="AI25" s="103">
        <f t="shared" ca="1" si="45"/>
        <v>-16.5</v>
      </c>
      <c r="AJ25" s="103">
        <f t="shared" ca="1" si="46"/>
        <v>13.583333333333258</v>
      </c>
      <c r="AK25" s="103">
        <f t="shared" ca="1" si="47"/>
        <v>8.9166666666667425</v>
      </c>
      <c r="AL25" s="103">
        <f t="shared" ca="1" si="48"/>
        <v>1.5833333333332575</v>
      </c>
      <c r="AM25" s="103">
        <f t="shared" ca="1" si="49"/>
        <v>12.916666666666742</v>
      </c>
      <c r="AN25" s="103">
        <f t="shared" ca="1" si="50"/>
        <v>-0.75</v>
      </c>
      <c r="AO25" s="103">
        <f t="shared" ca="1" si="51"/>
        <v>-33.083333333333258</v>
      </c>
      <c r="AP25" s="103">
        <f t="shared" ca="1" si="52"/>
        <v>-32.583333333333258</v>
      </c>
      <c r="AQ25" s="103">
        <f t="shared" ca="1" si="53"/>
        <v>-39.75</v>
      </c>
      <c r="AR25" s="103">
        <f t="shared" ca="1" si="54"/>
        <v>-22.083333333333485</v>
      </c>
      <c r="AS25" s="103">
        <f t="shared" ca="1" si="55"/>
        <v>-20.333333333333485</v>
      </c>
      <c r="AT25" s="103">
        <f t="shared" ca="1" si="56"/>
        <v>-6.6666666666665151</v>
      </c>
      <c r="AU25" s="103">
        <f t="shared" ca="1" si="57"/>
        <v>21.916666666666515</v>
      </c>
      <c r="AV25" s="103">
        <f t="shared" ca="1" si="58"/>
        <v>15.5</v>
      </c>
      <c r="AW25" s="103">
        <f t="shared" ca="1" si="59"/>
        <v>43.75</v>
      </c>
      <c r="AX25" s="103">
        <f t="shared" ca="1" si="60"/>
        <v>65.166666666666515</v>
      </c>
    </row>
    <row r="26" spans="1:50" ht="12" customHeight="1">
      <c r="A26" s="97"/>
      <c r="B26" s="101" t="str">
        <f t="shared" ref="B26:C26" ca="1" si="86">B7</f>
        <v>Lothar blijft positief</v>
      </c>
      <c r="C26" s="108">
        <f t="shared" ca="1" si="86"/>
        <v>171</v>
      </c>
      <c r="D26" s="108">
        <f t="shared" ca="1" si="63"/>
        <v>325</v>
      </c>
      <c r="E26" s="108">
        <f t="shared" ca="1" si="64"/>
        <v>458</v>
      </c>
      <c r="F26" s="108">
        <f t="shared" ca="1" si="65"/>
        <v>589</v>
      </c>
      <c r="G26" s="108">
        <f t="shared" ca="1" si="66"/>
        <v>672</v>
      </c>
      <c r="H26" s="108">
        <f t="shared" ca="1" si="67"/>
        <v>881</v>
      </c>
      <c r="I26" s="108">
        <f t="shared" ca="1" si="68"/>
        <v>1079</v>
      </c>
      <c r="J26" s="108">
        <f t="shared" ca="1" si="69"/>
        <v>1306</v>
      </c>
      <c r="K26" s="108">
        <f t="shared" ca="1" si="70"/>
        <v>1448</v>
      </c>
      <c r="L26" s="108">
        <f t="shared" ca="1" si="71"/>
        <v>1490</v>
      </c>
      <c r="M26" s="108">
        <f t="shared" ca="1" si="72"/>
        <v>1680</v>
      </c>
      <c r="N26" s="108">
        <f t="shared" ca="1" si="73"/>
        <v>1858</v>
      </c>
      <c r="O26" s="108">
        <f t="shared" ca="1" si="74"/>
        <v>1971</v>
      </c>
      <c r="P26" s="108">
        <f t="shared" ca="1" si="75"/>
        <v>2084</v>
      </c>
      <c r="Q26" s="108">
        <f t="shared" ca="1" si="76"/>
        <v>2213</v>
      </c>
      <c r="R26" s="108">
        <f t="shared" ca="1" si="77"/>
        <v>2322</v>
      </c>
      <c r="S26" s="108">
        <f t="shared" ca="1" si="78"/>
        <v>2492</v>
      </c>
      <c r="T26" s="108">
        <f t="shared" ca="1" si="79"/>
        <v>2701</v>
      </c>
      <c r="U26" s="108">
        <f t="shared" ca="1" si="80"/>
        <v>2833</v>
      </c>
      <c r="V26" s="108">
        <f t="shared" ca="1" si="81"/>
        <v>2983</v>
      </c>
      <c r="W26" s="108">
        <f t="shared" ca="1" si="82"/>
        <v>3095</v>
      </c>
      <c r="X26" s="243">
        <f t="shared" ca="1" si="83"/>
        <v>3387</v>
      </c>
      <c r="Y26" s="104"/>
      <c r="Z26" s="95"/>
      <c r="AB26" s="102" t="str">
        <f t="shared" ca="1" si="84"/>
        <v>Lothar blijft positief</v>
      </c>
      <c r="AC26" s="103">
        <f t="shared" ca="1" si="39"/>
        <v>27.75</v>
      </c>
      <c r="AD26" s="103">
        <f t="shared" ca="1" si="40"/>
        <v>0.91666666666668561</v>
      </c>
      <c r="AE26" s="103">
        <f t="shared" ca="1" si="41"/>
        <v>-43.333333333333314</v>
      </c>
      <c r="AF26" s="103">
        <f t="shared" ca="1" si="42"/>
        <v>-67.5</v>
      </c>
      <c r="AG26" s="103">
        <f t="shared" ca="1" si="43"/>
        <v>-82.166666666666629</v>
      </c>
      <c r="AH26" s="103">
        <f t="shared" ca="1" si="44"/>
        <v>-13.5</v>
      </c>
      <c r="AI26" s="103">
        <f t="shared" ca="1" si="45"/>
        <v>29.5</v>
      </c>
      <c r="AJ26" s="103">
        <f t="shared" ca="1" si="46"/>
        <v>85.583333333333258</v>
      </c>
      <c r="AK26" s="103">
        <f t="shared" ca="1" si="47"/>
        <v>104.91666666666674</v>
      </c>
      <c r="AL26" s="103">
        <f t="shared" ca="1" si="48"/>
        <v>110.58333333333326</v>
      </c>
      <c r="AM26" s="103">
        <f t="shared" ca="1" si="49"/>
        <v>144.91666666666674</v>
      </c>
      <c r="AN26" s="103">
        <f t="shared" ca="1" si="50"/>
        <v>197.25</v>
      </c>
      <c r="AO26" s="103">
        <f t="shared" ca="1" si="51"/>
        <v>200.91666666666674</v>
      </c>
      <c r="AP26" s="103">
        <f t="shared" ca="1" si="52"/>
        <v>234.41666666666674</v>
      </c>
      <c r="AQ26" s="103">
        <f t="shared" ca="1" si="53"/>
        <v>216.25</v>
      </c>
      <c r="AR26" s="103">
        <f t="shared" ca="1" si="54"/>
        <v>209.91666666666652</v>
      </c>
      <c r="AS26" s="103">
        <f t="shared" ca="1" si="55"/>
        <v>231.66666666666652</v>
      </c>
      <c r="AT26" s="103">
        <f t="shared" ca="1" si="56"/>
        <v>248.33333333333348</v>
      </c>
      <c r="AU26" s="103">
        <f t="shared" ca="1" si="57"/>
        <v>249.91666666666652</v>
      </c>
      <c r="AV26" s="103">
        <f t="shared" ca="1" si="58"/>
        <v>264.5</v>
      </c>
      <c r="AW26" s="103">
        <f t="shared" ca="1" si="59"/>
        <v>237.75</v>
      </c>
      <c r="AX26" s="103">
        <f t="shared" ca="1" si="60"/>
        <v>268.16666666666652</v>
      </c>
    </row>
    <row r="27" spans="1:50" ht="12" customHeight="1">
      <c r="A27" s="97"/>
      <c r="B27" s="101" t="str">
        <f t="shared" ref="B27:C27" ca="1" si="87">B8</f>
        <v>De Lange Man</v>
      </c>
      <c r="C27" s="108">
        <f t="shared" ca="1" si="87"/>
        <v>173</v>
      </c>
      <c r="D27" s="108">
        <f t="shared" ca="1" si="63"/>
        <v>414</v>
      </c>
      <c r="E27" s="108">
        <f t="shared" ca="1" si="64"/>
        <v>650</v>
      </c>
      <c r="F27" s="108">
        <f t="shared" ca="1" si="65"/>
        <v>836</v>
      </c>
      <c r="G27" s="108">
        <f t="shared" ca="1" si="66"/>
        <v>937</v>
      </c>
      <c r="H27" s="108">
        <f t="shared" ca="1" si="67"/>
        <v>1049</v>
      </c>
      <c r="I27" s="108">
        <f t="shared" ca="1" si="68"/>
        <v>1178</v>
      </c>
      <c r="J27" s="108">
        <f t="shared" ca="1" si="69"/>
        <v>1317</v>
      </c>
      <c r="K27" s="108">
        <f t="shared" ca="1" si="70"/>
        <v>1446</v>
      </c>
      <c r="L27" s="108">
        <f t="shared" ca="1" si="71"/>
        <v>1475</v>
      </c>
      <c r="M27" s="108">
        <f t="shared" ca="1" si="72"/>
        <v>1612</v>
      </c>
      <c r="N27" s="108">
        <f t="shared" ca="1" si="73"/>
        <v>1726</v>
      </c>
      <c r="O27" s="108">
        <f t="shared" ca="1" si="74"/>
        <v>1845</v>
      </c>
      <c r="P27" s="108">
        <f t="shared" ca="1" si="75"/>
        <v>1911</v>
      </c>
      <c r="Q27" s="108">
        <f t="shared" ca="1" si="76"/>
        <v>2105</v>
      </c>
      <c r="R27" s="108">
        <f t="shared" ca="1" si="77"/>
        <v>2212</v>
      </c>
      <c r="S27" s="108">
        <f t="shared" ca="1" si="78"/>
        <v>2353</v>
      </c>
      <c r="T27" s="108">
        <f t="shared" ca="1" si="79"/>
        <v>2558</v>
      </c>
      <c r="U27" s="108">
        <f t="shared" ca="1" si="80"/>
        <v>2686</v>
      </c>
      <c r="V27" s="108">
        <f t="shared" ca="1" si="81"/>
        <v>2821</v>
      </c>
      <c r="W27" s="108">
        <f t="shared" ca="1" si="82"/>
        <v>3001</v>
      </c>
      <c r="X27" s="243">
        <f t="shared" ca="1" si="83"/>
        <v>3252</v>
      </c>
      <c r="Y27" s="104"/>
      <c r="Z27" s="95"/>
      <c r="AB27" s="102" t="str">
        <f t="shared" ca="1" si="84"/>
        <v>De Lange Man</v>
      </c>
      <c r="AC27" s="103">
        <f t="shared" ca="1" si="39"/>
        <v>29.75</v>
      </c>
      <c r="AD27" s="103">
        <f t="shared" ca="1" si="40"/>
        <v>89.916666666666686</v>
      </c>
      <c r="AE27" s="103">
        <f t="shared" ca="1" si="41"/>
        <v>148.66666666666669</v>
      </c>
      <c r="AF27" s="103">
        <f t="shared" ca="1" si="42"/>
        <v>179.5</v>
      </c>
      <c r="AG27" s="103">
        <f t="shared" ca="1" si="43"/>
        <v>182.83333333333337</v>
      </c>
      <c r="AH27" s="103">
        <f t="shared" ca="1" si="44"/>
        <v>154.5</v>
      </c>
      <c r="AI27" s="103">
        <f t="shared" ca="1" si="45"/>
        <v>128.5</v>
      </c>
      <c r="AJ27" s="103">
        <f t="shared" ca="1" si="46"/>
        <v>96.583333333333258</v>
      </c>
      <c r="AK27" s="103">
        <f t="shared" ca="1" si="47"/>
        <v>102.91666666666674</v>
      </c>
      <c r="AL27" s="103">
        <f t="shared" ca="1" si="48"/>
        <v>95.583333333333258</v>
      </c>
      <c r="AM27" s="103">
        <f t="shared" ca="1" si="49"/>
        <v>76.916666666666742</v>
      </c>
      <c r="AN27" s="103">
        <f t="shared" ca="1" si="50"/>
        <v>65.25</v>
      </c>
      <c r="AO27" s="103">
        <f t="shared" ca="1" si="51"/>
        <v>74.916666666666742</v>
      </c>
      <c r="AP27" s="103">
        <f t="shared" ca="1" si="52"/>
        <v>61.416666666666742</v>
      </c>
      <c r="AQ27" s="103">
        <f t="shared" ca="1" si="53"/>
        <v>108.25</v>
      </c>
      <c r="AR27" s="103">
        <f t="shared" ca="1" si="54"/>
        <v>99.916666666666515</v>
      </c>
      <c r="AS27" s="103">
        <f t="shared" ca="1" si="55"/>
        <v>92.666666666666515</v>
      </c>
      <c r="AT27" s="103">
        <f t="shared" ca="1" si="56"/>
        <v>105.33333333333348</v>
      </c>
      <c r="AU27" s="103">
        <f t="shared" ca="1" si="57"/>
        <v>102.91666666666652</v>
      </c>
      <c r="AV27" s="103">
        <f t="shared" ca="1" si="58"/>
        <v>102.5</v>
      </c>
      <c r="AW27" s="103">
        <f t="shared" ca="1" si="59"/>
        <v>143.75</v>
      </c>
      <c r="AX27" s="103">
        <f t="shared" ca="1" si="60"/>
        <v>133.16666666666652</v>
      </c>
    </row>
    <row r="28" spans="1:50" ht="12" customHeight="1">
      <c r="A28" s="97"/>
      <c r="B28" s="101" t="str">
        <f t="shared" ref="B28:C28" ca="1" si="88">B9</f>
        <v>El Gran</v>
      </c>
      <c r="C28" s="108">
        <f t="shared" ca="1" si="88"/>
        <v>153</v>
      </c>
      <c r="D28" s="108">
        <f t="shared" ca="1" si="63"/>
        <v>370</v>
      </c>
      <c r="E28" s="108">
        <f t="shared" ca="1" si="64"/>
        <v>588</v>
      </c>
      <c r="F28" s="108">
        <f t="shared" ca="1" si="65"/>
        <v>760</v>
      </c>
      <c r="G28" s="108">
        <f t="shared" ca="1" si="66"/>
        <v>860</v>
      </c>
      <c r="H28" s="108">
        <f t="shared" ca="1" si="67"/>
        <v>976</v>
      </c>
      <c r="I28" s="108">
        <f t="shared" ca="1" si="68"/>
        <v>1123</v>
      </c>
      <c r="J28" s="108">
        <f t="shared" ca="1" si="69"/>
        <v>1283</v>
      </c>
      <c r="K28" s="108">
        <f t="shared" ca="1" si="70"/>
        <v>1384</v>
      </c>
      <c r="L28" s="108">
        <f t="shared" ca="1" si="71"/>
        <v>1413</v>
      </c>
      <c r="M28" s="108">
        <f t="shared" ca="1" si="72"/>
        <v>1553</v>
      </c>
      <c r="N28" s="108">
        <f t="shared" ca="1" si="73"/>
        <v>1648</v>
      </c>
      <c r="O28" s="108">
        <f t="shared" ca="1" si="74"/>
        <v>1765</v>
      </c>
      <c r="P28" s="108">
        <f t="shared" ca="1" si="75"/>
        <v>1807</v>
      </c>
      <c r="Q28" s="108">
        <f t="shared" ca="1" si="76"/>
        <v>1981</v>
      </c>
      <c r="R28" s="108">
        <f t="shared" ca="1" si="77"/>
        <v>2121</v>
      </c>
      <c r="S28" s="108">
        <f t="shared" ca="1" si="78"/>
        <v>2256</v>
      </c>
      <c r="T28" s="108">
        <f t="shared" ca="1" si="79"/>
        <v>2455</v>
      </c>
      <c r="U28" s="108">
        <f t="shared" ca="1" si="80"/>
        <v>2598</v>
      </c>
      <c r="V28" s="108">
        <f t="shared" ca="1" si="81"/>
        <v>2745</v>
      </c>
      <c r="W28" s="108">
        <f t="shared" ca="1" si="82"/>
        <v>2892</v>
      </c>
      <c r="X28" s="243">
        <f t="shared" ca="1" si="83"/>
        <v>3149</v>
      </c>
      <c r="Y28" s="104"/>
      <c r="Z28" s="95"/>
      <c r="AB28" s="102" t="str">
        <f t="shared" ca="1" si="84"/>
        <v>El Gran</v>
      </c>
      <c r="AC28" s="103">
        <f t="shared" ca="1" si="39"/>
        <v>9.75</v>
      </c>
      <c r="AD28" s="103">
        <f t="shared" ca="1" si="40"/>
        <v>45.916666666666686</v>
      </c>
      <c r="AE28" s="103">
        <f t="shared" ca="1" si="41"/>
        <v>86.666666666666686</v>
      </c>
      <c r="AF28" s="103">
        <f t="shared" ca="1" si="42"/>
        <v>103.5</v>
      </c>
      <c r="AG28" s="103">
        <f t="shared" ca="1" si="43"/>
        <v>105.83333333333337</v>
      </c>
      <c r="AH28" s="103">
        <f t="shared" ca="1" si="44"/>
        <v>81.5</v>
      </c>
      <c r="AI28" s="103">
        <f t="shared" ca="1" si="45"/>
        <v>73.5</v>
      </c>
      <c r="AJ28" s="103">
        <f t="shared" ca="1" si="46"/>
        <v>62.583333333333258</v>
      </c>
      <c r="AK28" s="103">
        <f t="shared" ca="1" si="47"/>
        <v>40.916666666666742</v>
      </c>
      <c r="AL28" s="103">
        <f t="shared" ca="1" si="48"/>
        <v>33.583333333333258</v>
      </c>
      <c r="AM28" s="103">
        <f t="shared" ca="1" si="49"/>
        <v>17.916666666666742</v>
      </c>
      <c r="AN28" s="103">
        <f t="shared" ca="1" si="50"/>
        <v>-12.75</v>
      </c>
      <c r="AO28" s="103">
        <f t="shared" ca="1" si="51"/>
        <v>-5.0833333333332575</v>
      </c>
      <c r="AP28" s="103">
        <f t="shared" ca="1" si="52"/>
        <v>-42.583333333333258</v>
      </c>
      <c r="AQ28" s="103">
        <f t="shared" ca="1" si="53"/>
        <v>-15.75</v>
      </c>
      <c r="AR28" s="103">
        <f t="shared" ca="1" si="54"/>
        <v>8.9166666666665151</v>
      </c>
      <c r="AS28" s="103">
        <f t="shared" ca="1" si="55"/>
        <v>-4.3333333333334849</v>
      </c>
      <c r="AT28" s="103">
        <f t="shared" ca="1" si="56"/>
        <v>2.3333333333334849</v>
      </c>
      <c r="AU28" s="103">
        <f t="shared" ca="1" si="57"/>
        <v>14.916666666666515</v>
      </c>
      <c r="AV28" s="103">
        <f t="shared" ca="1" si="58"/>
        <v>26.5</v>
      </c>
      <c r="AW28" s="103">
        <f t="shared" ca="1" si="59"/>
        <v>34.75</v>
      </c>
      <c r="AX28" s="103">
        <f t="shared" ca="1" si="60"/>
        <v>30.166666666666515</v>
      </c>
    </row>
    <row r="29" spans="1:50" ht="12" customHeight="1">
      <c r="A29" s="97"/>
      <c r="B29" s="101" t="str">
        <f t="shared" ref="B29:C29" ca="1" si="89">B10</f>
        <v xml:space="preserve">Majella køp dr vør </v>
      </c>
      <c r="C29" s="108">
        <f t="shared" ca="1" si="89"/>
        <v>193</v>
      </c>
      <c r="D29" s="108">
        <f t="shared" ca="1" si="63"/>
        <v>398</v>
      </c>
      <c r="E29" s="108">
        <f t="shared" ca="1" si="64"/>
        <v>591</v>
      </c>
      <c r="F29" s="108">
        <f t="shared" ca="1" si="65"/>
        <v>758</v>
      </c>
      <c r="G29" s="108">
        <f t="shared" ca="1" si="66"/>
        <v>860</v>
      </c>
      <c r="H29" s="108">
        <f t="shared" ca="1" si="67"/>
        <v>1017</v>
      </c>
      <c r="I29" s="108">
        <f t="shared" ca="1" si="68"/>
        <v>1194</v>
      </c>
      <c r="J29" s="108">
        <f t="shared" ca="1" si="69"/>
        <v>1371</v>
      </c>
      <c r="K29" s="108">
        <f t="shared" ca="1" si="70"/>
        <v>1521</v>
      </c>
      <c r="L29" s="108">
        <f t="shared" ca="1" si="71"/>
        <v>1562</v>
      </c>
      <c r="M29" s="108">
        <f t="shared" ca="1" si="72"/>
        <v>1765</v>
      </c>
      <c r="N29" s="108">
        <f t="shared" ca="1" si="73"/>
        <v>1928</v>
      </c>
      <c r="O29" s="108">
        <f t="shared" ca="1" si="74"/>
        <v>2072</v>
      </c>
      <c r="P29" s="108">
        <f t="shared" ca="1" si="75"/>
        <v>2187</v>
      </c>
      <c r="Q29" s="108">
        <f t="shared" ca="1" si="76"/>
        <v>2364</v>
      </c>
      <c r="R29" s="108">
        <f t="shared" ca="1" si="77"/>
        <v>2470</v>
      </c>
      <c r="S29" s="108">
        <f t="shared" ca="1" si="78"/>
        <v>2641</v>
      </c>
      <c r="T29" s="108">
        <f t="shared" ca="1" si="79"/>
        <v>2859</v>
      </c>
      <c r="U29" s="108">
        <f t="shared" ca="1" si="80"/>
        <v>3017</v>
      </c>
      <c r="V29" s="108">
        <f t="shared" ca="1" si="81"/>
        <v>3183</v>
      </c>
      <c r="W29" s="108">
        <f t="shared" ca="1" si="82"/>
        <v>3357</v>
      </c>
      <c r="X29" s="243">
        <f t="shared" ca="1" si="83"/>
        <v>3692</v>
      </c>
      <c r="Y29" s="104"/>
      <c r="Z29" s="95"/>
      <c r="AB29" s="102" t="str">
        <f t="shared" ca="1" si="84"/>
        <v xml:space="preserve">Majella køp dr vør </v>
      </c>
      <c r="AC29" s="103">
        <f t="shared" ca="1" si="39"/>
        <v>49.75</v>
      </c>
      <c r="AD29" s="103">
        <f t="shared" ca="1" si="40"/>
        <v>73.916666666666686</v>
      </c>
      <c r="AE29" s="103">
        <f t="shared" ca="1" si="41"/>
        <v>89.666666666666686</v>
      </c>
      <c r="AF29" s="103">
        <f t="shared" ca="1" si="42"/>
        <v>101.5</v>
      </c>
      <c r="AG29" s="103">
        <f t="shared" ca="1" si="43"/>
        <v>105.83333333333337</v>
      </c>
      <c r="AH29" s="103">
        <f t="shared" ca="1" si="44"/>
        <v>122.5</v>
      </c>
      <c r="AI29" s="103">
        <f t="shared" ca="1" si="45"/>
        <v>144.5</v>
      </c>
      <c r="AJ29" s="103">
        <f t="shared" ca="1" si="46"/>
        <v>150.58333333333326</v>
      </c>
      <c r="AK29" s="103">
        <f t="shared" ca="1" si="47"/>
        <v>177.91666666666674</v>
      </c>
      <c r="AL29" s="103">
        <f t="shared" ca="1" si="48"/>
        <v>182.58333333333326</v>
      </c>
      <c r="AM29" s="103">
        <f t="shared" ca="1" si="49"/>
        <v>229.91666666666674</v>
      </c>
      <c r="AN29" s="103">
        <f t="shared" ca="1" si="50"/>
        <v>267.25</v>
      </c>
      <c r="AO29" s="103">
        <f t="shared" ca="1" si="51"/>
        <v>301.91666666666674</v>
      </c>
      <c r="AP29" s="103">
        <f t="shared" ca="1" si="52"/>
        <v>337.41666666666674</v>
      </c>
      <c r="AQ29" s="103">
        <f t="shared" ca="1" si="53"/>
        <v>367.25</v>
      </c>
      <c r="AR29" s="103">
        <f t="shared" ca="1" si="54"/>
        <v>357.91666666666652</v>
      </c>
      <c r="AS29" s="103">
        <f t="shared" ca="1" si="55"/>
        <v>380.66666666666652</v>
      </c>
      <c r="AT29" s="103">
        <f t="shared" ca="1" si="56"/>
        <v>406.33333333333348</v>
      </c>
      <c r="AU29" s="103">
        <f t="shared" ca="1" si="57"/>
        <v>433.91666666666652</v>
      </c>
      <c r="AV29" s="103">
        <f t="shared" ca="1" si="58"/>
        <v>464.5</v>
      </c>
      <c r="AW29" s="103">
        <f t="shared" ca="1" si="59"/>
        <v>499.75</v>
      </c>
      <c r="AX29" s="103">
        <f t="shared" ca="1" si="60"/>
        <v>573.16666666666652</v>
      </c>
    </row>
    <row r="30" spans="1:50" ht="12" customHeight="1">
      <c r="A30" s="97"/>
      <c r="B30" s="101" t="str">
        <f t="shared" ref="B30:C30" ca="1" si="90">B11</f>
        <v>Freaky's manke Kruisbandjes</v>
      </c>
      <c r="C30" s="108">
        <f t="shared" ca="1" si="90"/>
        <v>103</v>
      </c>
      <c r="D30" s="108">
        <f t="shared" ref="D30:D33" ca="1" si="91">IF(D11=0,,D11+C30)</f>
        <v>216</v>
      </c>
      <c r="E30" s="108">
        <f t="shared" ref="E30:E33" ca="1" si="92">IF(E11=0,,E11+D30)</f>
        <v>323</v>
      </c>
      <c r="F30" s="108">
        <f t="shared" ref="F30:F33" ca="1" si="93">IF(F11=0,,F11+E30)</f>
        <v>411</v>
      </c>
      <c r="G30" s="108">
        <f t="shared" ref="G30:G33" ca="1" si="94">IF(G11=0,,G11+F30)</f>
        <v>483</v>
      </c>
      <c r="H30" s="108">
        <f t="shared" ref="H30:H33" ca="1" si="95">IF(H11=0,,H11+G30)</f>
        <v>589</v>
      </c>
      <c r="I30" s="108">
        <f t="shared" ref="I30:I33" ca="1" si="96">IF(I11=0,,I11+H30)</f>
        <v>727</v>
      </c>
      <c r="J30" s="108">
        <f t="shared" ref="J30:J33" ca="1" si="97">IF(J11=0,,J11+I30)</f>
        <v>869</v>
      </c>
      <c r="K30" s="108">
        <f t="shared" ref="K30:K33" ca="1" si="98">IF(K11=0,,K11+J30)</f>
        <v>1009</v>
      </c>
      <c r="L30" s="108">
        <f t="shared" ref="L30:L33" ca="1" si="99">IF(L11=0,,L11+K30)</f>
        <v>1060</v>
      </c>
      <c r="M30" s="108">
        <f t="shared" ref="M30:M33" ca="1" si="100">IF(M11=0,,M11+L30)</f>
        <v>1194</v>
      </c>
      <c r="N30" s="108">
        <f t="shared" ref="N30:N33" ca="1" si="101">IF(N11=0,,N11+M30)</f>
        <v>1302</v>
      </c>
      <c r="O30" s="108">
        <f t="shared" ref="O30:O33" ca="1" si="102">IF(O11=0,,O11+N30)</f>
        <v>1364</v>
      </c>
      <c r="P30" s="108">
        <f t="shared" ref="P30:P33" ca="1" si="103">IF(P11=0,,P11+O30)</f>
        <v>1432</v>
      </c>
      <c r="Q30" s="108">
        <f t="shared" ref="Q30:Q33" ca="1" si="104">IF(Q11=0,,Q11+P30)</f>
        <v>1525</v>
      </c>
      <c r="R30" s="108">
        <f t="shared" ref="R30:R33" ca="1" si="105">IF(R11=0,,R11+Q30)</f>
        <v>1664</v>
      </c>
      <c r="S30" s="108">
        <f t="shared" ref="S30:S33" ca="1" si="106">IF(S11=0,,S11+R30)</f>
        <v>1808</v>
      </c>
      <c r="T30" s="108">
        <f t="shared" ref="T30:T33" ca="1" si="107">IF(T11=0,,T11+S30)</f>
        <v>1990</v>
      </c>
      <c r="U30" s="108">
        <f t="shared" ref="U30:U33" ca="1" si="108">IF(U11=0,,U11+T30)</f>
        <v>2066</v>
      </c>
      <c r="V30" s="108">
        <f t="shared" ref="V30:V33" ca="1" si="109">IF(V11=0,,V11+U30)</f>
        <v>2191</v>
      </c>
      <c r="W30" s="108">
        <f t="shared" ref="W30:W33" ca="1" si="110">IF(W11=0,,W11+V30)</f>
        <v>2266</v>
      </c>
      <c r="X30" s="243">
        <f t="shared" ref="X30:X33" ca="1" si="111">IF(X11=0,,X11+W30)</f>
        <v>2494</v>
      </c>
      <c r="Y30" s="104"/>
      <c r="Z30" s="95"/>
      <c r="AB30" s="102" t="str">
        <f t="shared" ref="AB30:AB31" ca="1" si="112">B30</f>
        <v>Freaky's manke Kruisbandjes</v>
      </c>
      <c r="AC30" s="103">
        <f t="shared" ca="1" si="39"/>
        <v>-40.25</v>
      </c>
      <c r="AD30" s="103">
        <f t="shared" ca="1" si="40"/>
        <v>-108.08333333333331</v>
      </c>
      <c r="AE30" s="103">
        <f t="shared" ca="1" si="41"/>
        <v>-178.33333333333331</v>
      </c>
      <c r="AF30" s="103">
        <f t="shared" ca="1" si="42"/>
        <v>-245.5</v>
      </c>
      <c r="AG30" s="103">
        <f t="shared" ca="1" si="43"/>
        <v>-271.16666666666663</v>
      </c>
      <c r="AH30" s="103">
        <f t="shared" ca="1" si="44"/>
        <v>-305.5</v>
      </c>
      <c r="AI30" s="103">
        <f t="shared" ca="1" si="45"/>
        <v>-322.5</v>
      </c>
      <c r="AJ30" s="103">
        <f t="shared" ca="1" si="46"/>
        <v>-351.41666666666674</v>
      </c>
      <c r="AK30" s="103">
        <f t="shared" ca="1" si="47"/>
        <v>-334.08333333333326</v>
      </c>
      <c r="AL30" s="103">
        <f t="shared" ca="1" si="48"/>
        <v>-319.41666666666674</v>
      </c>
      <c r="AM30" s="103">
        <f t="shared" ca="1" si="49"/>
        <v>-341.08333333333326</v>
      </c>
      <c r="AN30" s="103">
        <f t="shared" ca="1" si="50"/>
        <v>-358.75</v>
      </c>
      <c r="AO30" s="103">
        <f t="shared" ca="1" si="51"/>
        <v>-406.08333333333326</v>
      </c>
      <c r="AP30" s="103">
        <f t="shared" ca="1" si="52"/>
        <v>-417.58333333333326</v>
      </c>
      <c r="AQ30" s="103">
        <f t="shared" ca="1" si="53"/>
        <v>-471.75</v>
      </c>
      <c r="AR30" s="103">
        <f t="shared" ca="1" si="54"/>
        <v>-448.08333333333348</v>
      </c>
      <c r="AS30" s="103">
        <f t="shared" ca="1" si="55"/>
        <v>-452.33333333333348</v>
      </c>
      <c r="AT30" s="103">
        <f t="shared" ca="1" si="56"/>
        <v>-462.66666666666652</v>
      </c>
      <c r="AU30" s="103">
        <f t="shared" ca="1" si="57"/>
        <v>-517.08333333333348</v>
      </c>
      <c r="AV30" s="103">
        <f t="shared" ca="1" si="58"/>
        <v>-527.5</v>
      </c>
      <c r="AW30" s="103">
        <f t="shared" ca="1" si="59"/>
        <v>-591.25</v>
      </c>
      <c r="AX30" s="103">
        <f t="shared" ca="1" si="60"/>
        <v>-624.83333333333348</v>
      </c>
    </row>
    <row r="31" spans="1:50" ht="12" customHeight="1">
      <c r="A31" s="97"/>
      <c r="B31" s="101" t="str">
        <f t="shared" ref="B31:C31" ca="1" si="113">B12</f>
        <v>IJffjes Boys</v>
      </c>
      <c r="C31" s="108">
        <f t="shared" ca="1" si="113"/>
        <v>129</v>
      </c>
      <c r="D31" s="108">
        <f t="shared" ca="1" si="91"/>
        <v>339</v>
      </c>
      <c r="E31" s="108">
        <f t="shared" ca="1" si="92"/>
        <v>535</v>
      </c>
      <c r="F31" s="108">
        <f t="shared" ca="1" si="93"/>
        <v>759</v>
      </c>
      <c r="G31" s="108">
        <f t="shared" ca="1" si="94"/>
        <v>865</v>
      </c>
      <c r="H31" s="108">
        <f t="shared" ca="1" si="95"/>
        <v>977</v>
      </c>
      <c r="I31" s="108">
        <f t="shared" ca="1" si="96"/>
        <v>1075</v>
      </c>
      <c r="J31" s="108">
        <f t="shared" ca="1" si="97"/>
        <v>1237</v>
      </c>
      <c r="K31" s="108">
        <f t="shared" ca="1" si="98"/>
        <v>1314</v>
      </c>
      <c r="L31" s="108">
        <f t="shared" ca="1" si="99"/>
        <v>1333</v>
      </c>
      <c r="M31" s="108">
        <f t="shared" ca="1" si="100"/>
        <v>1455</v>
      </c>
      <c r="N31" s="108">
        <f t="shared" ca="1" si="101"/>
        <v>1543</v>
      </c>
      <c r="O31" s="108">
        <f t="shared" ca="1" si="102"/>
        <v>1647</v>
      </c>
      <c r="P31" s="108">
        <f t="shared" ca="1" si="103"/>
        <v>1721</v>
      </c>
      <c r="Q31" s="108">
        <f t="shared" ca="1" si="104"/>
        <v>1894</v>
      </c>
      <c r="R31" s="108">
        <f t="shared" ca="1" si="105"/>
        <v>1992</v>
      </c>
      <c r="S31" s="108">
        <f t="shared" ca="1" si="106"/>
        <v>2102</v>
      </c>
      <c r="T31" s="108">
        <f t="shared" ca="1" si="107"/>
        <v>2237</v>
      </c>
      <c r="U31" s="108">
        <f t="shared" ca="1" si="108"/>
        <v>2359</v>
      </c>
      <c r="V31" s="108">
        <f t="shared" ca="1" si="109"/>
        <v>2468</v>
      </c>
      <c r="W31" s="108">
        <f t="shared" ca="1" si="110"/>
        <v>2629</v>
      </c>
      <c r="X31" s="243">
        <f t="shared" ca="1" si="111"/>
        <v>2812</v>
      </c>
      <c r="Y31" s="104"/>
      <c r="Z31" s="95"/>
      <c r="AB31" s="102" t="str">
        <f t="shared" ca="1" si="112"/>
        <v>IJffjes Boys</v>
      </c>
      <c r="AC31" s="103">
        <f t="shared" ca="1" si="39"/>
        <v>-14.25</v>
      </c>
      <c r="AD31" s="103">
        <f t="shared" ca="1" si="40"/>
        <v>14.916666666666686</v>
      </c>
      <c r="AE31" s="103">
        <f t="shared" ca="1" si="41"/>
        <v>33.666666666666686</v>
      </c>
      <c r="AF31" s="103">
        <f t="shared" ca="1" si="42"/>
        <v>102.5</v>
      </c>
      <c r="AG31" s="103">
        <f t="shared" ca="1" si="43"/>
        <v>110.83333333333337</v>
      </c>
      <c r="AH31" s="103">
        <f t="shared" ca="1" si="44"/>
        <v>82.5</v>
      </c>
      <c r="AI31" s="103">
        <f t="shared" ca="1" si="45"/>
        <v>25.5</v>
      </c>
      <c r="AJ31" s="103">
        <f t="shared" ca="1" si="46"/>
        <v>16.583333333333258</v>
      </c>
      <c r="AK31" s="103">
        <f t="shared" ca="1" si="47"/>
        <v>-29.083333333333258</v>
      </c>
      <c r="AL31" s="103">
        <f t="shared" ca="1" si="48"/>
        <v>-46.416666666666742</v>
      </c>
      <c r="AM31" s="103">
        <f t="shared" ca="1" si="49"/>
        <v>-80.083333333333258</v>
      </c>
      <c r="AN31" s="103">
        <f t="shared" ca="1" si="50"/>
        <v>-117.75</v>
      </c>
      <c r="AO31" s="103">
        <f t="shared" ca="1" si="51"/>
        <v>-123.08333333333326</v>
      </c>
      <c r="AP31" s="103">
        <f t="shared" ca="1" si="52"/>
        <v>-128.58333333333326</v>
      </c>
      <c r="AQ31" s="103">
        <f t="shared" ca="1" si="53"/>
        <v>-102.75</v>
      </c>
      <c r="AR31" s="103">
        <f t="shared" ca="1" si="54"/>
        <v>-120.08333333333348</v>
      </c>
      <c r="AS31" s="103">
        <f t="shared" ca="1" si="55"/>
        <v>-158.33333333333348</v>
      </c>
      <c r="AT31" s="103">
        <f t="shared" ca="1" si="56"/>
        <v>-215.66666666666652</v>
      </c>
      <c r="AU31" s="103">
        <f t="shared" ca="1" si="57"/>
        <v>-224.08333333333348</v>
      </c>
      <c r="AV31" s="103">
        <f t="shared" ca="1" si="58"/>
        <v>-250.5</v>
      </c>
      <c r="AW31" s="103">
        <f t="shared" ca="1" si="59"/>
        <v>-228.25</v>
      </c>
      <c r="AX31" s="103">
        <f t="shared" ca="1" si="60"/>
        <v>-306.83333333333348</v>
      </c>
    </row>
    <row r="32" spans="1:50" ht="12" customHeight="1">
      <c r="A32" s="97"/>
      <c r="B32" s="101" t="str">
        <f t="shared" ref="B32:C32" ca="1" si="114">B13</f>
        <v>Am Selfkant</v>
      </c>
      <c r="C32" s="108">
        <f t="shared" ca="1" si="114"/>
        <v>139</v>
      </c>
      <c r="D32" s="108">
        <f t="shared" ca="1" si="91"/>
        <v>309</v>
      </c>
      <c r="E32" s="108">
        <f t="shared" ca="1" si="92"/>
        <v>465</v>
      </c>
      <c r="F32" s="108">
        <f t="shared" ca="1" si="93"/>
        <v>623</v>
      </c>
      <c r="G32" s="108">
        <f t="shared" ca="1" si="94"/>
        <v>728</v>
      </c>
      <c r="H32" s="108">
        <f t="shared" ca="1" si="95"/>
        <v>808</v>
      </c>
      <c r="I32" s="108">
        <f t="shared" ca="1" si="96"/>
        <v>932</v>
      </c>
      <c r="J32" s="108">
        <f t="shared" ca="1" si="97"/>
        <v>1068</v>
      </c>
      <c r="K32" s="108">
        <f t="shared" ca="1" si="98"/>
        <v>1169</v>
      </c>
      <c r="L32" s="108">
        <f t="shared" ca="1" si="99"/>
        <v>1232</v>
      </c>
      <c r="M32" s="108">
        <f t="shared" ca="1" si="100"/>
        <v>1325</v>
      </c>
      <c r="N32" s="108">
        <f t="shared" ca="1" si="101"/>
        <v>1431</v>
      </c>
      <c r="O32" s="108">
        <f t="shared" ca="1" si="102"/>
        <v>1544</v>
      </c>
      <c r="P32" s="108">
        <f t="shared" ca="1" si="103"/>
        <v>1615</v>
      </c>
      <c r="Q32" s="108">
        <f t="shared" ca="1" si="104"/>
        <v>1736</v>
      </c>
      <c r="R32" s="108">
        <f t="shared" ca="1" si="105"/>
        <v>1849</v>
      </c>
      <c r="S32" s="108">
        <f t="shared" ca="1" si="106"/>
        <v>1950</v>
      </c>
      <c r="T32" s="108">
        <f t="shared" ca="1" si="107"/>
        <v>2088</v>
      </c>
      <c r="U32" s="108">
        <f t="shared" ca="1" si="108"/>
        <v>2178</v>
      </c>
      <c r="V32" s="108">
        <f t="shared" ca="1" si="109"/>
        <v>2306</v>
      </c>
      <c r="W32" s="108">
        <f t="shared" ca="1" si="110"/>
        <v>2399</v>
      </c>
      <c r="X32" s="243">
        <f t="shared" ca="1" si="111"/>
        <v>2563</v>
      </c>
      <c r="Y32" s="104"/>
      <c r="Z32" s="95"/>
      <c r="AB32" s="102" t="str">
        <f t="shared" ca="1" si="84"/>
        <v>Am Selfkant</v>
      </c>
      <c r="AC32" s="103">
        <f t="shared" ca="1" si="39"/>
        <v>-4.25</v>
      </c>
      <c r="AD32" s="103">
        <f t="shared" ca="1" si="40"/>
        <v>-15.083333333333314</v>
      </c>
      <c r="AE32" s="103">
        <f t="shared" ca="1" si="41"/>
        <v>-36.333333333333314</v>
      </c>
      <c r="AF32" s="103">
        <f t="shared" ca="1" si="42"/>
        <v>-33.5</v>
      </c>
      <c r="AG32" s="103">
        <f t="shared" ca="1" si="43"/>
        <v>-26.166666666666629</v>
      </c>
      <c r="AH32" s="103">
        <f t="shared" ca="1" si="44"/>
        <v>-86.5</v>
      </c>
      <c r="AI32" s="103">
        <f t="shared" ca="1" si="45"/>
        <v>-117.5</v>
      </c>
      <c r="AJ32" s="103">
        <f t="shared" ca="1" si="46"/>
        <v>-152.41666666666674</v>
      </c>
      <c r="AK32" s="103">
        <f t="shared" ca="1" si="47"/>
        <v>-174.08333333333326</v>
      </c>
      <c r="AL32" s="103">
        <f t="shared" ca="1" si="48"/>
        <v>-147.41666666666674</v>
      </c>
      <c r="AM32" s="103">
        <f t="shared" ca="1" si="49"/>
        <v>-210.08333333333326</v>
      </c>
      <c r="AN32" s="103">
        <f t="shared" ca="1" si="50"/>
        <v>-229.75</v>
      </c>
      <c r="AO32" s="103">
        <f t="shared" ca="1" si="51"/>
        <v>-226.08333333333326</v>
      </c>
      <c r="AP32" s="103">
        <f t="shared" ca="1" si="52"/>
        <v>-234.58333333333326</v>
      </c>
      <c r="AQ32" s="103">
        <f t="shared" ca="1" si="53"/>
        <v>-260.75</v>
      </c>
      <c r="AR32" s="103">
        <f t="shared" ca="1" si="54"/>
        <v>-263.08333333333348</v>
      </c>
      <c r="AS32" s="103">
        <f t="shared" ca="1" si="55"/>
        <v>-310.33333333333348</v>
      </c>
      <c r="AT32" s="103">
        <f t="shared" ca="1" si="56"/>
        <v>-364.66666666666652</v>
      </c>
      <c r="AU32" s="103">
        <f t="shared" ca="1" si="57"/>
        <v>-405.08333333333348</v>
      </c>
      <c r="AV32" s="103">
        <f t="shared" ca="1" si="58"/>
        <v>-412.5</v>
      </c>
      <c r="AW32" s="103">
        <f t="shared" ca="1" si="59"/>
        <v>-458.25</v>
      </c>
      <c r="AX32" s="103">
        <f t="shared" ca="1" si="60"/>
        <v>-555.83333333333348</v>
      </c>
    </row>
    <row r="33" spans="1:60" ht="12" customHeight="1">
      <c r="A33" s="97"/>
      <c r="B33" s="101" t="str">
        <f t="shared" ref="B33:C33" ca="1" si="115">B14</f>
        <v>Kol de la Madeleine</v>
      </c>
      <c r="C33" s="108">
        <f t="shared" ca="1" si="115"/>
        <v>124</v>
      </c>
      <c r="D33" s="108">
        <f t="shared" ca="1" si="91"/>
        <v>259</v>
      </c>
      <c r="E33" s="108">
        <f t="shared" ca="1" si="92"/>
        <v>395</v>
      </c>
      <c r="F33" s="108">
        <f t="shared" ca="1" si="93"/>
        <v>527</v>
      </c>
      <c r="G33" s="108">
        <f t="shared" ca="1" si="94"/>
        <v>637</v>
      </c>
      <c r="H33" s="108">
        <f t="shared" ca="1" si="95"/>
        <v>779</v>
      </c>
      <c r="I33" s="108">
        <f t="shared" ca="1" si="96"/>
        <v>923</v>
      </c>
      <c r="J33" s="108">
        <f t="shared" ca="1" si="97"/>
        <v>1084</v>
      </c>
      <c r="K33" s="108">
        <f t="shared" ca="1" si="98"/>
        <v>1190</v>
      </c>
      <c r="L33" s="108">
        <f t="shared" ca="1" si="99"/>
        <v>1221</v>
      </c>
      <c r="M33" s="108">
        <f t="shared" ca="1" si="100"/>
        <v>1367</v>
      </c>
      <c r="N33" s="108">
        <f t="shared" ca="1" si="101"/>
        <v>1483</v>
      </c>
      <c r="O33" s="108">
        <f t="shared" ca="1" si="102"/>
        <v>1568</v>
      </c>
      <c r="P33" s="108">
        <f t="shared" ca="1" si="103"/>
        <v>1672</v>
      </c>
      <c r="Q33" s="108">
        <f t="shared" ca="1" si="104"/>
        <v>1765</v>
      </c>
      <c r="R33" s="108">
        <f t="shared" ca="1" si="105"/>
        <v>1839</v>
      </c>
      <c r="S33" s="108">
        <f t="shared" ca="1" si="106"/>
        <v>1990</v>
      </c>
      <c r="T33" s="108">
        <f t="shared" ca="1" si="107"/>
        <v>2166</v>
      </c>
      <c r="U33" s="108">
        <f t="shared" ca="1" si="108"/>
        <v>2289</v>
      </c>
      <c r="V33" s="108">
        <f t="shared" ca="1" si="109"/>
        <v>2410</v>
      </c>
      <c r="W33" s="108">
        <f t="shared" ca="1" si="110"/>
        <v>2538</v>
      </c>
      <c r="X33" s="243">
        <f t="shared" ca="1" si="111"/>
        <v>2791</v>
      </c>
      <c r="Y33" s="104"/>
      <c r="Z33" s="95"/>
      <c r="AB33" s="102" t="str">
        <f t="shared" ca="1" si="84"/>
        <v>Kol de la Madeleine</v>
      </c>
      <c r="AC33" s="103">
        <f t="shared" ca="1" si="39"/>
        <v>-19.25</v>
      </c>
      <c r="AD33" s="103">
        <f t="shared" ca="1" si="40"/>
        <v>-65.083333333333314</v>
      </c>
      <c r="AE33" s="103">
        <f t="shared" ca="1" si="41"/>
        <v>-106.33333333333331</v>
      </c>
      <c r="AF33" s="103">
        <f t="shared" ca="1" si="42"/>
        <v>-129.5</v>
      </c>
      <c r="AG33" s="103">
        <f t="shared" ca="1" si="43"/>
        <v>-117.16666666666663</v>
      </c>
      <c r="AH33" s="103">
        <f t="shared" ca="1" si="44"/>
        <v>-115.5</v>
      </c>
      <c r="AI33" s="103">
        <f t="shared" ca="1" si="45"/>
        <v>-126.5</v>
      </c>
      <c r="AJ33" s="103">
        <f t="shared" ca="1" si="46"/>
        <v>-136.41666666666674</v>
      </c>
      <c r="AK33" s="103">
        <f t="shared" ca="1" si="47"/>
        <v>-153.08333333333326</v>
      </c>
      <c r="AL33" s="103">
        <f t="shared" ca="1" si="48"/>
        <v>-158.41666666666674</v>
      </c>
      <c r="AM33" s="103">
        <f t="shared" ca="1" si="49"/>
        <v>-168.08333333333326</v>
      </c>
      <c r="AN33" s="103">
        <f t="shared" ca="1" si="50"/>
        <v>-177.75</v>
      </c>
      <c r="AO33" s="103">
        <f t="shared" ca="1" si="51"/>
        <v>-202.08333333333326</v>
      </c>
      <c r="AP33" s="103">
        <f t="shared" ca="1" si="52"/>
        <v>-177.58333333333326</v>
      </c>
      <c r="AQ33" s="103">
        <f t="shared" ca="1" si="53"/>
        <v>-231.75</v>
      </c>
      <c r="AR33" s="103">
        <f t="shared" ca="1" si="54"/>
        <v>-273.08333333333348</v>
      </c>
      <c r="AS33" s="103">
        <f t="shared" ca="1" si="55"/>
        <v>-270.33333333333348</v>
      </c>
      <c r="AT33" s="103">
        <f t="shared" ca="1" si="56"/>
        <v>-286.66666666666652</v>
      </c>
      <c r="AU33" s="103">
        <f t="shared" ca="1" si="57"/>
        <v>-294.08333333333348</v>
      </c>
      <c r="AV33" s="103">
        <f t="shared" ca="1" si="58"/>
        <v>-308.5</v>
      </c>
      <c r="AW33" s="103">
        <f t="shared" ca="1" si="59"/>
        <v>-319.25</v>
      </c>
      <c r="AX33" s="103">
        <f t="shared" ca="1" si="60"/>
        <v>-327.83333333333348</v>
      </c>
    </row>
    <row r="34" spans="1:60" ht="12" customHeigh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269"/>
      <c r="Y34" s="104"/>
      <c r="Z34" s="95"/>
      <c r="AC34" s="105">
        <f t="shared" ref="AC34:AX34" ca="1" si="116">AVERAGE(C22:C33)</f>
        <v>143.25</v>
      </c>
      <c r="AD34" s="105">
        <f t="shared" ca="1" si="116"/>
        <v>324.08333333333331</v>
      </c>
      <c r="AE34" s="105">
        <f t="shared" ca="1" si="116"/>
        <v>501.33333333333331</v>
      </c>
      <c r="AF34" s="105">
        <f t="shared" ca="1" si="116"/>
        <v>656.5</v>
      </c>
      <c r="AG34" s="105">
        <f t="shared" ca="1" si="116"/>
        <v>754.16666666666663</v>
      </c>
      <c r="AH34" s="105">
        <f t="shared" ca="1" si="116"/>
        <v>894.5</v>
      </c>
      <c r="AI34" s="105">
        <f t="shared" ca="1" si="116"/>
        <v>1049.5</v>
      </c>
      <c r="AJ34" s="105">
        <f t="shared" ca="1" si="116"/>
        <v>1220.4166666666667</v>
      </c>
      <c r="AK34" s="105">
        <f t="shared" ca="1" si="116"/>
        <v>1343.0833333333333</v>
      </c>
      <c r="AL34" s="105">
        <f t="shared" ca="1" si="116"/>
        <v>1379.4166666666667</v>
      </c>
      <c r="AM34" s="105">
        <f t="shared" ca="1" si="116"/>
        <v>1535.0833333333333</v>
      </c>
      <c r="AN34" s="105">
        <f t="shared" ca="1" si="116"/>
        <v>1660.75</v>
      </c>
      <c r="AO34" s="105">
        <f t="shared" ca="1" si="116"/>
        <v>1770.0833333333333</v>
      </c>
      <c r="AP34" s="105">
        <f t="shared" ca="1" si="116"/>
        <v>1849.5833333333333</v>
      </c>
      <c r="AQ34" s="105">
        <f t="shared" ca="1" si="116"/>
        <v>1996.75</v>
      </c>
      <c r="AR34" s="105">
        <f t="shared" ca="1" si="116"/>
        <v>2112.0833333333335</v>
      </c>
      <c r="AS34" s="105">
        <f t="shared" ca="1" si="116"/>
        <v>2260.3333333333335</v>
      </c>
      <c r="AT34" s="105">
        <f t="shared" ca="1" si="116"/>
        <v>2452.6666666666665</v>
      </c>
      <c r="AU34" s="105">
        <f t="shared" ca="1" si="116"/>
        <v>2583.0833333333335</v>
      </c>
      <c r="AV34" s="105">
        <f t="shared" ca="1" si="116"/>
        <v>2718.5</v>
      </c>
      <c r="AW34" s="105">
        <f t="shared" ca="1" si="116"/>
        <v>2857.25</v>
      </c>
      <c r="AX34" s="105">
        <f t="shared" ca="1" si="116"/>
        <v>3118.8333333333335</v>
      </c>
    </row>
    <row r="35" spans="1:60" ht="12" customHeight="1">
      <c r="C35" s="98"/>
      <c r="D35" s="98"/>
      <c r="E35" s="98"/>
      <c r="F35" s="98"/>
      <c r="G35" s="98"/>
      <c r="H35" s="98"/>
      <c r="I35" s="98"/>
      <c r="J35" s="98"/>
      <c r="K35" s="104"/>
      <c r="L35" s="104"/>
      <c r="M35" s="104"/>
      <c r="N35" s="98"/>
      <c r="O35" s="104"/>
      <c r="P35" s="104"/>
      <c r="Q35" s="104"/>
      <c r="R35" s="104"/>
      <c r="S35" s="104"/>
      <c r="T35" s="104"/>
      <c r="U35" s="104"/>
      <c r="V35" s="104"/>
      <c r="W35" s="104"/>
      <c r="X35" s="269"/>
      <c r="Y35" s="104"/>
      <c r="AX35" s="103"/>
    </row>
    <row r="36" spans="1:60" ht="12" customHeight="1">
      <c r="B36" s="106" t="s">
        <v>12</v>
      </c>
      <c r="AB36" s="106" t="s">
        <v>57</v>
      </c>
    </row>
    <row r="37" spans="1:60" s="95" customFormat="1" ht="12" customHeight="1" thickBot="1">
      <c r="C37" s="96">
        <f t="shared" ref="C37:X37" si="117">C2</f>
        <v>1</v>
      </c>
      <c r="D37" s="96">
        <f t="shared" si="117"/>
        <v>2</v>
      </c>
      <c r="E37" s="96">
        <f t="shared" si="117"/>
        <v>3</v>
      </c>
      <c r="F37" s="96">
        <f t="shared" si="117"/>
        <v>4</v>
      </c>
      <c r="G37" s="96">
        <f t="shared" si="117"/>
        <v>5</v>
      </c>
      <c r="H37" s="96">
        <f t="shared" si="117"/>
        <v>6</v>
      </c>
      <c r="I37" s="96">
        <f t="shared" si="117"/>
        <v>7</v>
      </c>
      <c r="J37" s="96">
        <f t="shared" si="117"/>
        <v>8</v>
      </c>
      <c r="K37" s="96">
        <f t="shared" si="117"/>
        <v>9</v>
      </c>
      <c r="L37" s="96">
        <f t="shared" si="117"/>
        <v>10</v>
      </c>
      <c r="M37" s="96">
        <f t="shared" si="117"/>
        <v>11</v>
      </c>
      <c r="N37" s="96">
        <f t="shared" si="117"/>
        <v>12</v>
      </c>
      <c r="O37" s="96">
        <f t="shared" si="117"/>
        <v>13</v>
      </c>
      <c r="P37" s="96">
        <f t="shared" si="117"/>
        <v>14</v>
      </c>
      <c r="Q37" s="96">
        <f t="shared" si="117"/>
        <v>15</v>
      </c>
      <c r="R37" s="96">
        <f t="shared" si="117"/>
        <v>16</v>
      </c>
      <c r="S37" s="96">
        <f t="shared" si="117"/>
        <v>17</v>
      </c>
      <c r="T37" s="96">
        <f t="shared" si="117"/>
        <v>18</v>
      </c>
      <c r="U37" s="96">
        <f t="shared" si="117"/>
        <v>19</v>
      </c>
      <c r="V37" s="96">
        <f t="shared" si="117"/>
        <v>20</v>
      </c>
      <c r="W37" s="96">
        <f t="shared" si="117"/>
        <v>21</v>
      </c>
      <c r="X37" s="267" t="str">
        <f t="shared" si="117"/>
        <v>B</v>
      </c>
      <c r="AC37" s="96">
        <f>C37</f>
        <v>1</v>
      </c>
      <c r="AD37" s="96">
        <f>D37</f>
        <v>2</v>
      </c>
      <c r="AE37" s="96">
        <f t="shared" ref="AE37:AX37" si="118">E37</f>
        <v>3</v>
      </c>
      <c r="AF37" s="96">
        <f t="shared" si="118"/>
        <v>4</v>
      </c>
      <c r="AG37" s="96">
        <f t="shared" si="118"/>
        <v>5</v>
      </c>
      <c r="AH37" s="96">
        <f t="shared" si="118"/>
        <v>6</v>
      </c>
      <c r="AI37" s="96">
        <f t="shared" si="118"/>
        <v>7</v>
      </c>
      <c r="AJ37" s="96">
        <f t="shared" si="118"/>
        <v>8</v>
      </c>
      <c r="AK37" s="96">
        <f t="shared" si="118"/>
        <v>9</v>
      </c>
      <c r="AL37" s="96">
        <f t="shared" si="118"/>
        <v>10</v>
      </c>
      <c r="AM37" s="96">
        <f t="shared" si="118"/>
        <v>11</v>
      </c>
      <c r="AN37" s="96">
        <f t="shared" si="118"/>
        <v>12</v>
      </c>
      <c r="AO37" s="96">
        <f t="shared" si="118"/>
        <v>13</v>
      </c>
      <c r="AP37" s="96">
        <f t="shared" si="118"/>
        <v>14</v>
      </c>
      <c r="AQ37" s="96">
        <f t="shared" si="118"/>
        <v>15</v>
      </c>
      <c r="AR37" s="96">
        <f t="shared" si="118"/>
        <v>16</v>
      </c>
      <c r="AS37" s="96">
        <f t="shared" si="118"/>
        <v>17</v>
      </c>
      <c r="AT37" s="96">
        <f t="shared" si="118"/>
        <v>18</v>
      </c>
      <c r="AU37" s="96">
        <f t="shared" si="118"/>
        <v>19</v>
      </c>
      <c r="AV37" s="96">
        <f t="shared" si="118"/>
        <v>20</v>
      </c>
      <c r="AW37" s="96">
        <f t="shared" si="118"/>
        <v>21</v>
      </c>
      <c r="AX37" s="96" t="str">
        <f t="shared" si="118"/>
        <v>B</v>
      </c>
      <c r="AZ37" s="107"/>
      <c r="BA37" s="107"/>
      <c r="BB37" s="107"/>
      <c r="BC37" s="107"/>
      <c r="BD37" s="107"/>
      <c r="BE37" s="107"/>
      <c r="BF37" s="107"/>
      <c r="BG37" s="107"/>
      <c r="BH37" s="107"/>
    </row>
    <row r="38" spans="1:60" ht="12" customHeight="1">
      <c r="A38" s="97"/>
      <c r="B38" s="101" t="str">
        <f t="shared" ref="B38:B49" ca="1" si="119">B22</f>
        <v>Onder de vod</v>
      </c>
      <c r="C38" s="108">
        <f t="shared" ref="C38:Y38" ca="1" si="120">IF($AA3&lt;&gt;"",C22*$AA3,"")</f>
        <v>133.92774566473989</v>
      </c>
      <c r="D38" s="108">
        <f t="shared" ca="1" si="120"/>
        <v>291.22543352601156</v>
      </c>
      <c r="E38" s="108">
        <f t="shared" ca="1" si="120"/>
        <v>450.32080924855489</v>
      </c>
      <c r="F38" s="108">
        <f t="shared" ca="1" si="120"/>
        <v>593.23699421965318</v>
      </c>
      <c r="G38" s="108">
        <f t="shared" ca="1" si="120"/>
        <v>682.22254335260118</v>
      </c>
      <c r="H38" s="108">
        <f t="shared" ca="1" si="120"/>
        <v>847.6098265895954</v>
      </c>
      <c r="I38" s="108">
        <f t="shared" ca="1" si="120"/>
        <v>1031.8728323699422</v>
      </c>
      <c r="J38" s="108">
        <f t="shared" ca="1" si="120"/>
        <v>1223.3265895953757</v>
      </c>
      <c r="K38" s="108">
        <f t="shared" ca="1" si="120"/>
        <v>1349.1647398843929</v>
      </c>
      <c r="L38" s="108">
        <f t="shared" ca="1" si="120"/>
        <v>1380.6242774566474</v>
      </c>
      <c r="M38" s="108">
        <f t="shared" ca="1" si="120"/>
        <v>1540.6184971098264</v>
      </c>
      <c r="N38" s="108">
        <f t="shared" ca="1" si="120"/>
        <v>1663.7601156069363</v>
      </c>
      <c r="O38" s="108">
        <f t="shared" ca="1" si="120"/>
        <v>1780.6098265895953</v>
      </c>
      <c r="P38" s="108">
        <f t="shared" ca="1" si="120"/>
        <v>1870.494219653179</v>
      </c>
      <c r="Q38" s="108">
        <f t="shared" ca="1" si="120"/>
        <v>1994.5346820809248</v>
      </c>
      <c r="R38" s="108">
        <f t="shared" ca="1" si="120"/>
        <v>2105.092485549133</v>
      </c>
      <c r="S38" s="108">
        <f t="shared" ca="1" si="120"/>
        <v>2256.9971098265896</v>
      </c>
      <c r="T38" s="108">
        <f t="shared" ca="1" si="120"/>
        <v>2443.9566473988439</v>
      </c>
      <c r="U38" s="108">
        <f t="shared" ca="1" si="120"/>
        <v>2558.1098265895953</v>
      </c>
      <c r="V38" s="108">
        <f t="shared" ca="1" si="120"/>
        <v>2687.5433526011561</v>
      </c>
      <c r="W38" s="108">
        <f t="shared" ca="1" si="120"/>
        <v>2785.5173410404623</v>
      </c>
      <c r="X38" s="243">
        <f t="shared" ca="1" si="120"/>
        <v>3038.092485549133</v>
      </c>
      <c r="Y38" s="108">
        <f t="shared" ca="1" si="120"/>
        <v>0</v>
      </c>
      <c r="Z38" s="95"/>
      <c r="AA38" s="95"/>
      <c r="AB38" s="102" t="str">
        <f t="shared" ref="AB38:AB50" ca="1" si="121">B38</f>
        <v>Onder de vod</v>
      </c>
      <c r="AC38" s="103">
        <f t="shared" ref="AC38:AC49" ca="1" si="122">C38-AC$50</f>
        <v>-9.61999177794155</v>
      </c>
      <c r="AD38" s="103">
        <f t="shared" ref="AD38:AD49" ca="1" si="123">D38-AD$50</f>
        <v>-38.500518389720867</v>
      </c>
      <c r="AE38" s="103">
        <f t="shared" ref="AE38:AE49" ca="1" si="124">E38-AE$50</f>
        <v>-59.068380719417632</v>
      </c>
      <c r="AF38" s="103">
        <f t="shared" ref="AF38:AF49" ca="1" si="125">F38-AF$50</f>
        <v>-76.632919742452032</v>
      </c>
      <c r="AG38" s="103">
        <f t="shared" ref="AG38:AG49" ca="1" si="126">G38-AG$50</f>
        <v>-87.932175665336558</v>
      </c>
      <c r="AH38" s="103">
        <f t="shared" ref="AH38:AH49" ca="1" si="127">H38-AH$50</f>
        <v>-58.599099723557629</v>
      </c>
      <c r="AI38" s="103">
        <f t="shared" ref="AI38:AI49" ca="1" si="128">I38-AI$50</f>
        <v>-26.238242222396821</v>
      </c>
      <c r="AJ38" s="103">
        <f t="shared" ref="AJ38:AJ49" ca="1" si="129">J38-AJ$50</f>
        <v>-3.4374234696736039</v>
      </c>
      <c r="AK38" s="103">
        <f t="shared" ref="AK38:AK49" ca="1" si="130">K38-AK$50</f>
        <v>4.2718448671153055</v>
      </c>
      <c r="AL38" s="103">
        <f t="shared" ref="AL38:AL49" ca="1" si="131">L38-AL$50</f>
        <v>-1.8569817912875806</v>
      </c>
      <c r="AM38" s="103">
        <f t="shared" ref="AM38:AM49" ca="1" si="132">M38-AM$50</f>
        <v>7.9527457476344807</v>
      </c>
      <c r="AN38" s="103">
        <f t="shared" ref="AN38:AN49" ca="1" si="133">N38-AN$50</f>
        <v>6.8239416733733833</v>
      </c>
      <c r="AO38" s="103">
        <f t="shared" ref="AO38:AO49" ca="1" si="134">O38-AO$50</f>
        <v>10.872207432454843</v>
      </c>
      <c r="AP38" s="103">
        <f t="shared" ref="AP38:AP49" ca="1" si="135">P38-AP$50</f>
        <v>21.087722814526387</v>
      </c>
      <c r="AQ38" s="103">
        <f t="shared" ref="AQ38:AQ49" ca="1" si="136">Q38-AQ$50</f>
        <v>-2.7781516521151843</v>
      </c>
      <c r="AR38" s="103">
        <f t="shared" ref="AR38:AR49" ca="1" si="137">R38-AR$50</f>
        <v>-4.2021689306097869</v>
      </c>
      <c r="AS38" s="103">
        <f t="shared" ref="AS38:AS49" ca="1" si="138">S38-AS$50</f>
        <v>4.8047639116111895</v>
      </c>
      <c r="AT38" s="103">
        <f t="shared" ref="AT38:AT49" ca="1" si="139">T38-AT$50</f>
        <v>5.4919980914723965</v>
      </c>
      <c r="AU38" s="103">
        <f t="shared" ref="AU38:AU49" ca="1" si="140">U38-AU$50</f>
        <v>-10.389192153962085</v>
      </c>
      <c r="AV38" s="103">
        <f t="shared" ref="AV38:AV49" ca="1" si="141">V38-AV$50</f>
        <v>-15.732347891362679</v>
      </c>
      <c r="AW38" s="103">
        <f t="shared" ref="AW38:AW49" ca="1" si="142">W38-AW$50</f>
        <v>-56.667541120777514</v>
      </c>
      <c r="AX38" s="103">
        <f t="shared" ref="AX38:AX49" ca="1" si="143">X38-AX$50</f>
        <v>-56.969494931406643</v>
      </c>
      <c r="AZ38" s="109"/>
      <c r="BC38" s="109"/>
      <c r="BD38" s="110"/>
      <c r="BE38" s="110"/>
    </row>
    <row r="39" spans="1:60" ht="12" customHeight="1">
      <c r="A39" s="97"/>
      <c r="B39" s="101" t="str">
        <f t="shared" ca="1" si="119"/>
        <v>Tins Tour Toppers</v>
      </c>
      <c r="C39" s="108">
        <f t="shared" ref="C39:Y39" ca="1" si="144">IF($AA4&lt;&gt;"",C23*$AA4,"")</f>
        <v>117.7751479289941</v>
      </c>
      <c r="D39" s="108">
        <f t="shared" ca="1" si="144"/>
        <v>290.75739644970417</v>
      </c>
      <c r="E39" s="108">
        <f t="shared" ca="1" si="144"/>
        <v>467.42011834319533</v>
      </c>
      <c r="F39" s="108">
        <f t="shared" ca="1" si="144"/>
        <v>596.23668639053267</v>
      </c>
      <c r="G39" s="108">
        <f t="shared" ca="1" si="144"/>
        <v>687.328402366864</v>
      </c>
      <c r="H39" s="108">
        <f t="shared" ca="1" si="144"/>
        <v>831.78698224852087</v>
      </c>
      <c r="I39" s="108">
        <f t="shared" ca="1" si="144"/>
        <v>995.56804733727824</v>
      </c>
      <c r="J39" s="108">
        <f t="shared" ca="1" si="144"/>
        <v>1151.9881656804735</v>
      </c>
      <c r="K39" s="108">
        <f t="shared" ca="1" si="144"/>
        <v>1280.8047337278108</v>
      </c>
      <c r="L39" s="108">
        <f t="shared" ca="1" si="144"/>
        <v>1313.0088757396452</v>
      </c>
      <c r="M39" s="108">
        <f t="shared" ca="1" si="144"/>
        <v>1476.7899408284027</v>
      </c>
      <c r="N39" s="108">
        <f t="shared" ca="1" si="144"/>
        <v>1634.1301775147931</v>
      </c>
      <c r="O39" s="108">
        <f t="shared" ca="1" si="144"/>
        <v>1746.3846153846157</v>
      </c>
      <c r="P39" s="108">
        <f t="shared" ca="1" si="144"/>
        <v>1814.4733727810653</v>
      </c>
      <c r="Q39" s="108">
        <f t="shared" ca="1" si="144"/>
        <v>1979.1745562130181</v>
      </c>
      <c r="R39" s="108">
        <f t="shared" ca="1" si="144"/>
        <v>2099.710059171598</v>
      </c>
      <c r="S39" s="108">
        <f t="shared" ca="1" si="144"/>
        <v>2275.4526627218938</v>
      </c>
      <c r="T39" s="108">
        <f t="shared" ca="1" si="144"/>
        <v>2485.2396449704147</v>
      </c>
      <c r="U39" s="108">
        <f t="shared" ca="1" si="144"/>
        <v>2649.020710059172</v>
      </c>
      <c r="V39" s="108">
        <f t="shared" ca="1" si="144"/>
        <v>2770.4763313609474</v>
      </c>
      <c r="W39" s="108">
        <f t="shared" ca="1" si="144"/>
        <v>2932.417159763314</v>
      </c>
      <c r="X39" s="243">
        <f t="shared" ca="1" si="144"/>
        <v>3224.0946745562137</v>
      </c>
      <c r="Y39" s="108">
        <f t="shared" ca="1" si="144"/>
        <v>0</v>
      </c>
      <c r="Z39" s="95"/>
      <c r="AA39" s="95"/>
      <c r="AB39" s="102" t="str">
        <f t="shared" ref="AB39:AB49" ca="1" si="145">B39</f>
        <v>Tins Tour Toppers</v>
      </c>
      <c r="AC39" s="103">
        <f t="shared" ca="1" si="122"/>
        <v>-25.772589513687336</v>
      </c>
      <c r="AD39" s="103">
        <f t="shared" ca="1" si="123"/>
        <v>-38.968555466028249</v>
      </c>
      <c r="AE39" s="103">
        <f t="shared" ca="1" si="124"/>
        <v>-41.9690716247772</v>
      </c>
      <c r="AF39" s="103">
        <f t="shared" ca="1" si="125"/>
        <v>-73.633227571572547</v>
      </c>
      <c r="AG39" s="103">
        <f t="shared" ca="1" si="126"/>
        <v>-82.826316651073739</v>
      </c>
      <c r="AH39" s="103">
        <f t="shared" ca="1" si="127"/>
        <v>-74.421944064632157</v>
      </c>
      <c r="AI39" s="103">
        <f t="shared" ca="1" si="128"/>
        <v>-62.543027255060792</v>
      </c>
      <c r="AJ39" s="103">
        <f t="shared" ca="1" si="129"/>
        <v>-74.775847384575854</v>
      </c>
      <c r="AK39" s="103">
        <f t="shared" ca="1" si="130"/>
        <v>-64.088161289466825</v>
      </c>
      <c r="AL39" s="103">
        <f t="shared" ca="1" si="131"/>
        <v>-69.472383508289795</v>
      </c>
      <c r="AM39" s="103">
        <f t="shared" ca="1" si="132"/>
        <v>-55.875810533789263</v>
      </c>
      <c r="AN39" s="103">
        <f t="shared" ca="1" si="133"/>
        <v>-22.805996418769837</v>
      </c>
      <c r="AO39" s="103">
        <f t="shared" ca="1" si="134"/>
        <v>-23.353003772524744</v>
      </c>
      <c r="AP39" s="103">
        <f t="shared" ca="1" si="135"/>
        <v>-34.933124057587293</v>
      </c>
      <c r="AQ39" s="103">
        <f t="shared" ca="1" si="136"/>
        <v>-18.138277520021802</v>
      </c>
      <c r="AR39" s="103">
        <f t="shared" ca="1" si="137"/>
        <v>-9.5845953081447988</v>
      </c>
      <c r="AS39" s="103">
        <f t="shared" ca="1" si="138"/>
        <v>23.260316806915398</v>
      </c>
      <c r="AT39" s="103">
        <f t="shared" ca="1" si="139"/>
        <v>46.774995663043228</v>
      </c>
      <c r="AU39" s="103">
        <f t="shared" ca="1" si="140"/>
        <v>80.521691315614589</v>
      </c>
      <c r="AV39" s="103">
        <f t="shared" ca="1" si="141"/>
        <v>67.200630868428561</v>
      </c>
      <c r="AW39" s="103">
        <f t="shared" ca="1" si="142"/>
        <v>90.232277602074191</v>
      </c>
      <c r="AX39" s="103">
        <f t="shared" ca="1" si="143"/>
        <v>129.03269407567404</v>
      </c>
      <c r="AZ39" s="109"/>
      <c r="BC39" s="109"/>
      <c r="BD39" s="110"/>
      <c r="BE39" s="110"/>
    </row>
    <row r="40" spans="1:60" ht="12" customHeight="1">
      <c r="A40" s="97"/>
      <c r="B40" s="101" t="str">
        <f t="shared" ca="1" si="119"/>
        <v>Prof's ploegje</v>
      </c>
      <c r="C40" s="108">
        <f t="shared" ref="C40:Y40" ca="1" si="146">IF($AA5&lt;&gt;"",C24*$AA5,"")</f>
        <v>137.48475609756096</v>
      </c>
      <c r="D40" s="108">
        <f t="shared" ca="1" si="146"/>
        <v>321.42987804878044</v>
      </c>
      <c r="E40" s="108">
        <f t="shared" ca="1" si="146"/>
        <v>508.21951219512187</v>
      </c>
      <c r="F40" s="108">
        <f t="shared" ca="1" si="146"/>
        <v>645.70426829268285</v>
      </c>
      <c r="G40" s="108">
        <f t="shared" ca="1" si="146"/>
        <v>741.46951219512187</v>
      </c>
      <c r="H40" s="108">
        <f t="shared" ca="1" si="146"/>
        <v>887.48780487804868</v>
      </c>
      <c r="I40" s="108">
        <f t="shared" ca="1" si="146"/>
        <v>1042.9878048780486</v>
      </c>
      <c r="J40" s="108">
        <f t="shared" ca="1" si="146"/>
        <v>1197.5396341463413</v>
      </c>
      <c r="K40" s="108">
        <f t="shared" ca="1" si="146"/>
        <v>1318.9054878048778</v>
      </c>
      <c r="L40" s="108">
        <f t="shared" ca="1" si="146"/>
        <v>1349.2469512195121</v>
      </c>
      <c r="M40" s="108">
        <f t="shared" ca="1" si="146"/>
        <v>1519.917682926829</v>
      </c>
      <c r="N40" s="108">
        <f t="shared" ca="1" si="146"/>
        <v>1633.698170731707</v>
      </c>
      <c r="O40" s="108">
        <f t="shared" ca="1" si="146"/>
        <v>1753.167682926829</v>
      </c>
      <c r="P40" s="108">
        <f t="shared" ca="1" si="146"/>
        <v>1797.731707317073</v>
      </c>
      <c r="Q40" s="108">
        <f t="shared" ca="1" si="146"/>
        <v>1944.698170731707</v>
      </c>
      <c r="R40" s="108">
        <f t="shared" ca="1" si="146"/>
        <v>2049.9451219512193</v>
      </c>
      <c r="S40" s="108">
        <f t="shared" ca="1" si="146"/>
        <v>2188.3780487804875</v>
      </c>
      <c r="T40" s="108">
        <f t="shared" ca="1" si="146"/>
        <v>2381.8048780487802</v>
      </c>
      <c r="U40" s="108">
        <f t="shared" ca="1" si="146"/>
        <v>2504.1189024390242</v>
      </c>
      <c r="V40" s="108">
        <f t="shared" ca="1" si="146"/>
        <v>2635.9146341463411</v>
      </c>
      <c r="W40" s="108">
        <f t="shared" ca="1" si="146"/>
        <v>2771.5030487804875</v>
      </c>
      <c r="X40" s="243">
        <f t="shared" ca="1" si="146"/>
        <v>3051.2134146341459</v>
      </c>
      <c r="Y40" s="108">
        <f t="shared" ca="1" si="146"/>
        <v>0</v>
      </c>
      <c r="Z40" s="95"/>
      <c r="AA40" s="95"/>
      <c r="AB40" s="102" t="str">
        <f t="shared" ca="1" si="145"/>
        <v>Prof's ploegje</v>
      </c>
      <c r="AC40" s="103">
        <f t="shared" ca="1" si="122"/>
        <v>-6.0629813451204768</v>
      </c>
      <c r="AD40" s="103">
        <f t="shared" ca="1" si="123"/>
        <v>-8.2960738669519856</v>
      </c>
      <c r="AE40" s="103">
        <f t="shared" ca="1" si="124"/>
        <v>-1.1696777728506618</v>
      </c>
      <c r="AF40" s="103">
        <f t="shared" ca="1" si="125"/>
        <v>-24.165645669422361</v>
      </c>
      <c r="AG40" s="103">
        <f t="shared" ca="1" si="126"/>
        <v>-28.685206822815871</v>
      </c>
      <c r="AH40" s="103">
        <f t="shared" ca="1" si="127"/>
        <v>-18.721121435104351</v>
      </c>
      <c r="AI40" s="103">
        <f t="shared" ca="1" si="128"/>
        <v>-15.123269714290473</v>
      </c>
      <c r="AJ40" s="103">
        <f t="shared" ca="1" si="129"/>
        <v>-29.224378918707998</v>
      </c>
      <c r="AK40" s="103">
        <f t="shared" ca="1" si="130"/>
        <v>-25.98740721239983</v>
      </c>
      <c r="AL40" s="103">
        <f t="shared" ca="1" si="131"/>
        <v>-33.234308028422902</v>
      </c>
      <c r="AM40" s="103">
        <f t="shared" ca="1" si="132"/>
        <v>-12.748068435362939</v>
      </c>
      <c r="AN40" s="103">
        <f t="shared" ca="1" si="133"/>
        <v>-23.238003201855918</v>
      </c>
      <c r="AO40" s="103">
        <f t="shared" ca="1" si="134"/>
        <v>-16.569936230311441</v>
      </c>
      <c r="AP40" s="103">
        <f t="shared" ca="1" si="135"/>
        <v>-51.674789521579669</v>
      </c>
      <c r="AQ40" s="103">
        <f t="shared" ca="1" si="136"/>
        <v>-52.614663001332929</v>
      </c>
      <c r="AR40" s="103">
        <f t="shared" ca="1" si="137"/>
        <v>-59.349532528523468</v>
      </c>
      <c r="AS40" s="103">
        <f t="shared" ca="1" si="138"/>
        <v>-63.814297134490971</v>
      </c>
      <c r="AT40" s="103">
        <f t="shared" ca="1" si="139"/>
        <v>-56.659771258591263</v>
      </c>
      <c r="AU40" s="103">
        <f t="shared" ca="1" si="140"/>
        <v>-64.380116304533203</v>
      </c>
      <c r="AV40" s="103">
        <f t="shared" ca="1" si="141"/>
        <v>-67.361066346177722</v>
      </c>
      <c r="AW40" s="103">
        <f t="shared" ca="1" si="142"/>
        <v>-70.681833380752323</v>
      </c>
      <c r="AX40" s="103">
        <f t="shared" ca="1" si="143"/>
        <v>-43.84856584639374</v>
      </c>
      <c r="AZ40" s="109"/>
      <c r="BC40" s="109"/>
      <c r="BD40" s="110"/>
      <c r="BE40" s="110"/>
    </row>
    <row r="41" spans="1:60" ht="12" customHeight="1">
      <c r="A41" s="97"/>
      <c r="B41" s="101" t="str">
        <f t="shared" ca="1" si="119"/>
        <v>Prajak Mahawong</v>
      </c>
      <c r="C41" s="108">
        <f t="shared" ref="C41:Y41" ca="1" si="147">IF($AA6&lt;&gt;"",C25*$AA6,"")</f>
        <v>106.84662576687114</v>
      </c>
      <c r="D41" s="108">
        <f t="shared" ca="1" si="147"/>
        <v>267.11656441717787</v>
      </c>
      <c r="E41" s="108">
        <f t="shared" ca="1" si="147"/>
        <v>444.55828220858888</v>
      </c>
      <c r="F41" s="108">
        <f t="shared" ca="1" si="147"/>
        <v>597.19631901840478</v>
      </c>
      <c r="G41" s="108">
        <f t="shared" ca="1" si="147"/>
        <v>686.8711656441717</v>
      </c>
      <c r="H41" s="108">
        <f t="shared" ca="1" si="147"/>
        <v>834.73926380368084</v>
      </c>
      <c r="I41" s="108">
        <f t="shared" ca="1" si="147"/>
        <v>985.46932515337403</v>
      </c>
      <c r="J41" s="108">
        <f t="shared" ca="1" si="147"/>
        <v>1177.2208588957053</v>
      </c>
      <c r="K41" s="108">
        <f t="shared" ca="1" si="147"/>
        <v>1289.7914110429444</v>
      </c>
      <c r="L41" s="108">
        <f t="shared" ca="1" si="147"/>
        <v>1317.4570552147236</v>
      </c>
      <c r="M41" s="108">
        <f t="shared" ca="1" si="147"/>
        <v>1476.7730061349691</v>
      </c>
      <c r="N41" s="108">
        <f t="shared" ca="1" si="147"/>
        <v>1583.6196319018402</v>
      </c>
      <c r="O41" s="108">
        <f t="shared" ca="1" si="147"/>
        <v>1657.076687116564</v>
      </c>
      <c r="P41" s="108">
        <f t="shared" ca="1" si="147"/>
        <v>1733.3957055214721</v>
      </c>
      <c r="Q41" s="108">
        <f t="shared" ca="1" si="147"/>
        <v>1866.953987730061</v>
      </c>
      <c r="R41" s="108">
        <f t="shared" ca="1" si="147"/>
        <v>1993.8343558282204</v>
      </c>
      <c r="S41" s="108">
        <f t="shared" ca="1" si="147"/>
        <v>2136.932515337423</v>
      </c>
      <c r="T41" s="108">
        <f t="shared" ca="1" si="147"/>
        <v>2333.4539877300608</v>
      </c>
      <c r="U41" s="108">
        <f t="shared" ca="1" si="147"/>
        <v>2485.1380368098153</v>
      </c>
      <c r="V41" s="108">
        <f t="shared" ca="1" si="147"/>
        <v>2608.2024539877298</v>
      </c>
      <c r="W41" s="108">
        <f t="shared" ca="1" si="147"/>
        <v>2767.5184049079749</v>
      </c>
      <c r="X41" s="243">
        <f t="shared" ca="1" si="147"/>
        <v>3037.496932515337</v>
      </c>
      <c r="Y41" s="108">
        <f t="shared" ca="1" si="147"/>
        <v>0</v>
      </c>
      <c r="Z41" s="95"/>
      <c r="AA41" s="95"/>
      <c r="AB41" s="102" t="str">
        <f t="shared" ca="1" si="145"/>
        <v>Prajak Mahawong</v>
      </c>
      <c r="AC41" s="103">
        <f t="shared" ca="1" si="122"/>
        <v>-36.701111675810296</v>
      </c>
      <c r="AD41" s="103">
        <f t="shared" ca="1" si="123"/>
        <v>-62.609387498554554</v>
      </c>
      <c r="AE41" s="103">
        <f t="shared" ca="1" si="124"/>
        <v>-64.830907759383649</v>
      </c>
      <c r="AF41" s="103">
        <f t="shared" ca="1" si="125"/>
        <v>-72.673594943700436</v>
      </c>
      <c r="AG41" s="103">
        <f t="shared" ca="1" si="126"/>
        <v>-83.28355337376604</v>
      </c>
      <c r="AH41" s="103">
        <f t="shared" ca="1" si="127"/>
        <v>-71.469662509472187</v>
      </c>
      <c r="AI41" s="103">
        <f t="shared" ca="1" si="128"/>
        <v>-72.641749438965007</v>
      </c>
      <c r="AJ41" s="103">
        <f t="shared" ca="1" si="129"/>
        <v>-49.543154169344007</v>
      </c>
      <c r="AK41" s="103">
        <f t="shared" ca="1" si="130"/>
        <v>-55.101483974333178</v>
      </c>
      <c r="AL41" s="103">
        <f t="shared" ca="1" si="131"/>
        <v>-65.02420403321139</v>
      </c>
      <c r="AM41" s="103">
        <f t="shared" ca="1" si="132"/>
        <v>-55.892745227222804</v>
      </c>
      <c r="AN41" s="103">
        <f t="shared" ca="1" si="133"/>
        <v>-73.316542031722747</v>
      </c>
      <c r="AO41" s="103">
        <f t="shared" ca="1" si="134"/>
        <v>-112.66093204057643</v>
      </c>
      <c r="AP41" s="103">
        <f t="shared" ca="1" si="135"/>
        <v>-116.01079131718052</v>
      </c>
      <c r="AQ41" s="103">
        <f t="shared" ca="1" si="136"/>
        <v>-130.35884600297891</v>
      </c>
      <c r="AR41" s="103">
        <f t="shared" ca="1" si="137"/>
        <v>-115.46029865152241</v>
      </c>
      <c r="AS41" s="103">
        <f t="shared" ca="1" si="138"/>
        <v>-115.25983057755548</v>
      </c>
      <c r="AT41" s="103">
        <f t="shared" ca="1" si="139"/>
        <v>-105.01066157731066</v>
      </c>
      <c r="AU41" s="103">
        <f t="shared" ca="1" si="140"/>
        <v>-83.360981933742096</v>
      </c>
      <c r="AV41" s="103">
        <f t="shared" ca="1" si="141"/>
        <v>-95.07324650478904</v>
      </c>
      <c r="AW41" s="103">
        <f t="shared" ca="1" si="142"/>
        <v>-74.666477253264929</v>
      </c>
      <c r="AX41" s="103">
        <f t="shared" ca="1" si="143"/>
        <v>-57.565047965202666</v>
      </c>
      <c r="AZ41" s="109"/>
      <c r="BC41" s="109"/>
      <c r="BD41" s="110"/>
      <c r="BE41" s="110"/>
    </row>
    <row r="42" spans="1:60" ht="12" customHeight="1">
      <c r="A42" s="97"/>
      <c r="B42" s="101" t="str">
        <f t="shared" ca="1" si="119"/>
        <v>Lothar blijft positief</v>
      </c>
      <c r="C42" s="108">
        <f t="shared" ref="C42:Y42" ca="1" si="148">IF($AA7&lt;&gt;"",C26*$AA7,"")</f>
        <v>164.13888888888891</v>
      </c>
      <c r="D42" s="108">
        <f t="shared" ca="1" si="148"/>
        <v>311.95987654320993</v>
      </c>
      <c r="E42" s="108">
        <f t="shared" ca="1" si="148"/>
        <v>439.62345679012356</v>
      </c>
      <c r="F42" s="108">
        <f t="shared" ca="1" si="148"/>
        <v>565.36728395061732</v>
      </c>
      <c r="G42" s="108">
        <f t="shared" ca="1" si="148"/>
        <v>645.03703703703718</v>
      </c>
      <c r="H42" s="108">
        <f t="shared" ca="1" si="148"/>
        <v>845.65123456790138</v>
      </c>
      <c r="I42" s="108">
        <f t="shared" ca="1" si="148"/>
        <v>1035.706790123457</v>
      </c>
      <c r="J42" s="108">
        <f t="shared" ca="1" si="148"/>
        <v>1253.5987654320991</v>
      </c>
      <c r="K42" s="108">
        <f t="shared" ca="1" si="148"/>
        <v>1389.9012345679014</v>
      </c>
      <c r="L42" s="108">
        <f t="shared" ca="1" si="148"/>
        <v>1430.2160493827164</v>
      </c>
      <c r="M42" s="108">
        <f t="shared" ca="1" si="148"/>
        <v>1612.5925925925928</v>
      </c>
      <c r="N42" s="108">
        <f t="shared" ca="1" si="148"/>
        <v>1783.4506172839508</v>
      </c>
      <c r="O42" s="108">
        <f t="shared" ca="1" si="148"/>
        <v>1891.916666666667</v>
      </c>
      <c r="P42" s="108">
        <f t="shared" ca="1" si="148"/>
        <v>2000.3827160493831</v>
      </c>
      <c r="Q42" s="108">
        <f t="shared" ca="1" si="148"/>
        <v>2124.2067901234573</v>
      </c>
      <c r="R42" s="108">
        <f t="shared" ca="1" si="148"/>
        <v>2228.8333333333335</v>
      </c>
      <c r="S42" s="108">
        <f t="shared" ca="1" si="148"/>
        <v>2392.0123456790129</v>
      </c>
      <c r="T42" s="108">
        <f t="shared" ca="1" si="148"/>
        <v>2592.6265432098771</v>
      </c>
      <c r="U42" s="108">
        <f t="shared" ca="1" si="148"/>
        <v>2719.3302469135806</v>
      </c>
      <c r="V42" s="108">
        <f t="shared" ca="1" si="148"/>
        <v>2863.3117283950623</v>
      </c>
      <c r="W42" s="108">
        <f t="shared" ca="1" si="148"/>
        <v>2970.8179012345686</v>
      </c>
      <c r="X42" s="243">
        <f t="shared" ca="1" si="148"/>
        <v>3251.1018518518522</v>
      </c>
      <c r="Y42" s="108">
        <f t="shared" ca="1" si="148"/>
        <v>0</v>
      </c>
      <c r="Z42" s="95"/>
      <c r="AA42" s="95"/>
      <c r="AB42" s="102" t="str">
        <f t="shared" ca="1" si="145"/>
        <v>Lothar blijft positief</v>
      </c>
      <c r="AC42" s="103">
        <f t="shared" ca="1" si="122"/>
        <v>20.591151446207476</v>
      </c>
      <c r="AD42" s="103">
        <f t="shared" ca="1" si="123"/>
        <v>-17.766075372522494</v>
      </c>
      <c r="AE42" s="103">
        <f t="shared" ca="1" si="124"/>
        <v>-69.765733177848972</v>
      </c>
      <c r="AF42" s="103">
        <f t="shared" ca="1" si="125"/>
        <v>-104.50263001148789</v>
      </c>
      <c r="AG42" s="103">
        <f t="shared" ca="1" si="126"/>
        <v>-125.11768198090056</v>
      </c>
      <c r="AH42" s="103">
        <f t="shared" ca="1" si="127"/>
        <v>-60.557691745251645</v>
      </c>
      <c r="AI42" s="103">
        <f t="shared" ca="1" si="128"/>
        <v>-22.404284468881997</v>
      </c>
      <c r="AJ42" s="103">
        <f t="shared" ca="1" si="129"/>
        <v>26.834752367049759</v>
      </c>
      <c r="AK42" s="103">
        <f t="shared" ca="1" si="130"/>
        <v>45.008339550623759</v>
      </c>
      <c r="AL42" s="103">
        <f t="shared" ca="1" si="131"/>
        <v>47.734790134781406</v>
      </c>
      <c r="AM42" s="103">
        <f t="shared" ca="1" si="132"/>
        <v>79.926841230400896</v>
      </c>
      <c r="AN42" s="103">
        <f t="shared" ca="1" si="133"/>
        <v>126.51444335038786</v>
      </c>
      <c r="AO42" s="103">
        <f t="shared" ca="1" si="134"/>
        <v>122.17904750952653</v>
      </c>
      <c r="AP42" s="103">
        <f t="shared" ca="1" si="135"/>
        <v>150.97621921073051</v>
      </c>
      <c r="AQ42" s="103">
        <f t="shared" ca="1" si="136"/>
        <v>126.89395639041732</v>
      </c>
      <c r="AR42" s="103">
        <f t="shared" ca="1" si="137"/>
        <v>119.53867885359068</v>
      </c>
      <c r="AS42" s="103">
        <f t="shared" ca="1" si="138"/>
        <v>139.81999976403449</v>
      </c>
      <c r="AT42" s="103">
        <f t="shared" ca="1" si="139"/>
        <v>154.16189390250565</v>
      </c>
      <c r="AU42" s="103">
        <f t="shared" ca="1" si="140"/>
        <v>150.83122817002322</v>
      </c>
      <c r="AV42" s="103">
        <f t="shared" ca="1" si="141"/>
        <v>160.03602790254354</v>
      </c>
      <c r="AW42" s="103">
        <f t="shared" ca="1" si="142"/>
        <v>128.6330190733288</v>
      </c>
      <c r="AX42" s="103">
        <f t="shared" ca="1" si="143"/>
        <v>156.03987137131253</v>
      </c>
      <c r="AZ42" s="109"/>
      <c r="BC42" s="109"/>
      <c r="BD42" s="110"/>
      <c r="BE42" s="110"/>
    </row>
    <row r="43" spans="1:60" ht="12" customHeight="1">
      <c r="A43" s="97"/>
      <c r="B43" s="101" t="str">
        <f t="shared" ca="1" si="119"/>
        <v>De Lange Man</v>
      </c>
      <c r="C43" s="108">
        <f t="shared" ref="C43:Y43" ca="1" si="149">IF($AA8&lt;&gt;"",C27*$AA8,"")</f>
        <v>166.05864197530866</v>
      </c>
      <c r="D43" s="108">
        <f t="shared" ca="1" si="149"/>
        <v>397.38888888888897</v>
      </c>
      <c r="E43" s="108">
        <f t="shared" ca="1" si="149"/>
        <v>623.91975308641986</v>
      </c>
      <c r="F43" s="108">
        <f t="shared" ca="1" si="149"/>
        <v>802.45679012345693</v>
      </c>
      <c r="G43" s="108">
        <f t="shared" ca="1" si="149"/>
        <v>899.4043209876545</v>
      </c>
      <c r="H43" s="108">
        <f t="shared" ca="1" si="149"/>
        <v>1006.9104938271606</v>
      </c>
      <c r="I43" s="108">
        <f t="shared" ca="1" si="149"/>
        <v>1130.7345679012346</v>
      </c>
      <c r="J43" s="108">
        <f t="shared" ca="1" si="149"/>
        <v>1264.1574074074076</v>
      </c>
      <c r="K43" s="108">
        <f t="shared" ca="1" si="149"/>
        <v>1387.9814814814818</v>
      </c>
      <c r="L43" s="108">
        <f t="shared" ca="1" si="149"/>
        <v>1415.8179012345681</v>
      </c>
      <c r="M43" s="108">
        <f t="shared" ca="1" si="149"/>
        <v>1547.3209876543212</v>
      </c>
      <c r="N43" s="108">
        <f t="shared" ca="1" si="149"/>
        <v>1656.7469135802471</v>
      </c>
      <c r="O43" s="108">
        <f t="shared" ca="1" si="149"/>
        <v>1770.9722222222224</v>
      </c>
      <c r="P43" s="108">
        <f t="shared" ca="1" si="149"/>
        <v>1834.3240740740744</v>
      </c>
      <c r="Q43" s="108">
        <f t="shared" ca="1" si="149"/>
        <v>2020.5401234567905</v>
      </c>
      <c r="R43" s="108">
        <f t="shared" ca="1" si="149"/>
        <v>2123.2469135802471</v>
      </c>
      <c r="S43" s="108">
        <f t="shared" ca="1" si="149"/>
        <v>2258.5895061728397</v>
      </c>
      <c r="T43" s="108">
        <f t="shared" ca="1" si="149"/>
        <v>2455.3641975308647</v>
      </c>
      <c r="U43" s="108">
        <f t="shared" ca="1" si="149"/>
        <v>2578.2283950617289</v>
      </c>
      <c r="V43" s="108">
        <f t="shared" ca="1" si="149"/>
        <v>2707.8117283950623</v>
      </c>
      <c r="W43" s="108">
        <f t="shared" ca="1" si="149"/>
        <v>2880.5895061728402</v>
      </c>
      <c r="X43" s="243">
        <f t="shared" ca="1" si="149"/>
        <v>3121.5185185185192</v>
      </c>
      <c r="Y43" s="108">
        <f t="shared" ca="1" si="149"/>
        <v>0</v>
      </c>
      <c r="Z43" s="95"/>
      <c r="AA43" s="95"/>
      <c r="AB43" s="102" t="str">
        <f t="shared" ca="1" si="145"/>
        <v>De Lange Man</v>
      </c>
      <c r="AC43" s="103">
        <f t="shared" ca="1" si="122"/>
        <v>22.510904532627222</v>
      </c>
      <c r="AD43" s="103">
        <f t="shared" ca="1" si="123"/>
        <v>67.662936973156548</v>
      </c>
      <c r="AE43" s="103">
        <f t="shared" ca="1" si="124"/>
        <v>114.53056311844733</v>
      </c>
      <c r="AF43" s="103">
        <f t="shared" ca="1" si="125"/>
        <v>132.58687616135171</v>
      </c>
      <c r="AG43" s="103">
        <f t="shared" ca="1" si="126"/>
        <v>129.24960196971676</v>
      </c>
      <c r="AH43" s="103">
        <f t="shared" ca="1" si="127"/>
        <v>100.70156751400759</v>
      </c>
      <c r="AI43" s="103">
        <f t="shared" ca="1" si="128"/>
        <v>72.623493308895604</v>
      </c>
      <c r="AJ43" s="103">
        <f t="shared" ca="1" si="129"/>
        <v>37.393394342358306</v>
      </c>
      <c r="AK43" s="103">
        <f t="shared" ca="1" si="130"/>
        <v>43.088586464204127</v>
      </c>
      <c r="AL43" s="103">
        <f t="shared" ca="1" si="131"/>
        <v>33.33664198663314</v>
      </c>
      <c r="AM43" s="103">
        <f t="shared" ca="1" si="132"/>
        <v>14.655236292129302</v>
      </c>
      <c r="AN43" s="103">
        <f t="shared" ca="1" si="133"/>
        <v>-0.1892603533158308</v>
      </c>
      <c r="AO43" s="103">
        <f t="shared" ca="1" si="134"/>
        <v>1.2346030650819557</v>
      </c>
      <c r="AP43" s="103">
        <f t="shared" ca="1" si="135"/>
        <v>-15.082422764578268</v>
      </c>
      <c r="AQ43" s="103">
        <f t="shared" ca="1" si="136"/>
        <v>23.227289723750573</v>
      </c>
      <c r="AR43" s="103">
        <f t="shared" ca="1" si="137"/>
        <v>13.952259100504307</v>
      </c>
      <c r="AS43" s="103">
        <f t="shared" ca="1" si="138"/>
        <v>6.3971602578612874</v>
      </c>
      <c r="AT43" s="103">
        <f t="shared" ca="1" si="139"/>
        <v>16.899548223493184</v>
      </c>
      <c r="AU43" s="103">
        <f t="shared" ca="1" si="140"/>
        <v>9.7293763181714894</v>
      </c>
      <c r="AV43" s="103">
        <f t="shared" ca="1" si="141"/>
        <v>4.5360279025435375</v>
      </c>
      <c r="AW43" s="103">
        <f t="shared" ca="1" si="142"/>
        <v>38.40462401160039</v>
      </c>
      <c r="AX43" s="103">
        <f t="shared" ca="1" si="143"/>
        <v>26.456538037979499</v>
      </c>
      <c r="AZ43" s="109"/>
      <c r="BC43" s="109"/>
      <c r="BD43" s="110"/>
      <c r="BE43" s="110"/>
    </row>
    <row r="44" spans="1:60" ht="12" customHeight="1">
      <c r="A44" s="97"/>
      <c r="B44" s="101" t="str">
        <f t="shared" ca="1" si="119"/>
        <v>El Gran</v>
      </c>
      <c r="C44" s="108">
        <f t="shared" ref="C44:Y44" ca="1" si="150">IF($AA9&lt;&gt;"",C28*$AA9,"")</f>
        <v>146.86111111111114</v>
      </c>
      <c r="D44" s="108">
        <f t="shared" ca="1" si="150"/>
        <v>355.15432098765439</v>
      </c>
      <c r="E44" s="108">
        <f t="shared" ca="1" si="150"/>
        <v>564.4074074074075</v>
      </c>
      <c r="F44" s="108">
        <f t="shared" ca="1" si="150"/>
        <v>729.50617283950623</v>
      </c>
      <c r="G44" s="108">
        <f t="shared" ca="1" si="150"/>
        <v>825.49382716049399</v>
      </c>
      <c r="H44" s="108">
        <f t="shared" ca="1" si="150"/>
        <v>936.83950617283961</v>
      </c>
      <c r="I44" s="108">
        <f t="shared" ca="1" si="150"/>
        <v>1077.9413580246915</v>
      </c>
      <c r="J44" s="108">
        <f t="shared" ca="1" si="150"/>
        <v>1231.5216049382718</v>
      </c>
      <c r="K44" s="108">
        <f t="shared" ca="1" si="150"/>
        <v>1328.4691358024693</v>
      </c>
      <c r="L44" s="108">
        <f t="shared" ca="1" si="150"/>
        <v>1356.3055555555559</v>
      </c>
      <c r="M44" s="108">
        <f t="shared" ca="1" si="150"/>
        <v>1490.6882716049386</v>
      </c>
      <c r="N44" s="108">
        <f t="shared" ca="1" si="150"/>
        <v>1581.8765432098769</v>
      </c>
      <c r="O44" s="108">
        <f t="shared" ca="1" si="150"/>
        <v>1694.1820987654323</v>
      </c>
      <c r="P44" s="108">
        <f t="shared" ca="1" si="150"/>
        <v>1734.4969135802471</v>
      </c>
      <c r="Q44" s="108">
        <f t="shared" ca="1" si="150"/>
        <v>1901.5154320987658</v>
      </c>
      <c r="R44" s="108">
        <f t="shared" ca="1" si="150"/>
        <v>2035.8981481481485</v>
      </c>
      <c r="S44" s="108">
        <f t="shared" ca="1" si="150"/>
        <v>2165.4814814814818</v>
      </c>
      <c r="T44" s="108">
        <f t="shared" ca="1" si="150"/>
        <v>2356.4969135802471</v>
      </c>
      <c r="U44" s="108">
        <f t="shared" ca="1" si="150"/>
        <v>2493.7592592592596</v>
      </c>
      <c r="V44" s="108">
        <f t="shared" ca="1" si="150"/>
        <v>2634.8611111111113</v>
      </c>
      <c r="W44" s="108">
        <f t="shared" ca="1" si="150"/>
        <v>2775.9629629629635</v>
      </c>
      <c r="X44" s="243">
        <f t="shared" ca="1" si="150"/>
        <v>3022.6512345679016</v>
      </c>
      <c r="Y44" s="108">
        <f t="shared" ca="1" si="150"/>
        <v>0</v>
      </c>
      <c r="Z44" s="95"/>
      <c r="AA44" s="95"/>
      <c r="AB44" s="102" t="str">
        <f t="shared" ca="1" si="145"/>
        <v>El Gran</v>
      </c>
      <c r="AC44" s="103">
        <f t="shared" ca="1" si="122"/>
        <v>3.3133736684297048</v>
      </c>
      <c r="AD44" s="103">
        <f t="shared" ca="1" si="123"/>
        <v>25.428369071921963</v>
      </c>
      <c r="AE44" s="103">
        <f t="shared" ca="1" si="124"/>
        <v>55.018217439434977</v>
      </c>
      <c r="AF44" s="103">
        <f t="shared" ca="1" si="125"/>
        <v>59.636258877401019</v>
      </c>
      <c r="AG44" s="103">
        <f t="shared" ca="1" si="126"/>
        <v>55.339108142556256</v>
      </c>
      <c r="AH44" s="103">
        <f t="shared" ca="1" si="127"/>
        <v>30.630579859686577</v>
      </c>
      <c r="AI44" s="103">
        <f t="shared" ca="1" si="128"/>
        <v>19.830283432352417</v>
      </c>
      <c r="AJ44" s="103">
        <f t="shared" ca="1" si="129"/>
        <v>4.7575918732225091</v>
      </c>
      <c r="AK44" s="103">
        <f t="shared" ca="1" si="130"/>
        <v>-16.423759214808342</v>
      </c>
      <c r="AL44" s="103">
        <f t="shared" ca="1" si="131"/>
        <v>-26.175703692379102</v>
      </c>
      <c r="AM44" s="103">
        <f t="shared" ca="1" si="132"/>
        <v>-41.977479757253377</v>
      </c>
      <c r="AN44" s="103">
        <f t="shared" ca="1" si="133"/>
        <v>-75.059630723686041</v>
      </c>
      <c r="AO44" s="103">
        <f t="shared" ca="1" si="134"/>
        <v>-75.555520391708114</v>
      </c>
      <c r="AP44" s="103">
        <f t="shared" ca="1" si="135"/>
        <v>-114.90958325840552</v>
      </c>
      <c r="AQ44" s="103">
        <f t="shared" ca="1" si="136"/>
        <v>-95.797401634274138</v>
      </c>
      <c r="AR44" s="103">
        <f t="shared" ca="1" si="137"/>
        <v>-73.39650633159431</v>
      </c>
      <c r="AS44" s="103">
        <f t="shared" ca="1" si="138"/>
        <v>-86.710864433496681</v>
      </c>
      <c r="AT44" s="103">
        <f t="shared" ca="1" si="139"/>
        <v>-81.967735727124364</v>
      </c>
      <c r="AU44" s="103">
        <f t="shared" ca="1" si="140"/>
        <v>-74.739759484297792</v>
      </c>
      <c r="AV44" s="103">
        <f t="shared" ca="1" si="141"/>
        <v>-68.414589381407495</v>
      </c>
      <c r="AW44" s="103">
        <f t="shared" ca="1" si="142"/>
        <v>-66.221919198276282</v>
      </c>
      <c r="AX44" s="103">
        <f t="shared" ca="1" si="143"/>
        <v>-72.410745912638049</v>
      </c>
      <c r="AZ44" s="109"/>
      <c r="BC44" s="109"/>
      <c r="BD44" s="110"/>
      <c r="BE44" s="110"/>
    </row>
    <row r="45" spans="1:60" ht="12" customHeight="1">
      <c r="A45" s="97"/>
      <c r="B45" s="101" t="str">
        <f t="shared" ca="1" si="119"/>
        <v xml:space="preserve">Majella køp dr vør </v>
      </c>
      <c r="C45" s="108">
        <f t="shared" ref="C45:Y45" ca="1" si="151">IF($AA10&lt;&gt;"",C29*$AA10,"")</f>
        <v>200.07666666666665</v>
      </c>
      <c r="D45" s="108">
        <f t="shared" ca="1" si="151"/>
        <v>412.59333333333331</v>
      </c>
      <c r="E45" s="108">
        <f t="shared" ca="1" si="151"/>
        <v>612.66999999999996</v>
      </c>
      <c r="F45" s="108">
        <f t="shared" ca="1" si="151"/>
        <v>785.79333333333329</v>
      </c>
      <c r="G45" s="108">
        <f t="shared" ca="1" si="151"/>
        <v>891.5333333333333</v>
      </c>
      <c r="H45" s="108">
        <f t="shared" ca="1" si="151"/>
        <v>1054.29</v>
      </c>
      <c r="I45" s="108">
        <f t="shared" ca="1" si="151"/>
        <v>1237.78</v>
      </c>
      <c r="J45" s="108">
        <f t="shared" ca="1" si="151"/>
        <v>1421.27</v>
      </c>
      <c r="K45" s="108">
        <f t="shared" ca="1" si="151"/>
        <v>1576.77</v>
      </c>
      <c r="L45" s="108">
        <f t="shared" ca="1" si="151"/>
        <v>1619.2733333333333</v>
      </c>
      <c r="M45" s="108">
        <f t="shared" ca="1" si="151"/>
        <v>1829.7166666666667</v>
      </c>
      <c r="N45" s="108">
        <f t="shared" ca="1" si="151"/>
        <v>1998.6933333333332</v>
      </c>
      <c r="O45" s="108">
        <f t="shared" ca="1" si="151"/>
        <v>2147.9733333333334</v>
      </c>
      <c r="P45" s="108">
        <f t="shared" ca="1" si="151"/>
        <v>2267.19</v>
      </c>
      <c r="Q45" s="108">
        <f t="shared" ca="1" si="151"/>
        <v>2450.6799999999998</v>
      </c>
      <c r="R45" s="108">
        <f t="shared" ca="1" si="151"/>
        <v>2560.5666666666666</v>
      </c>
      <c r="S45" s="108">
        <f t="shared" ca="1" si="151"/>
        <v>2737.8366666666666</v>
      </c>
      <c r="T45" s="108">
        <f t="shared" ca="1" si="151"/>
        <v>2963.83</v>
      </c>
      <c r="U45" s="108">
        <f t="shared" ca="1" si="151"/>
        <v>3127.623333333333</v>
      </c>
      <c r="V45" s="108">
        <f t="shared" ca="1" si="151"/>
        <v>3299.71</v>
      </c>
      <c r="W45" s="108">
        <f t="shared" ca="1" si="151"/>
        <v>3480.0899999999997</v>
      </c>
      <c r="X45" s="243">
        <f t="shared" ca="1" si="151"/>
        <v>3827.373333333333</v>
      </c>
      <c r="Y45" s="108">
        <f t="shared" ca="1" si="151"/>
        <v>0</v>
      </c>
      <c r="Z45" s="95"/>
      <c r="AA45" s="95"/>
      <c r="AB45" s="102" t="str">
        <f t="shared" ca="1" si="145"/>
        <v xml:space="preserve">Majella køp dr vør </v>
      </c>
      <c r="AC45" s="103">
        <f t="shared" ca="1" si="122"/>
        <v>56.528929223985216</v>
      </c>
      <c r="AD45" s="103">
        <f t="shared" ca="1" si="123"/>
        <v>82.867381417600882</v>
      </c>
      <c r="AE45" s="103">
        <f t="shared" ca="1" si="124"/>
        <v>103.28081003202743</v>
      </c>
      <c r="AF45" s="103">
        <f t="shared" ca="1" si="125"/>
        <v>115.92341937122808</v>
      </c>
      <c r="AG45" s="103">
        <f t="shared" ca="1" si="126"/>
        <v>121.37861431539557</v>
      </c>
      <c r="AH45" s="103">
        <f t="shared" ca="1" si="127"/>
        <v>148.08107368684693</v>
      </c>
      <c r="AI45" s="103">
        <f t="shared" ca="1" si="128"/>
        <v>179.66892540766094</v>
      </c>
      <c r="AJ45" s="103">
        <f t="shared" ca="1" si="129"/>
        <v>194.50598693495067</v>
      </c>
      <c r="AK45" s="103">
        <f t="shared" ca="1" si="130"/>
        <v>231.87710498272236</v>
      </c>
      <c r="AL45" s="103">
        <f t="shared" ca="1" si="131"/>
        <v>236.79207408539833</v>
      </c>
      <c r="AM45" s="103">
        <f t="shared" ca="1" si="132"/>
        <v>297.05091530447476</v>
      </c>
      <c r="AN45" s="103">
        <f t="shared" ca="1" si="133"/>
        <v>341.75715939977022</v>
      </c>
      <c r="AO45" s="103">
        <f t="shared" ca="1" si="134"/>
        <v>378.23571417619291</v>
      </c>
      <c r="AP45" s="103">
        <f t="shared" ca="1" si="135"/>
        <v>417.78350316134743</v>
      </c>
      <c r="AQ45" s="103">
        <f t="shared" ca="1" si="136"/>
        <v>453.36716626695988</v>
      </c>
      <c r="AR45" s="103">
        <f t="shared" ca="1" si="137"/>
        <v>451.2720121869238</v>
      </c>
      <c r="AS45" s="103">
        <f t="shared" ca="1" si="138"/>
        <v>485.64432075168816</v>
      </c>
      <c r="AT45" s="103">
        <f t="shared" ca="1" si="139"/>
        <v>525.36535069262845</v>
      </c>
      <c r="AU45" s="103">
        <f t="shared" ca="1" si="140"/>
        <v>559.12431458977562</v>
      </c>
      <c r="AV45" s="103">
        <f t="shared" ca="1" si="141"/>
        <v>596.43429950748123</v>
      </c>
      <c r="AW45" s="103">
        <f t="shared" ca="1" si="142"/>
        <v>637.90511783875991</v>
      </c>
      <c r="AX45" s="103">
        <f t="shared" ca="1" si="143"/>
        <v>732.31135285279333</v>
      </c>
      <c r="AZ45" s="109"/>
      <c r="BC45" s="109"/>
      <c r="BD45" s="110"/>
      <c r="BE45" s="110"/>
    </row>
    <row r="46" spans="1:60" ht="12" customHeight="1">
      <c r="A46" s="97"/>
      <c r="B46" s="101" t="str">
        <f t="shared" ca="1" si="119"/>
        <v>Freaky's manke Kruisbandjes</v>
      </c>
      <c r="C46" s="108">
        <f ca="1">IF($AA11&lt;&gt;"",C30*$AA11,"")</f>
        <v>112.00349650349649</v>
      </c>
      <c r="D46" s="108">
        <f t="shared" ref="D46:Y46" ca="1" si="152">IF($AA11&lt;&gt;"",D32*$AA11,"")</f>
        <v>336.01048951048949</v>
      </c>
      <c r="E46" s="108">
        <f t="shared" ca="1" si="152"/>
        <v>505.64685314685306</v>
      </c>
      <c r="F46" s="108">
        <f t="shared" ca="1" si="152"/>
        <v>677.45804195804192</v>
      </c>
      <c r="G46" s="108">
        <f t="shared" ca="1" si="152"/>
        <v>791.63636363636351</v>
      </c>
      <c r="H46" s="108">
        <f t="shared" ca="1" si="152"/>
        <v>878.62937062937056</v>
      </c>
      <c r="I46" s="108">
        <f t="shared" ca="1" si="152"/>
        <v>1013.4685314685313</v>
      </c>
      <c r="J46" s="108">
        <f t="shared" ca="1" si="152"/>
        <v>1161.3566433566432</v>
      </c>
      <c r="K46" s="108">
        <f t="shared" ca="1" si="152"/>
        <v>1271.1853146853146</v>
      </c>
      <c r="L46" s="108">
        <f t="shared" ca="1" si="152"/>
        <v>1339.6923076923076</v>
      </c>
      <c r="M46" s="108">
        <f t="shared" ca="1" si="152"/>
        <v>1440.8216783216781</v>
      </c>
      <c r="N46" s="108">
        <f t="shared" ca="1" si="152"/>
        <v>1556.0874125874125</v>
      </c>
      <c r="O46" s="108">
        <f t="shared" ca="1" si="152"/>
        <v>1678.9650349650349</v>
      </c>
      <c r="P46" s="108">
        <f t="shared" ca="1" si="152"/>
        <v>1756.1713286713284</v>
      </c>
      <c r="Q46" s="108">
        <f t="shared" ca="1" si="152"/>
        <v>1887.7482517482515</v>
      </c>
      <c r="R46" s="108">
        <f t="shared" ca="1" si="152"/>
        <v>2010.6258741258739</v>
      </c>
      <c r="S46" s="108">
        <f t="shared" ca="1" si="152"/>
        <v>2120.454545454545</v>
      </c>
      <c r="T46" s="108">
        <f t="shared" ca="1" si="152"/>
        <v>2270.5174825174822</v>
      </c>
      <c r="U46" s="108">
        <f t="shared" ca="1" si="152"/>
        <v>2368.3846153846152</v>
      </c>
      <c r="V46" s="108">
        <f t="shared" ca="1" si="152"/>
        <v>2507.5734265734263</v>
      </c>
      <c r="W46" s="108">
        <f t="shared" ca="1" si="152"/>
        <v>2608.7027972027968</v>
      </c>
      <c r="X46" s="243">
        <f t="shared" ca="1" si="152"/>
        <v>2787.0384615384614</v>
      </c>
      <c r="Y46" s="108">
        <f t="shared" ca="1" si="152"/>
        <v>0</v>
      </c>
      <c r="Z46" s="95"/>
      <c r="AA46" s="95"/>
      <c r="AB46" s="102" t="str">
        <f t="shared" ca="1" si="145"/>
        <v>Freaky's manke Kruisbandjes</v>
      </c>
      <c r="AC46" s="103">
        <f t="shared" ca="1" si="122"/>
        <v>-31.544240939184945</v>
      </c>
      <c r="AD46" s="103">
        <f t="shared" ca="1" si="123"/>
        <v>6.2845375947570687</v>
      </c>
      <c r="AE46" s="103">
        <f t="shared" ca="1" si="124"/>
        <v>-3.7423368211194656</v>
      </c>
      <c r="AF46" s="103">
        <f t="shared" ca="1" si="125"/>
        <v>7.5881279959367021</v>
      </c>
      <c r="AG46" s="103">
        <f t="shared" ca="1" si="126"/>
        <v>21.481644618425776</v>
      </c>
      <c r="AH46" s="103">
        <f t="shared" ca="1" si="127"/>
        <v>-27.579555683782473</v>
      </c>
      <c r="AI46" s="103">
        <f t="shared" ca="1" si="128"/>
        <v>-44.642543123807741</v>
      </c>
      <c r="AJ46" s="103">
        <f t="shared" ca="1" si="129"/>
        <v>-65.407369708406122</v>
      </c>
      <c r="AK46" s="103">
        <f t="shared" ca="1" si="130"/>
        <v>-73.707580331963072</v>
      </c>
      <c r="AL46" s="103">
        <f t="shared" ca="1" si="131"/>
        <v>-42.788951555627364</v>
      </c>
      <c r="AM46" s="103">
        <f t="shared" ca="1" si="132"/>
        <v>-91.844073040513877</v>
      </c>
      <c r="AN46" s="103">
        <f t="shared" ca="1" si="133"/>
        <v>-100.84876134615047</v>
      </c>
      <c r="AO46" s="103">
        <f t="shared" ca="1" si="134"/>
        <v>-90.772584192105569</v>
      </c>
      <c r="AP46" s="103">
        <f t="shared" ca="1" si="135"/>
        <v>-93.235168167324218</v>
      </c>
      <c r="AQ46" s="103">
        <f t="shared" ca="1" si="136"/>
        <v>-109.56458198478845</v>
      </c>
      <c r="AR46" s="103">
        <f t="shared" ca="1" si="137"/>
        <v>-98.668780353868897</v>
      </c>
      <c r="AS46" s="103">
        <f t="shared" ca="1" si="138"/>
        <v>-131.73780046043339</v>
      </c>
      <c r="AT46" s="103">
        <f t="shared" ca="1" si="139"/>
        <v>-167.94716678988925</v>
      </c>
      <c r="AU46" s="103">
        <f t="shared" ca="1" si="140"/>
        <v>-200.11440335894213</v>
      </c>
      <c r="AV46" s="103">
        <f t="shared" ca="1" si="141"/>
        <v>-195.70227391909248</v>
      </c>
      <c r="AW46" s="103">
        <f t="shared" ca="1" si="142"/>
        <v>-233.48208495844301</v>
      </c>
      <c r="AX46" s="103">
        <f t="shared" ca="1" si="143"/>
        <v>-308.02351894207823</v>
      </c>
      <c r="AZ46" s="109"/>
      <c r="BC46" s="109"/>
      <c r="BD46" s="110"/>
      <c r="BE46" s="110"/>
    </row>
    <row r="47" spans="1:60" ht="12" customHeight="1">
      <c r="A47" s="97"/>
      <c r="B47" s="101" t="str">
        <f t="shared" ca="1" si="119"/>
        <v>IJffjes Boys</v>
      </c>
      <c r="C47" s="108">
        <f ca="1">IF($AA12&lt;&gt;"",C31*$AA12,"")</f>
        <v>142.26595744680853</v>
      </c>
      <c r="D47" s="108">
        <f t="shared" ref="D47:Y47" ca="1" si="153">IF($AA10&lt;&gt;"",D31*$AA10,"")</f>
        <v>351.43</v>
      </c>
      <c r="E47" s="108">
        <f t="shared" ca="1" si="153"/>
        <v>554.61666666666667</v>
      </c>
      <c r="F47" s="108">
        <f t="shared" ca="1" si="153"/>
        <v>786.82999999999993</v>
      </c>
      <c r="G47" s="108">
        <f t="shared" ca="1" si="153"/>
        <v>896.71666666666658</v>
      </c>
      <c r="H47" s="108">
        <f t="shared" ca="1" si="153"/>
        <v>1012.8233333333333</v>
      </c>
      <c r="I47" s="108">
        <f t="shared" ca="1" si="153"/>
        <v>1114.4166666666665</v>
      </c>
      <c r="J47" s="108">
        <f t="shared" ca="1" si="153"/>
        <v>1282.3566666666666</v>
      </c>
      <c r="K47" s="108">
        <f t="shared" ca="1" si="153"/>
        <v>1362.1799999999998</v>
      </c>
      <c r="L47" s="108">
        <f t="shared" ca="1" si="153"/>
        <v>1381.8766666666666</v>
      </c>
      <c r="M47" s="108">
        <f t="shared" ca="1" si="153"/>
        <v>1508.35</v>
      </c>
      <c r="N47" s="108">
        <f t="shared" ca="1" si="153"/>
        <v>1599.5766666666666</v>
      </c>
      <c r="O47" s="108">
        <f t="shared" ca="1" si="153"/>
        <v>1707.3899999999999</v>
      </c>
      <c r="P47" s="108">
        <f t="shared" ca="1" si="153"/>
        <v>1784.1033333333332</v>
      </c>
      <c r="Q47" s="108">
        <f t="shared" ca="1" si="153"/>
        <v>1963.4466666666665</v>
      </c>
      <c r="R47" s="108">
        <f t="shared" ca="1" si="153"/>
        <v>2065.04</v>
      </c>
      <c r="S47" s="108">
        <f t="shared" ca="1" si="153"/>
        <v>2179.0733333333333</v>
      </c>
      <c r="T47" s="108">
        <f t="shared" ca="1" si="153"/>
        <v>2319.0233333333331</v>
      </c>
      <c r="U47" s="108">
        <f t="shared" ca="1" si="153"/>
        <v>2445.4966666666664</v>
      </c>
      <c r="V47" s="108">
        <f t="shared" ca="1" si="153"/>
        <v>2558.4933333333333</v>
      </c>
      <c r="W47" s="108">
        <f t="shared" ca="1" si="153"/>
        <v>2725.3966666666665</v>
      </c>
      <c r="X47" s="243">
        <f t="shared" ca="1" si="153"/>
        <v>2915.1066666666666</v>
      </c>
      <c r="Y47" s="108">
        <f t="shared" ca="1" si="153"/>
        <v>0</v>
      </c>
      <c r="Z47" s="95"/>
      <c r="AA47" s="95"/>
      <c r="AB47" s="102" t="str">
        <f t="shared" ref="AB47:AB48" ca="1" si="154">B47</f>
        <v>IJffjes Boys</v>
      </c>
      <c r="AC47" s="103">
        <f t="shared" ca="1" si="122"/>
        <v>-1.2817799958729097</v>
      </c>
      <c r="AD47" s="103">
        <f t="shared" ca="1" si="123"/>
        <v>21.704048084267583</v>
      </c>
      <c r="AE47" s="103">
        <f t="shared" ca="1" si="124"/>
        <v>45.227476698694147</v>
      </c>
      <c r="AF47" s="103">
        <f t="shared" ca="1" si="125"/>
        <v>116.96008603789471</v>
      </c>
      <c r="AG47" s="103">
        <f t="shared" ca="1" si="126"/>
        <v>126.56194764872885</v>
      </c>
      <c r="AH47" s="103">
        <f t="shared" ca="1" si="127"/>
        <v>106.61440702018024</v>
      </c>
      <c r="AI47" s="103">
        <f t="shared" ca="1" si="128"/>
        <v>56.305592074327478</v>
      </c>
      <c r="AJ47" s="103">
        <f t="shared" ca="1" si="129"/>
        <v>55.592653601617258</v>
      </c>
      <c r="AK47" s="103">
        <f t="shared" ca="1" si="130"/>
        <v>17.287104982722212</v>
      </c>
      <c r="AL47" s="103">
        <f t="shared" ca="1" si="131"/>
        <v>-0.60459258126843451</v>
      </c>
      <c r="AM47" s="103">
        <f t="shared" ca="1" si="132"/>
        <v>-24.315751362192032</v>
      </c>
      <c r="AN47" s="103">
        <f t="shared" ca="1" si="133"/>
        <v>-57.359507266896344</v>
      </c>
      <c r="AO47" s="103">
        <f t="shared" ca="1" si="134"/>
        <v>-62.347619157140571</v>
      </c>
      <c r="AP47" s="103">
        <f t="shared" ca="1" si="135"/>
        <v>-65.30316350531939</v>
      </c>
      <c r="AQ47" s="103">
        <f t="shared" ca="1" si="136"/>
        <v>-33.866167066373464</v>
      </c>
      <c r="AR47" s="103">
        <f t="shared" ca="1" si="137"/>
        <v>-44.25465447974284</v>
      </c>
      <c r="AS47" s="103">
        <f t="shared" ca="1" si="138"/>
        <v>-73.119012581645165</v>
      </c>
      <c r="AT47" s="103">
        <f t="shared" ca="1" si="139"/>
        <v>-119.44131597403839</v>
      </c>
      <c r="AU47" s="103">
        <f t="shared" ca="1" si="140"/>
        <v>-123.00235207689093</v>
      </c>
      <c r="AV47" s="103">
        <f t="shared" ca="1" si="141"/>
        <v>-144.78236715918547</v>
      </c>
      <c r="AW47" s="103">
        <f t="shared" ca="1" si="142"/>
        <v>-116.78821549457325</v>
      </c>
      <c r="AX47" s="103">
        <f t="shared" ca="1" si="143"/>
        <v>-179.95531381387309</v>
      </c>
      <c r="AZ47" s="109"/>
      <c r="BC47" s="109"/>
      <c r="BD47" s="110"/>
      <c r="BE47" s="110"/>
    </row>
    <row r="48" spans="1:60" ht="12" customHeight="1">
      <c r="A48" s="97"/>
      <c r="B48" s="101" t="str">
        <f t="shared" ca="1" si="119"/>
        <v>Am Selfkant</v>
      </c>
      <c r="C48" s="108">
        <f ca="1">IF($AA13&lt;&gt;"",C32*$AA13,"")</f>
        <v>154.38928571428568</v>
      </c>
      <c r="D48" s="108">
        <f t="shared" ref="D48:Y48" ca="1" si="155">IF($AA11&lt;&gt;"",D32*$AA11,"")</f>
        <v>336.01048951048949</v>
      </c>
      <c r="E48" s="108">
        <f t="shared" ca="1" si="155"/>
        <v>505.64685314685306</v>
      </c>
      <c r="F48" s="108">
        <f t="shared" ca="1" si="155"/>
        <v>677.45804195804192</v>
      </c>
      <c r="G48" s="108">
        <f t="shared" ca="1" si="155"/>
        <v>791.63636363636351</v>
      </c>
      <c r="H48" s="108">
        <f t="shared" ca="1" si="155"/>
        <v>878.62937062937056</v>
      </c>
      <c r="I48" s="108">
        <f t="shared" ca="1" si="155"/>
        <v>1013.4685314685313</v>
      </c>
      <c r="J48" s="108">
        <f t="shared" ca="1" si="155"/>
        <v>1161.3566433566432</v>
      </c>
      <c r="K48" s="108">
        <f t="shared" ca="1" si="155"/>
        <v>1271.1853146853146</v>
      </c>
      <c r="L48" s="108">
        <f t="shared" ca="1" si="155"/>
        <v>1339.6923076923076</v>
      </c>
      <c r="M48" s="108">
        <f t="shared" ca="1" si="155"/>
        <v>1440.8216783216781</v>
      </c>
      <c r="N48" s="108">
        <f t="shared" ca="1" si="155"/>
        <v>1556.0874125874125</v>
      </c>
      <c r="O48" s="108">
        <f t="shared" ca="1" si="155"/>
        <v>1678.9650349650349</v>
      </c>
      <c r="P48" s="108">
        <f t="shared" ca="1" si="155"/>
        <v>1756.1713286713284</v>
      </c>
      <c r="Q48" s="108">
        <f t="shared" ca="1" si="155"/>
        <v>1887.7482517482515</v>
      </c>
      <c r="R48" s="108">
        <f t="shared" ca="1" si="155"/>
        <v>2010.6258741258739</v>
      </c>
      <c r="S48" s="108">
        <f t="shared" ca="1" si="155"/>
        <v>2120.454545454545</v>
      </c>
      <c r="T48" s="108">
        <f t="shared" ca="1" si="155"/>
        <v>2270.5174825174822</v>
      </c>
      <c r="U48" s="108">
        <f t="shared" ca="1" si="155"/>
        <v>2368.3846153846152</v>
      </c>
      <c r="V48" s="108">
        <f t="shared" ca="1" si="155"/>
        <v>2507.5734265734263</v>
      </c>
      <c r="W48" s="108">
        <f t="shared" ca="1" si="155"/>
        <v>2608.7027972027968</v>
      </c>
      <c r="X48" s="243">
        <f t="shared" ca="1" si="155"/>
        <v>2787.0384615384614</v>
      </c>
      <c r="Y48" s="108">
        <f t="shared" ca="1" si="155"/>
        <v>0</v>
      </c>
      <c r="Z48" s="95"/>
      <c r="AA48" s="95"/>
      <c r="AB48" s="102" t="str">
        <f t="shared" ca="1" si="154"/>
        <v>Am Selfkant</v>
      </c>
      <c r="AC48" s="103">
        <f t="shared" ca="1" si="122"/>
        <v>10.841548271604239</v>
      </c>
      <c r="AD48" s="103">
        <f t="shared" ca="1" si="123"/>
        <v>6.2845375947570687</v>
      </c>
      <c r="AE48" s="103">
        <f t="shared" ca="1" si="124"/>
        <v>-3.7423368211194656</v>
      </c>
      <c r="AF48" s="103">
        <f t="shared" ca="1" si="125"/>
        <v>7.5881279959367021</v>
      </c>
      <c r="AG48" s="103">
        <f t="shared" ca="1" si="126"/>
        <v>21.481644618425776</v>
      </c>
      <c r="AH48" s="103">
        <f t="shared" ca="1" si="127"/>
        <v>-27.579555683782473</v>
      </c>
      <c r="AI48" s="103">
        <f t="shared" ca="1" si="128"/>
        <v>-44.642543123807741</v>
      </c>
      <c r="AJ48" s="103">
        <f t="shared" ca="1" si="129"/>
        <v>-65.407369708406122</v>
      </c>
      <c r="AK48" s="103">
        <f t="shared" ca="1" si="130"/>
        <v>-73.707580331963072</v>
      </c>
      <c r="AL48" s="103">
        <f t="shared" ca="1" si="131"/>
        <v>-42.788951555627364</v>
      </c>
      <c r="AM48" s="103">
        <f t="shared" ca="1" si="132"/>
        <v>-91.844073040513877</v>
      </c>
      <c r="AN48" s="103">
        <f t="shared" ca="1" si="133"/>
        <v>-100.84876134615047</v>
      </c>
      <c r="AO48" s="103">
        <f t="shared" ca="1" si="134"/>
        <v>-90.772584192105569</v>
      </c>
      <c r="AP48" s="103">
        <f t="shared" ca="1" si="135"/>
        <v>-93.235168167324218</v>
      </c>
      <c r="AQ48" s="103">
        <f t="shared" ca="1" si="136"/>
        <v>-109.56458198478845</v>
      </c>
      <c r="AR48" s="103">
        <f t="shared" ca="1" si="137"/>
        <v>-98.668780353868897</v>
      </c>
      <c r="AS48" s="103">
        <f t="shared" ca="1" si="138"/>
        <v>-131.73780046043339</v>
      </c>
      <c r="AT48" s="103">
        <f t="shared" ca="1" si="139"/>
        <v>-167.94716678988925</v>
      </c>
      <c r="AU48" s="103">
        <f t="shared" ca="1" si="140"/>
        <v>-200.11440335894213</v>
      </c>
      <c r="AV48" s="103">
        <f t="shared" ca="1" si="141"/>
        <v>-195.70227391909248</v>
      </c>
      <c r="AW48" s="103">
        <f t="shared" ca="1" si="142"/>
        <v>-233.48208495844301</v>
      </c>
      <c r="AX48" s="103">
        <f t="shared" ca="1" si="143"/>
        <v>-308.02351894207823</v>
      </c>
      <c r="AZ48" s="109"/>
      <c r="BC48" s="109"/>
      <c r="BD48" s="110"/>
      <c r="BE48" s="110"/>
    </row>
    <row r="49" spans="1:57" ht="12" customHeight="1">
      <c r="A49" s="97"/>
      <c r="B49" s="101" t="str">
        <f t="shared" ca="1" si="119"/>
        <v>Kol de la Madeleine</v>
      </c>
      <c r="C49" s="108">
        <f ca="1">IF($AA14&lt;&gt;"",C33*$AA14,"")</f>
        <v>140.74452554744528</v>
      </c>
      <c r="D49" s="108">
        <f t="shared" ref="D49:Y49" ca="1" si="156">IF($AA12&lt;&gt;"",D33*$AA12,"")</f>
        <v>285.63475177304969</v>
      </c>
      <c r="E49" s="108">
        <f t="shared" ca="1" si="156"/>
        <v>435.62056737588654</v>
      </c>
      <c r="F49" s="108">
        <f t="shared" ca="1" si="156"/>
        <v>581.19503546099293</v>
      </c>
      <c r="G49" s="108">
        <f t="shared" ca="1" si="156"/>
        <v>702.50709219858163</v>
      </c>
      <c r="H49" s="108">
        <f t="shared" ca="1" si="156"/>
        <v>859.10992907801426</v>
      </c>
      <c r="I49" s="108">
        <f t="shared" ca="1" si="156"/>
        <v>1017.9184397163122</v>
      </c>
      <c r="J49" s="108">
        <f t="shared" ca="1" si="156"/>
        <v>1195.4751773049647</v>
      </c>
      <c r="K49" s="108">
        <f t="shared" ca="1" si="156"/>
        <v>1312.3758865248228</v>
      </c>
      <c r="L49" s="108">
        <f t="shared" ca="1" si="156"/>
        <v>1346.5638297872342</v>
      </c>
      <c r="M49" s="108">
        <f t="shared" ca="1" si="156"/>
        <v>1507.5780141843973</v>
      </c>
      <c r="N49" s="108">
        <f t="shared" ca="1" si="156"/>
        <v>1635.5070921985816</v>
      </c>
      <c r="O49" s="108">
        <f t="shared" ca="1" si="156"/>
        <v>1729.2482269503548</v>
      </c>
      <c r="P49" s="108">
        <f t="shared" ca="1" si="156"/>
        <v>1843.9432624113476</v>
      </c>
      <c r="Q49" s="108">
        <f t="shared" ca="1" si="156"/>
        <v>1946.5070921985816</v>
      </c>
      <c r="R49" s="108">
        <f t="shared" ca="1" si="156"/>
        <v>2028.117021276596</v>
      </c>
      <c r="S49" s="108">
        <f t="shared" ca="1" si="156"/>
        <v>2194.6453900709221</v>
      </c>
      <c r="T49" s="108">
        <f t="shared" ca="1" si="156"/>
        <v>2388.744680851064</v>
      </c>
      <c r="U49" s="108">
        <f t="shared" ca="1" si="156"/>
        <v>2524.3936170212769</v>
      </c>
      <c r="V49" s="108">
        <f t="shared" ca="1" si="156"/>
        <v>2657.8368794326243</v>
      </c>
      <c r="W49" s="108">
        <f t="shared" ca="1" si="156"/>
        <v>2799.0000000000005</v>
      </c>
      <c r="X49" s="243">
        <f t="shared" ca="1" si="156"/>
        <v>3078.0177304964541</v>
      </c>
      <c r="Y49" s="108">
        <f t="shared" ca="1" si="156"/>
        <v>0</v>
      </c>
      <c r="Z49" s="95"/>
      <c r="AA49" s="95"/>
      <c r="AB49" s="102" t="str">
        <f t="shared" ca="1" si="145"/>
        <v>Kol de la Madeleine</v>
      </c>
      <c r="AC49" s="103">
        <f t="shared" ca="1" si="122"/>
        <v>-2.80321189523616</v>
      </c>
      <c r="AD49" s="103">
        <f t="shared" ca="1" si="123"/>
        <v>-44.091200142682737</v>
      </c>
      <c r="AE49" s="103">
        <f t="shared" ca="1" si="124"/>
        <v>-73.76862259208599</v>
      </c>
      <c r="AF49" s="103">
        <f t="shared" ca="1" si="125"/>
        <v>-88.674878501112289</v>
      </c>
      <c r="AG49" s="103">
        <f t="shared" ca="1" si="126"/>
        <v>-67.647626819356105</v>
      </c>
      <c r="AH49" s="103">
        <f t="shared" ca="1" si="127"/>
        <v>-47.098997235138768</v>
      </c>
      <c r="AI49" s="103">
        <f t="shared" ca="1" si="128"/>
        <v>-40.192634876026887</v>
      </c>
      <c r="AJ49" s="103">
        <f t="shared" ca="1" si="129"/>
        <v>-31.288835760084567</v>
      </c>
      <c r="AK49" s="103">
        <f t="shared" ca="1" si="130"/>
        <v>-32.517008492454806</v>
      </c>
      <c r="AL49" s="103">
        <f t="shared" ca="1" si="131"/>
        <v>-35.91742946070076</v>
      </c>
      <c r="AM49" s="103">
        <f t="shared" ca="1" si="132"/>
        <v>-25.087737177794679</v>
      </c>
      <c r="AN49" s="103">
        <f t="shared" ca="1" si="133"/>
        <v>-21.42908173498131</v>
      </c>
      <c r="AO49" s="103">
        <f t="shared" ca="1" si="134"/>
        <v>-40.489392206785624</v>
      </c>
      <c r="AP49" s="103">
        <f t="shared" ca="1" si="135"/>
        <v>-5.4632344273049966</v>
      </c>
      <c r="AQ49" s="103">
        <f t="shared" ca="1" si="136"/>
        <v>-50.805741534458321</v>
      </c>
      <c r="AR49" s="103">
        <f t="shared" ca="1" si="137"/>
        <v>-81.177633203146797</v>
      </c>
      <c r="AS49" s="103">
        <f t="shared" ca="1" si="138"/>
        <v>-57.546955844056356</v>
      </c>
      <c r="AT49" s="103">
        <f t="shared" ca="1" si="139"/>
        <v>-49.71996845630747</v>
      </c>
      <c r="AU49" s="103">
        <f t="shared" ca="1" si="140"/>
        <v>-44.105401722280476</v>
      </c>
      <c r="AV49" s="103">
        <f t="shared" ca="1" si="141"/>
        <v>-45.438821059894508</v>
      </c>
      <c r="AW49" s="103">
        <f t="shared" ca="1" si="142"/>
        <v>-43.184882161239329</v>
      </c>
      <c r="AX49" s="103">
        <f t="shared" ca="1" si="143"/>
        <v>-17.044249984085582</v>
      </c>
      <c r="AZ49" s="109"/>
      <c r="BC49" s="109"/>
      <c r="BD49" s="110"/>
      <c r="BE49" s="110"/>
    </row>
    <row r="50" spans="1:57" ht="12" customHeight="1">
      <c r="A50" s="97"/>
      <c r="B50" s="101"/>
      <c r="C50" s="108"/>
      <c r="D50" s="108"/>
      <c r="E50" s="108"/>
      <c r="F50" s="108"/>
      <c r="G50" s="108"/>
      <c r="H50" s="108"/>
      <c r="I50" s="108"/>
      <c r="J50" s="108"/>
      <c r="K50" s="108"/>
      <c r="L50" s="108"/>
      <c r="M50" s="108"/>
      <c r="N50" s="108"/>
      <c r="O50" s="108"/>
      <c r="P50" s="108"/>
      <c r="Q50" s="108"/>
      <c r="R50" s="108"/>
      <c r="S50" s="108"/>
      <c r="T50" s="108"/>
      <c r="U50" s="108"/>
      <c r="V50" s="108"/>
      <c r="W50" s="108"/>
      <c r="X50" s="243"/>
      <c r="Z50" s="95"/>
      <c r="AA50" s="95"/>
      <c r="AB50" s="102">
        <f t="shared" si="121"/>
        <v>0</v>
      </c>
      <c r="AC50" s="111">
        <f t="shared" ref="AC50:AX50" ca="1" si="157">AVERAGE(C38:C49)</f>
        <v>143.54773744268144</v>
      </c>
      <c r="AD50" s="111">
        <f t="shared" ca="1" si="157"/>
        <v>329.72595191573242</v>
      </c>
      <c r="AE50" s="111">
        <f t="shared" ca="1" si="157"/>
        <v>509.38918996797253</v>
      </c>
      <c r="AF50" s="111">
        <f t="shared" ca="1" si="157"/>
        <v>669.86991396210522</v>
      </c>
      <c r="AG50" s="111">
        <f t="shared" ca="1" si="157"/>
        <v>770.15471901793774</v>
      </c>
      <c r="AH50" s="111">
        <f t="shared" ca="1" si="157"/>
        <v>906.20892631315303</v>
      </c>
      <c r="AI50" s="111">
        <f t="shared" ca="1" si="157"/>
        <v>1058.111074592339</v>
      </c>
      <c r="AJ50" s="111">
        <f t="shared" ca="1" si="157"/>
        <v>1226.7640130650493</v>
      </c>
      <c r="AK50" s="111">
        <f t="shared" ca="1" si="157"/>
        <v>1344.8928950172776</v>
      </c>
      <c r="AL50" s="111">
        <f t="shared" ca="1" si="157"/>
        <v>1382.481259247935</v>
      </c>
      <c r="AM50" s="111">
        <f t="shared" ca="1" si="157"/>
        <v>1532.6657513621919</v>
      </c>
      <c r="AN50" s="111">
        <f t="shared" ca="1" si="157"/>
        <v>1656.9361739335629</v>
      </c>
      <c r="AO50" s="111">
        <f t="shared" ca="1" si="157"/>
        <v>1769.7376191571404</v>
      </c>
      <c r="AP50" s="111">
        <f t="shared" ca="1" si="157"/>
        <v>1849.4064968386526</v>
      </c>
      <c r="AQ50" s="111">
        <f t="shared" ca="1" si="157"/>
        <v>1997.31283373304</v>
      </c>
      <c r="AR50" s="111">
        <f t="shared" ca="1" si="157"/>
        <v>2109.2946544797428</v>
      </c>
      <c r="AS50" s="111">
        <f t="shared" ca="1" si="157"/>
        <v>2252.1923459149784</v>
      </c>
      <c r="AT50" s="111">
        <f t="shared" ca="1" si="157"/>
        <v>2438.4646493073715</v>
      </c>
      <c r="AU50" s="111">
        <f t="shared" ca="1" si="157"/>
        <v>2568.4990187435574</v>
      </c>
      <c r="AV50" s="111">
        <f t="shared" ca="1" si="157"/>
        <v>2703.2757004925188</v>
      </c>
      <c r="AW50" s="111">
        <f t="shared" ca="1" si="157"/>
        <v>2842.1848821612398</v>
      </c>
      <c r="AX50" s="111">
        <f t="shared" ca="1" si="157"/>
        <v>3095.0619804805397</v>
      </c>
      <c r="AY50" s="107"/>
      <c r="AZ50" s="107"/>
      <c r="BA50" s="110"/>
      <c r="BB50" s="110"/>
      <c r="BC50" s="110"/>
      <c r="BD50" s="110"/>
      <c r="BE50" s="110"/>
    </row>
    <row r="51" spans="1:57" s="95" customFormat="1" ht="12" customHeight="1" thickBot="1">
      <c r="B51" s="100" t="s">
        <v>5</v>
      </c>
      <c r="C51" s="96">
        <f t="shared" ref="C51:X51" si="158">C37</f>
        <v>1</v>
      </c>
      <c r="D51" s="96">
        <f t="shared" si="158"/>
        <v>2</v>
      </c>
      <c r="E51" s="96">
        <f t="shared" si="158"/>
        <v>3</v>
      </c>
      <c r="F51" s="96">
        <f t="shared" si="158"/>
        <v>4</v>
      </c>
      <c r="G51" s="96">
        <f t="shared" si="158"/>
        <v>5</v>
      </c>
      <c r="H51" s="96">
        <f t="shared" si="158"/>
        <v>6</v>
      </c>
      <c r="I51" s="96">
        <f t="shared" si="158"/>
        <v>7</v>
      </c>
      <c r="J51" s="96">
        <f t="shared" si="158"/>
        <v>8</v>
      </c>
      <c r="K51" s="96">
        <f t="shared" si="158"/>
        <v>9</v>
      </c>
      <c r="L51" s="96">
        <f t="shared" si="158"/>
        <v>10</v>
      </c>
      <c r="M51" s="96">
        <f t="shared" si="158"/>
        <v>11</v>
      </c>
      <c r="N51" s="96">
        <f t="shared" si="158"/>
        <v>12</v>
      </c>
      <c r="O51" s="96">
        <f t="shared" si="158"/>
        <v>13</v>
      </c>
      <c r="P51" s="96">
        <f t="shared" si="158"/>
        <v>14</v>
      </c>
      <c r="Q51" s="96">
        <f t="shared" si="158"/>
        <v>15</v>
      </c>
      <c r="R51" s="96">
        <f t="shared" si="158"/>
        <v>16</v>
      </c>
      <c r="S51" s="96">
        <f t="shared" si="158"/>
        <v>17</v>
      </c>
      <c r="T51" s="96">
        <f t="shared" si="158"/>
        <v>18</v>
      </c>
      <c r="U51" s="96">
        <f t="shared" si="158"/>
        <v>19</v>
      </c>
      <c r="V51" s="96">
        <f t="shared" si="158"/>
        <v>20</v>
      </c>
      <c r="W51" s="96">
        <f t="shared" si="158"/>
        <v>21</v>
      </c>
      <c r="X51" s="357" t="str">
        <f t="shared" si="158"/>
        <v>B</v>
      </c>
      <c r="AB51" s="106"/>
      <c r="AC51" s="244" t="s">
        <v>124</v>
      </c>
      <c r="AZ51" s="112"/>
      <c r="BA51" s="112"/>
      <c r="BB51" s="112"/>
      <c r="BC51" s="112"/>
      <c r="BD51" s="112"/>
      <c r="BE51" s="112"/>
    </row>
    <row r="52" spans="1:57" ht="12" customHeight="1">
      <c r="A52" s="113">
        <v>1</v>
      </c>
      <c r="B52" s="114" t="str">
        <f t="shared" ref="B52:B63" ca="1" si="159">INDEX(lijst_teams,MATCH(A52,$Z$3:$Z$19,0))</f>
        <v xml:space="preserve">Majella køp dr vør </v>
      </c>
      <c r="C52" s="108">
        <f t="shared" ref="C52:C63" ca="1" si="160">VLOOKUP($B52,$B$3:$Y$18,2,0)</f>
        <v>193</v>
      </c>
      <c r="D52" s="108">
        <f t="shared" ref="D52:D63" ca="1" si="161">VLOOKUP($B52,$B$3:$Y$18,3,0)</f>
        <v>205</v>
      </c>
      <c r="E52" s="108">
        <f t="shared" ref="E52:E63" ca="1" si="162">VLOOKUP($B52,$B$3:$Y$18,4,0)</f>
        <v>193</v>
      </c>
      <c r="F52" s="108">
        <f t="shared" ref="F52:F63" ca="1" si="163">VLOOKUP($B52,$B$3:$Y$18,5,0)</f>
        <v>167</v>
      </c>
      <c r="G52" s="108">
        <f t="shared" ref="G52:G63" ca="1" si="164">VLOOKUP($B52,$B$3:$Y$18,6,0)</f>
        <v>102</v>
      </c>
      <c r="H52" s="108">
        <f t="shared" ref="H52:H63" ca="1" si="165">VLOOKUP($B52,$B$3:$Y$18,7,0)</f>
        <v>157</v>
      </c>
      <c r="I52" s="108">
        <f t="shared" ref="I52:I63" ca="1" si="166">VLOOKUP($B52,$B$3:$Y$18,8,0)</f>
        <v>177</v>
      </c>
      <c r="J52" s="108">
        <f t="shared" ref="J52:J63" ca="1" si="167">VLOOKUP($B52,$B$3:$Y$18,9,0)</f>
        <v>177</v>
      </c>
      <c r="K52" s="108">
        <f t="shared" ref="K52:K63" ca="1" si="168">VLOOKUP($B52,$B$3:$Y$18,10,0)</f>
        <v>150</v>
      </c>
      <c r="L52" s="108">
        <f t="shared" ref="L52:L63" ca="1" si="169">VLOOKUP($B52,$B$3:$Y$18,11,0)</f>
        <v>41</v>
      </c>
      <c r="M52" s="108">
        <f t="shared" ref="M52:M63" ca="1" si="170">VLOOKUP($B52,$B$3:$Y$18,12,0)</f>
        <v>203</v>
      </c>
      <c r="N52" s="108">
        <f t="shared" ref="N52:N63" ca="1" si="171">VLOOKUP($B52,$B$3:$Y$18,13,0)</f>
        <v>163</v>
      </c>
      <c r="O52" s="108">
        <f t="shared" ref="O52:O63" ca="1" si="172">VLOOKUP($B52,$B$3:$Y$18,14,0)</f>
        <v>144</v>
      </c>
      <c r="P52" s="108">
        <f t="shared" ref="P52:P63" ca="1" si="173">VLOOKUP($B52,$B$3:$Y$18,15,0)</f>
        <v>115</v>
      </c>
      <c r="Q52" s="108">
        <f t="shared" ref="Q52:Q63" ca="1" si="174">VLOOKUP($B52,$B$3:$Y$18,16,0)</f>
        <v>177</v>
      </c>
      <c r="R52" s="108">
        <f t="shared" ref="R52:R63" ca="1" si="175">VLOOKUP($B52,$B$3:$Y$18,17,0)</f>
        <v>106</v>
      </c>
      <c r="S52" s="108">
        <f t="shared" ref="S52:S63" ca="1" si="176">VLOOKUP($B52,$B$3:$Y$18,18,0)</f>
        <v>171</v>
      </c>
      <c r="T52" s="108">
        <f t="shared" ref="T52:T63" ca="1" si="177">VLOOKUP($B52,$B$3:$Y$18,19,0)</f>
        <v>218</v>
      </c>
      <c r="U52" s="108">
        <f t="shared" ref="U52:U63" ca="1" si="178">VLOOKUP($B52,$B$3:$Y$18,20,0)</f>
        <v>158</v>
      </c>
      <c r="V52" s="108">
        <f t="shared" ref="V52:V63" ca="1" si="179">VLOOKUP($B52,$B$3:$Y$18,21,0)</f>
        <v>166</v>
      </c>
      <c r="W52" s="108">
        <f t="shared" ref="W52:W63" ca="1" si="180">VLOOKUP($B52,$B$3:$Y$18,22,0)</f>
        <v>174</v>
      </c>
      <c r="X52" s="285">
        <f ca="1">VLOOKUP($B52,$B$3:$Y$18,23,0)</f>
        <v>335</v>
      </c>
      <c r="Y52" s="99"/>
      <c r="Z52" s="154">
        <f t="shared" ref="Z52:Z63" ca="1" si="181">SUM(C52:Y52)</f>
        <v>3692</v>
      </c>
      <c r="AA52" s="99"/>
      <c r="AB52" s="115">
        <f ca="1">Z52/Score!$AG$20</f>
        <v>0.82632997366065397</v>
      </c>
      <c r="AC52" s="94">
        <f ca="1">RANK((SUM($C52:C52)),C$22:C$33,0)</f>
        <v>1</v>
      </c>
      <c r="AD52" s="94">
        <f ca="1">RANK((SUM($C52:D52)),D$22:D$33,0)</f>
        <v>2</v>
      </c>
      <c r="AE52" s="94">
        <f ca="1">RANK((SUM($C52:E52)),E$22:E$33,0)</f>
        <v>2</v>
      </c>
      <c r="AF52" s="94">
        <f ca="1">RANK((SUM($C52:F52)),F$22:F$33,0)</f>
        <v>4</v>
      </c>
      <c r="AG52" s="94">
        <f ca="1">RANK((SUM($C52:G52)),G$22:G$33,0)</f>
        <v>3</v>
      </c>
      <c r="AH52" s="94">
        <f ca="1">RANK((SUM($C52:H52)),H$22:H$33,0)</f>
        <v>2</v>
      </c>
      <c r="AI52" s="94">
        <f ca="1">RANK((SUM($C52:I52)),I$22:I$33,0)</f>
        <v>1</v>
      </c>
      <c r="AJ52" s="94">
        <f ca="1">RANK((SUM($C52:J52)),J$22:J$33,0)</f>
        <v>1</v>
      </c>
      <c r="AK52" s="94">
        <f ca="1">RANK((SUM($C52:K52)),K$22:K$33,0)</f>
        <v>1</v>
      </c>
      <c r="AL52" s="94">
        <f ca="1">RANK((SUM($C52:L52)),L$22:L$33,0)</f>
        <v>1</v>
      </c>
      <c r="AM52" s="94">
        <f ca="1">RANK((SUM($C52:M52)),M$22:M$33,0)</f>
        <v>1</v>
      </c>
      <c r="AN52" s="94">
        <f ca="1">RANK((SUM($C52:N52)),N$22:N$33,0)</f>
        <v>1</v>
      </c>
      <c r="AO52" s="94">
        <f ca="1">RANK((SUM($C52:O52)),O$22:O$33,0)</f>
        <v>1</v>
      </c>
      <c r="AP52" s="94">
        <f ca="1">RANK((SUM($C52:P52)),P$22:P$33,0)</f>
        <v>1</v>
      </c>
      <c r="AQ52" s="94">
        <f ca="1">RANK((SUM($C52:Q52)),Q$22:Q$33,0)</f>
        <v>1</v>
      </c>
      <c r="AR52" s="94">
        <f ca="1">RANK((SUM($C52:R52)),R$22:R$33,0)</f>
        <v>1</v>
      </c>
      <c r="AS52" s="94">
        <f ca="1">RANK((SUM($C52:S52)),S$22:S$33,0)</f>
        <v>1</v>
      </c>
      <c r="AT52" s="94">
        <f ca="1">RANK((SUM($C52:T52)),T$22:T$33,0)</f>
        <v>1</v>
      </c>
      <c r="AU52" s="94">
        <f ca="1">RANK((SUM($C52:U52)),U$22:U$33,0)</f>
        <v>1</v>
      </c>
      <c r="AV52" s="94">
        <f ca="1">RANK((SUM($C52:V52)),V$22:V$33,0)</f>
        <v>1</v>
      </c>
      <c r="AW52" s="94">
        <f ca="1">RANK((SUM($C52:W52)),W$22:W$33,0)</f>
        <v>1</v>
      </c>
      <c r="AX52" s="94">
        <f ca="1">RANK((SUM($C52:X52)),X$22:X$33,0)</f>
        <v>1</v>
      </c>
    </row>
    <row r="53" spans="1:57" ht="11.25" customHeight="1">
      <c r="A53" s="113">
        <v>2</v>
      </c>
      <c r="B53" s="114" t="str">
        <f t="shared" ca="1" si="159"/>
        <v>Tins Tour Toppers</v>
      </c>
      <c r="C53" s="108">
        <f t="shared" ca="1" si="160"/>
        <v>128</v>
      </c>
      <c r="D53" s="108">
        <f t="shared" ca="1" si="161"/>
        <v>188</v>
      </c>
      <c r="E53" s="108">
        <f t="shared" ca="1" si="162"/>
        <v>192</v>
      </c>
      <c r="F53" s="108">
        <f t="shared" ca="1" si="163"/>
        <v>140</v>
      </c>
      <c r="G53" s="108">
        <f t="shared" ca="1" si="164"/>
        <v>99</v>
      </c>
      <c r="H53" s="108">
        <f t="shared" ca="1" si="165"/>
        <v>157</v>
      </c>
      <c r="I53" s="108">
        <f t="shared" ca="1" si="166"/>
        <v>178</v>
      </c>
      <c r="J53" s="108">
        <f t="shared" ca="1" si="167"/>
        <v>170</v>
      </c>
      <c r="K53" s="108">
        <f t="shared" ca="1" si="168"/>
        <v>140</v>
      </c>
      <c r="L53" s="108">
        <f t="shared" ca="1" si="169"/>
        <v>35</v>
      </c>
      <c r="M53" s="282">
        <f t="shared" ca="1" si="170"/>
        <v>178</v>
      </c>
      <c r="N53" s="282">
        <f t="shared" ca="1" si="171"/>
        <v>171</v>
      </c>
      <c r="O53" s="282">
        <f t="shared" ca="1" si="172"/>
        <v>122</v>
      </c>
      <c r="P53" s="282">
        <f t="shared" ca="1" si="173"/>
        <v>74</v>
      </c>
      <c r="Q53" s="108">
        <f t="shared" ca="1" si="174"/>
        <v>179</v>
      </c>
      <c r="R53" s="108">
        <f t="shared" ca="1" si="175"/>
        <v>131</v>
      </c>
      <c r="S53" s="108">
        <f t="shared" ca="1" si="176"/>
        <v>191</v>
      </c>
      <c r="T53" s="108">
        <f t="shared" ca="1" si="177"/>
        <v>228</v>
      </c>
      <c r="U53" s="108">
        <f t="shared" ca="1" si="178"/>
        <v>178</v>
      </c>
      <c r="V53" s="108">
        <f t="shared" ca="1" si="179"/>
        <v>132</v>
      </c>
      <c r="W53" s="108">
        <f t="shared" ca="1" si="180"/>
        <v>176</v>
      </c>
      <c r="X53" s="283">
        <f t="shared" ref="X53:X63" ca="1" si="182">VLOOKUP($B53,$B$3:$Y$18,23,0)</f>
        <v>317</v>
      </c>
      <c r="Y53" s="99"/>
      <c r="Z53" s="154">
        <f t="shared" ca="1" si="181"/>
        <v>3504</v>
      </c>
      <c r="AA53" s="99"/>
      <c r="AB53" s="115">
        <f ca="1">Z53/Score!$AG$20</f>
        <v>0.78425249937890895</v>
      </c>
      <c r="AC53" s="94">
        <f ca="1">RANK((SUM($C53:C53)),C$22:C$33,0)</f>
        <v>9</v>
      </c>
      <c r="AD53" s="94">
        <f ca="1">RANK((SUM($C53:D53)),D$22:D$33,0)</f>
        <v>8</v>
      </c>
      <c r="AE53" s="94">
        <f ca="1">RANK((SUM($C53:E53)),E$22:E$33,0)</f>
        <v>6</v>
      </c>
      <c r="AF53" s="94">
        <f ca="1">RANK((SUM($C53:F53)),F$22:F$33,0)</f>
        <v>7</v>
      </c>
      <c r="AG53" s="94">
        <f ca="1">RANK((SUM($C53:G53)),G$22:G$33,0)</f>
        <v>7</v>
      </c>
      <c r="AH53" s="94">
        <f ca="1">RANK((SUM($C53:H53)),H$22:H$33,0)</f>
        <v>7</v>
      </c>
      <c r="AI53" s="94">
        <f ca="1">RANK((SUM($C53:I53)),I$22:I$33,0)</f>
        <v>6</v>
      </c>
      <c r="AJ53" s="94">
        <f ca="1">RANK((SUM($C53:J53)),J$22:J$33,0)</f>
        <v>7</v>
      </c>
      <c r="AK53" s="94">
        <f ca="1">RANK((SUM($C53:K53)),K$22:K$33,0)</f>
        <v>5</v>
      </c>
      <c r="AL53" s="94">
        <f ca="1">RANK((SUM($C53:L53)),L$22:L$33,0)</f>
        <v>5</v>
      </c>
      <c r="AM53" s="94">
        <f ca="1">RANK((SUM($C53:M53)),M$22:M$33,0)</f>
        <v>5</v>
      </c>
      <c r="AN53" s="94">
        <f ca="1">RANK((SUM($C53:N53)),N$22:N$33,0)</f>
        <v>4</v>
      </c>
      <c r="AO53" s="94">
        <f ca="1">RANK((SUM($C53:O53)),O$22:O$33,0)</f>
        <v>4</v>
      </c>
      <c r="AP53" s="94">
        <f ca="1">RANK((SUM($C53:P53)),P$22:P$33,0)</f>
        <v>4</v>
      </c>
      <c r="AQ53" s="94">
        <f ca="1">RANK((SUM($C53:Q53)),Q$22:Q$33,0)</f>
        <v>4</v>
      </c>
      <c r="AR53" s="94">
        <f ca="1">RANK((SUM($C53:R53)),R$22:R$33,0)</f>
        <v>4</v>
      </c>
      <c r="AS53" s="94">
        <f ca="1">RANK((SUM($C53:S53)),S$22:S$33,0)</f>
        <v>4</v>
      </c>
      <c r="AT53" s="94">
        <f ca="1">RANK((SUM($C53:T53)),T$22:T$33,0)</f>
        <v>3</v>
      </c>
      <c r="AU53" s="94">
        <f ca="1">RANK((SUM($C53:U53)),U$22:U$33,0)</f>
        <v>2</v>
      </c>
      <c r="AV53" s="94">
        <f ca="1">RANK((SUM($C53:V53)),V$22:V$33,0)</f>
        <v>2</v>
      </c>
      <c r="AW53" s="94">
        <f ca="1">RANK((SUM($C53:W53)),W$22:W$33,0)</f>
        <v>2</v>
      </c>
      <c r="AX53" s="94">
        <f ca="1">RANK((SUM($C53:X53)),X$22:X$33,0)</f>
        <v>2</v>
      </c>
    </row>
    <row r="54" spans="1:57" ht="12" customHeight="1">
      <c r="A54" s="97">
        <v>3</v>
      </c>
      <c r="B54" s="114" t="str">
        <f t="shared" ca="1" si="159"/>
        <v>Lothar blijft positief</v>
      </c>
      <c r="C54" s="108">
        <f t="shared" ca="1" si="160"/>
        <v>171</v>
      </c>
      <c r="D54" s="108">
        <f t="shared" ca="1" si="161"/>
        <v>154</v>
      </c>
      <c r="E54" s="108">
        <f t="shared" ca="1" si="162"/>
        <v>133</v>
      </c>
      <c r="F54" s="108">
        <f t="shared" ca="1" si="163"/>
        <v>131</v>
      </c>
      <c r="G54" s="108">
        <f t="shared" ca="1" si="164"/>
        <v>83</v>
      </c>
      <c r="H54" s="108">
        <f t="shared" ca="1" si="165"/>
        <v>209</v>
      </c>
      <c r="I54" s="108">
        <f t="shared" ca="1" si="166"/>
        <v>198</v>
      </c>
      <c r="J54" s="108">
        <f t="shared" ca="1" si="167"/>
        <v>227</v>
      </c>
      <c r="K54" s="108">
        <f t="shared" ca="1" si="168"/>
        <v>142</v>
      </c>
      <c r="L54" s="108">
        <f t="shared" ca="1" si="169"/>
        <v>42</v>
      </c>
      <c r="M54" s="282">
        <f t="shared" ca="1" si="170"/>
        <v>190</v>
      </c>
      <c r="N54" s="282">
        <f t="shared" ca="1" si="171"/>
        <v>178</v>
      </c>
      <c r="O54" s="282">
        <f t="shared" ca="1" si="172"/>
        <v>113</v>
      </c>
      <c r="P54" s="282">
        <f t="shared" ca="1" si="173"/>
        <v>113</v>
      </c>
      <c r="Q54" s="108">
        <f t="shared" ca="1" si="174"/>
        <v>129</v>
      </c>
      <c r="R54" s="108">
        <f t="shared" ca="1" si="175"/>
        <v>109</v>
      </c>
      <c r="S54" s="108">
        <f t="shared" ca="1" si="176"/>
        <v>170</v>
      </c>
      <c r="T54" s="108">
        <f t="shared" ca="1" si="177"/>
        <v>209</v>
      </c>
      <c r="U54" s="108">
        <f t="shared" ca="1" si="178"/>
        <v>132</v>
      </c>
      <c r="V54" s="108">
        <f t="shared" ca="1" si="179"/>
        <v>150</v>
      </c>
      <c r="W54" s="108">
        <f t="shared" ca="1" si="180"/>
        <v>112</v>
      </c>
      <c r="X54" s="283">
        <f t="shared" ca="1" si="182"/>
        <v>292</v>
      </c>
      <c r="Y54" s="99"/>
      <c r="Z54" s="154">
        <f ca="1">SUM(C54:Y54)</f>
        <v>3387</v>
      </c>
      <c r="AA54" s="99"/>
      <c r="AB54" s="115">
        <f ca="1">Z54/Score!$AG$20</f>
        <v>0.75806598612909948</v>
      </c>
      <c r="AC54" s="94">
        <f ca="1">RANK((SUM($C54:C54)),C$22:C$33,0)</f>
        <v>3</v>
      </c>
      <c r="AD54" s="94">
        <f ca="1">RANK((SUM($C54:D54)),D$22:D$33,0)</f>
        <v>6</v>
      </c>
      <c r="AE54" s="94">
        <f ca="1">RANK((SUM($C54:E54)),E$22:E$33,0)</f>
        <v>10</v>
      </c>
      <c r="AF54" s="94">
        <f ca="1">RANK((SUM($C54:F54)),F$22:F$33,0)</f>
        <v>10</v>
      </c>
      <c r="AG54" s="94">
        <f ca="1">RANK((SUM($C54:G54)),G$22:G$33,0)</f>
        <v>10</v>
      </c>
      <c r="AH54" s="94">
        <f ca="1">RANK((SUM($C54:H54)),H$22:H$33,0)</f>
        <v>8</v>
      </c>
      <c r="AI54" s="94">
        <f ca="1">RANK((SUM($C54:I54)),I$22:I$33,0)</f>
        <v>7</v>
      </c>
      <c r="AJ54" s="94">
        <f ca="1">RANK((SUM($C54:J54)),J$22:J$33,0)</f>
        <v>4</v>
      </c>
      <c r="AK54" s="94">
        <f ca="1">RANK((SUM($C54:K54)),K$22:K$33,0)</f>
        <v>3</v>
      </c>
      <c r="AL54" s="94">
        <f ca="1">RANK((SUM($C54:L54)),L$22:L$33,0)</f>
        <v>3</v>
      </c>
      <c r="AM54" s="94">
        <f ca="1">RANK((SUM($C54:M54)),M$22:M$33,0)</f>
        <v>3</v>
      </c>
      <c r="AN54" s="94">
        <f ca="1">RANK((SUM($C54:N54)),N$22:N$33,0)</f>
        <v>2</v>
      </c>
      <c r="AO54" s="94">
        <f ca="1">RANK((SUM($C54:O54)),O$22:O$33,0)</f>
        <v>3</v>
      </c>
      <c r="AP54" s="94">
        <f ca="1">RANK((SUM($C54:P54)),P$22:P$33,0)</f>
        <v>2</v>
      </c>
      <c r="AQ54" s="94">
        <f ca="1">RANK((SUM($C54:Q54)),Q$22:Q$33,0)</f>
        <v>3</v>
      </c>
      <c r="AR54" s="94">
        <f ca="1">RANK((SUM($C54:R54)),R$22:R$33,0)</f>
        <v>3</v>
      </c>
      <c r="AS54" s="94">
        <f ca="1">RANK((SUM($C54:S54)),S$22:S$33,0)</f>
        <v>3</v>
      </c>
      <c r="AT54" s="94">
        <f ca="1">RANK((SUM($C54:T54)),T$22:T$33,0)</f>
        <v>3</v>
      </c>
      <c r="AU54" s="94">
        <f ca="1">RANK((SUM($C54:U54)),U$22:U$33,0)</f>
        <v>4</v>
      </c>
      <c r="AV54" s="94">
        <f ca="1">RANK((SUM($C54:V54)),V$22:V$33,0)</f>
        <v>4</v>
      </c>
      <c r="AW54" s="94">
        <f ca="1">RANK((SUM($C54:W54)),W$22:W$33,0)</f>
        <v>4</v>
      </c>
      <c r="AX54" s="94">
        <f ca="1">RANK((SUM($C54:X54)),X$22:X$33,0)</f>
        <v>3</v>
      </c>
    </row>
    <row r="55" spans="1:57" ht="12" customHeight="1">
      <c r="A55" s="113">
        <v>4</v>
      </c>
      <c r="B55" s="114" t="str">
        <f t="shared" ca="1" si="159"/>
        <v>Onder de vod</v>
      </c>
      <c r="C55" s="108">
        <f t="shared" ca="1" si="160"/>
        <v>149</v>
      </c>
      <c r="D55" s="108">
        <f t="shared" ca="1" si="161"/>
        <v>175</v>
      </c>
      <c r="E55" s="108">
        <f t="shared" ca="1" si="162"/>
        <v>177</v>
      </c>
      <c r="F55" s="108">
        <f t="shared" ca="1" si="163"/>
        <v>159</v>
      </c>
      <c r="G55" s="108">
        <f t="shared" ca="1" si="164"/>
        <v>99</v>
      </c>
      <c r="H55" s="108">
        <f t="shared" ca="1" si="165"/>
        <v>184</v>
      </c>
      <c r="I55" s="108">
        <f t="shared" ca="1" si="166"/>
        <v>205</v>
      </c>
      <c r="J55" s="108">
        <f t="shared" ca="1" si="167"/>
        <v>213</v>
      </c>
      <c r="K55" s="108">
        <f t="shared" ca="1" si="168"/>
        <v>140</v>
      </c>
      <c r="L55" s="108">
        <f t="shared" ca="1" si="169"/>
        <v>35</v>
      </c>
      <c r="M55" s="282">
        <f t="shared" ca="1" si="170"/>
        <v>178</v>
      </c>
      <c r="N55" s="282">
        <f t="shared" ca="1" si="171"/>
        <v>137</v>
      </c>
      <c r="O55" s="282">
        <f t="shared" ca="1" si="172"/>
        <v>130</v>
      </c>
      <c r="P55" s="282">
        <f t="shared" ca="1" si="173"/>
        <v>100</v>
      </c>
      <c r="Q55" s="108">
        <f t="shared" ca="1" si="174"/>
        <v>138</v>
      </c>
      <c r="R55" s="108">
        <f t="shared" ca="1" si="175"/>
        <v>123</v>
      </c>
      <c r="S55" s="108">
        <f t="shared" ca="1" si="176"/>
        <v>169</v>
      </c>
      <c r="T55" s="108">
        <f t="shared" ca="1" si="177"/>
        <v>208</v>
      </c>
      <c r="U55" s="108">
        <f t="shared" ca="1" si="178"/>
        <v>127</v>
      </c>
      <c r="V55" s="108">
        <f t="shared" ca="1" si="179"/>
        <v>144</v>
      </c>
      <c r="W55" s="108">
        <f t="shared" ca="1" si="180"/>
        <v>109</v>
      </c>
      <c r="X55" s="283">
        <f t="shared" ca="1" si="182"/>
        <v>281</v>
      </c>
      <c r="Y55" s="99"/>
      <c r="Z55" s="154">
        <f ca="1">SUM(C55:Y55)</f>
        <v>3380</v>
      </c>
      <c r="AA55" s="99"/>
      <c r="AB55" s="115">
        <f ca="1">Z55/Score!$AG$20</f>
        <v>0.75649927166116215</v>
      </c>
      <c r="AC55" s="94">
        <f ca="1">RANK((SUM($C55:C55)),C$22:C$33,0)</f>
        <v>5</v>
      </c>
      <c r="AD55" s="94">
        <f ca="1">RANK((SUM($C55:D55)),D$22:D$33,0)</f>
        <v>7</v>
      </c>
      <c r="AE55" s="94">
        <f ca="1">RANK((SUM($C55:E55)),E$22:E$33,0)</f>
        <v>7</v>
      </c>
      <c r="AF55" s="94">
        <f ca="1">RANK((SUM($C55:F55)),F$22:F$33,0)</f>
        <v>6</v>
      </c>
      <c r="AG55" s="94">
        <f ca="1">RANK((SUM($C55:G55)),G$22:G$33,0)</f>
        <v>6</v>
      </c>
      <c r="AH55" s="94">
        <f ca="1">RANK((SUM($C55:H55)),H$22:H$33,0)</f>
        <v>5</v>
      </c>
      <c r="AI55" s="94">
        <f ca="1">RANK((SUM($C55:I55)),I$22:I$33,0)</f>
        <v>3</v>
      </c>
      <c r="AJ55" s="94">
        <f ca="1">RANK((SUM($C55:J55)),J$22:J$33,0)</f>
        <v>2</v>
      </c>
      <c r="AK55" s="94">
        <f ca="1">RANK((SUM($C55:K55)),K$22:K$33,0)</f>
        <v>2</v>
      </c>
      <c r="AL55" s="94">
        <f ca="1">RANK((SUM($C55:L55)),L$22:L$33,0)</f>
        <v>2</v>
      </c>
      <c r="AM55" s="94">
        <f ca="1">RANK((SUM($C55:M55)),M$22:M$33,0)</f>
        <v>2</v>
      </c>
      <c r="AN55" s="94">
        <f ca="1">RANK((SUM($C55:N55)),N$22:N$33,0)</f>
        <v>3</v>
      </c>
      <c r="AO55" s="94">
        <f ca="1">RANK((SUM($C55:O55)),O$22:O$33,0)</f>
        <v>2</v>
      </c>
      <c r="AP55" s="94">
        <f ca="1">RANK((SUM($C55:P55)),P$22:P$33,0)</f>
        <v>3</v>
      </c>
      <c r="AQ55" s="94">
        <f ca="1">RANK((SUM($C55:Q55)),Q$22:Q$33,0)</f>
        <v>2</v>
      </c>
      <c r="AR55" s="94">
        <f ca="1">RANK((SUM($C55:R55)),R$22:R$33,0)</f>
        <v>2</v>
      </c>
      <c r="AS55" s="94">
        <f ca="1">RANK((SUM($C55:S55)),S$22:S$33,0)</f>
        <v>2</v>
      </c>
      <c r="AT55" s="94">
        <f ca="1">RANK((SUM($C55:T55)),T$22:T$33,0)</f>
        <v>2</v>
      </c>
      <c r="AU55" s="94">
        <f ca="1">RANK((SUM($C55:U55)),U$22:U$33,0)</f>
        <v>3</v>
      </c>
      <c r="AV55" s="94">
        <f ca="1">RANK((SUM($C55:V55)),V$22:V$33,0)</f>
        <v>3</v>
      </c>
      <c r="AW55" s="94">
        <f ca="1">RANK((SUM($C55:W55)),W$22:W$33,0)</f>
        <v>3</v>
      </c>
      <c r="AX55" s="94">
        <f ca="1">RANK((SUM($C55:X55)),X$22:X$33,0)</f>
        <v>4</v>
      </c>
    </row>
    <row r="56" spans="1:57" ht="12" customHeight="1">
      <c r="A56" s="113">
        <v>5</v>
      </c>
      <c r="B56" s="114" t="str">
        <f t="shared" ca="1" si="159"/>
        <v>De Lange Man</v>
      </c>
      <c r="C56" s="108">
        <f t="shared" ca="1" si="160"/>
        <v>173</v>
      </c>
      <c r="D56" s="108">
        <f t="shared" ca="1" si="161"/>
        <v>241</v>
      </c>
      <c r="E56" s="108">
        <f t="shared" ca="1" si="162"/>
        <v>236</v>
      </c>
      <c r="F56" s="108">
        <f t="shared" ca="1" si="163"/>
        <v>186</v>
      </c>
      <c r="G56" s="108">
        <f t="shared" ca="1" si="164"/>
        <v>101</v>
      </c>
      <c r="H56" s="108">
        <f t="shared" ca="1" si="165"/>
        <v>112</v>
      </c>
      <c r="I56" s="108">
        <f t="shared" ca="1" si="166"/>
        <v>129</v>
      </c>
      <c r="J56" s="108">
        <f t="shared" ca="1" si="167"/>
        <v>139</v>
      </c>
      <c r="K56" s="108">
        <f t="shared" ca="1" si="168"/>
        <v>129</v>
      </c>
      <c r="L56" s="108">
        <f t="shared" ca="1" si="169"/>
        <v>29</v>
      </c>
      <c r="M56" s="282">
        <f t="shared" ca="1" si="170"/>
        <v>137</v>
      </c>
      <c r="N56" s="282">
        <f t="shared" ca="1" si="171"/>
        <v>114</v>
      </c>
      <c r="O56" s="282">
        <f t="shared" ca="1" si="172"/>
        <v>119</v>
      </c>
      <c r="P56" s="282">
        <f t="shared" ca="1" si="173"/>
        <v>66</v>
      </c>
      <c r="Q56" s="108">
        <f t="shared" ca="1" si="174"/>
        <v>194</v>
      </c>
      <c r="R56" s="108">
        <f t="shared" ca="1" si="175"/>
        <v>107</v>
      </c>
      <c r="S56" s="108">
        <f t="shared" ca="1" si="176"/>
        <v>141</v>
      </c>
      <c r="T56" s="108">
        <f t="shared" ca="1" si="177"/>
        <v>205</v>
      </c>
      <c r="U56" s="108">
        <f t="shared" ca="1" si="178"/>
        <v>128</v>
      </c>
      <c r="V56" s="108">
        <f t="shared" ca="1" si="179"/>
        <v>135</v>
      </c>
      <c r="W56" s="108">
        <f t="shared" ca="1" si="180"/>
        <v>180</v>
      </c>
      <c r="X56" s="243">
        <f t="shared" ca="1" si="182"/>
        <v>251</v>
      </c>
      <c r="Y56" s="99"/>
      <c r="Z56" s="154">
        <f t="shared" ca="1" si="181"/>
        <v>3252</v>
      </c>
      <c r="AA56" s="99"/>
      <c r="AB56" s="115">
        <f ca="1">Z56/Score!$AG$20</f>
        <v>0.72785077853316549</v>
      </c>
      <c r="AC56" s="94">
        <f ca="1">RANK((SUM($C56:C56)),C$22:C$33,0)</f>
        <v>2</v>
      </c>
      <c r="AD56" s="94">
        <f ca="1">RANK((SUM($C56:D56)),D$22:D$33,0)</f>
        <v>1</v>
      </c>
      <c r="AE56" s="94">
        <f ca="1">RANK((SUM($C56:E56)),E$22:E$33,0)</f>
        <v>1</v>
      </c>
      <c r="AF56" s="94">
        <f ca="1">RANK((SUM($C56:F56)),F$22:F$33,0)</f>
        <v>1</v>
      </c>
      <c r="AG56" s="94">
        <f ca="1">RANK((SUM($C56:G56)),G$22:G$33,0)</f>
        <v>1</v>
      </c>
      <c r="AH56" s="94">
        <f ca="1">RANK((SUM($C56:H56)),H$22:H$33,0)</f>
        <v>1</v>
      </c>
      <c r="AI56" s="94">
        <f ca="1">RANK((SUM($C56:I56)),I$22:I$33,0)</f>
        <v>2</v>
      </c>
      <c r="AJ56" s="94">
        <f ca="1">RANK((SUM($C56:J56)),J$22:J$33,0)</f>
        <v>3</v>
      </c>
      <c r="AK56" s="94">
        <f ca="1">RANK((SUM($C56:K56)),K$22:K$33,0)</f>
        <v>4</v>
      </c>
      <c r="AL56" s="94">
        <f ca="1">RANK((SUM($C56:L56)),L$22:L$33,0)</f>
        <v>4</v>
      </c>
      <c r="AM56" s="94">
        <f ca="1">RANK((SUM($C56:M56)),M$22:M$33,0)</f>
        <v>4</v>
      </c>
      <c r="AN56" s="94">
        <f ca="1">RANK((SUM($C56:N56)),N$22:N$33,0)</f>
        <v>5</v>
      </c>
      <c r="AO56" s="94">
        <f ca="1">RANK((SUM($C56:O56)),O$22:O$33,0)</f>
        <v>6</v>
      </c>
      <c r="AP56" s="94">
        <f ca="1">RANK((SUM($C56:P56)),P$22:P$33,0)</f>
        <v>5</v>
      </c>
      <c r="AQ56" s="94">
        <f ca="1">RANK((SUM($C56:Q56)),Q$22:Q$33,0)</f>
        <v>5</v>
      </c>
      <c r="AR56" s="94">
        <f ca="1">RANK((SUM($C56:R56)),R$22:R$33,0)</f>
        <v>5</v>
      </c>
      <c r="AS56" s="94">
        <f ca="1">RANK((SUM($C56:S56)),S$22:S$33,0)</f>
        <v>5</v>
      </c>
      <c r="AT56" s="94">
        <f ca="1">RANK((SUM($C56:T56)),T$22:T$33,0)</f>
        <v>5</v>
      </c>
      <c r="AU56" s="94">
        <f ca="1">RANK((SUM($C56:U56)),U$22:U$33,0)</f>
        <v>5</v>
      </c>
      <c r="AV56" s="94">
        <f ca="1">RANK((SUM($C56:V56)),V$22:V$33,0)</f>
        <v>5</v>
      </c>
      <c r="AW56" s="94">
        <f ca="1">RANK((SUM($C56:W56)),W$22:W$33,0)</f>
        <v>5</v>
      </c>
      <c r="AX56" s="94">
        <f ca="1">RANK((SUM($C56:X56)),X$22:X$33,0)</f>
        <v>5</v>
      </c>
    </row>
    <row r="57" spans="1:57" ht="12" customHeight="1">
      <c r="A57" s="113">
        <v>6</v>
      </c>
      <c r="B57" s="114" t="str">
        <f t="shared" ca="1" si="159"/>
        <v>Prof's ploegje</v>
      </c>
      <c r="C57" s="108">
        <f t="shared" ca="1" si="160"/>
        <v>145</v>
      </c>
      <c r="D57" s="108">
        <f t="shared" ca="1" si="161"/>
        <v>194</v>
      </c>
      <c r="E57" s="108">
        <f t="shared" ca="1" si="162"/>
        <v>197</v>
      </c>
      <c r="F57" s="108">
        <f t="shared" ca="1" si="163"/>
        <v>145</v>
      </c>
      <c r="G57" s="108">
        <f t="shared" ca="1" si="164"/>
        <v>101</v>
      </c>
      <c r="H57" s="108">
        <f t="shared" ca="1" si="165"/>
        <v>154</v>
      </c>
      <c r="I57" s="108">
        <f t="shared" ca="1" si="166"/>
        <v>164</v>
      </c>
      <c r="J57" s="108">
        <f t="shared" ca="1" si="167"/>
        <v>163</v>
      </c>
      <c r="K57" s="108">
        <f t="shared" ca="1" si="168"/>
        <v>128</v>
      </c>
      <c r="L57" s="108">
        <f t="shared" ca="1" si="169"/>
        <v>32</v>
      </c>
      <c r="M57" s="282">
        <f t="shared" ca="1" si="170"/>
        <v>180</v>
      </c>
      <c r="N57" s="282">
        <f t="shared" ca="1" si="171"/>
        <v>120</v>
      </c>
      <c r="O57" s="282">
        <f t="shared" ca="1" si="172"/>
        <v>126</v>
      </c>
      <c r="P57" s="282">
        <f t="shared" ca="1" si="173"/>
        <v>47</v>
      </c>
      <c r="Q57" s="108">
        <f t="shared" ca="1" si="174"/>
        <v>155</v>
      </c>
      <c r="R57" s="108">
        <f t="shared" ca="1" si="175"/>
        <v>111</v>
      </c>
      <c r="S57" s="108">
        <f t="shared" ca="1" si="176"/>
        <v>146</v>
      </c>
      <c r="T57" s="108">
        <f t="shared" ca="1" si="177"/>
        <v>204</v>
      </c>
      <c r="U57" s="108">
        <f t="shared" ca="1" si="178"/>
        <v>129</v>
      </c>
      <c r="V57" s="108">
        <f t="shared" ca="1" si="179"/>
        <v>139</v>
      </c>
      <c r="W57" s="108">
        <f t="shared" ca="1" si="180"/>
        <v>143</v>
      </c>
      <c r="X57" s="243">
        <f t="shared" ca="1" si="182"/>
        <v>295</v>
      </c>
      <c r="Y57" s="99"/>
      <c r="Z57" s="154">
        <f t="shared" ca="1" si="181"/>
        <v>3218</v>
      </c>
      <c r="AA57" s="99"/>
      <c r="AB57" s="115">
        <f ca="1">Z57/Score!$AG$20</f>
        <v>0.72024102254604139</v>
      </c>
      <c r="AC57" s="94">
        <f ca="1">RANK((SUM($C57:C57)),C$22:C$33,0)</f>
        <v>6</v>
      </c>
      <c r="AD57" s="94">
        <f ca="1">RANK((SUM($C57:D57)),D$22:D$33,0)</f>
        <v>4</v>
      </c>
      <c r="AE57" s="94">
        <f ca="1">RANK((SUM($C57:E57)),E$22:E$33,0)</f>
        <v>4</v>
      </c>
      <c r="AF57" s="94">
        <f ca="1">RANK((SUM($C57:F57)),F$22:F$33,0)</f>
        <v>5</v>
      </c>
      <c r="AG57" s="94">
        <f ca="1">RANK((SUM($C57:G57)),G$22:G$33,0)</f>
        <v>5</v>
      </c>
      <c r="AH57" s="94">
        <f ca="1">RANK((SUM($C57:H57)),H$22:H$33,0)</f>
        <v>6</v>
      </c>
      <c r="AI57" s="94">
        <f ca="1">RANK((SUM($C57:I57)),I$22:I$33,0)</f>
        <v>5</v>
      </c>
      <c r="AJ57" s="94">
        <f ca="1">RANK((SUM($C57:J57)),J$22:J$33,0)</f>
        <v>6</v>
      </c>
      <c r="AK57" s="94">
        <f ca="1">RANK((SUM($C57:K57)),K$22:K$33,0)</f>
        <v>6</v>
      </c>
      <c r="AL57" s="94">
        <f ca="1">RANK((SUM($C57:L57)),L$22:L$33,0)</f>
        <v>6</v>
      </c>
      <c r="AM57" s="94">
        <f ca="1">RANK((SUM($C57:M57)),M$22:M$33,0)</f>
        <v>6</v>
      </c>
      <c r="AN57" s="94">
        <f ca="1">RANK((SUM($C57:N57)),N$22:N$33,0)</f>
        <v>6</v>
      </c>
      <c r="AO57" s="94">
        <f ca="1">RANK((SUM($C57:O57)),O$22:O$33,0)</f>
        <v>5</v>
      </c>
      <c r="AP57" s="94">
        <f ca="1">RANK((SUM($C57:P57)),P$22:P$33,0)</f>
        <v>6</v>
      </c>
      <c r="AQ57" s="94">
        <f ca="1">RANK((SUM($C57:Q57)),Q$22:Q$33,0)</f>
        <v>6</v>
      </c>
      <c r="AR57" s="94">
        <f ca="1">RANK((SUM($C57:R57)),R$22:R$33,0)</f>
        <v>6</v>
      </c>
      <c r="AS57" s="94">
        <f ca="1">RANK((SUM($C57:S57)),S$22:S$33,0)</f>
        <v>6</v>
      </c>
      <c r="AT57" s="94">
        <f ca="1">RANK((SUM($C57:T57)),T$22:T$33,0)</f>
        <v>6</v>
      </c>
      <c r="AU57" s="94">
        <f ca="1">RANK((SUM($C57:U57)),U$22:U$33,0)</f>
        <v>6</v>
      </c>
      <c r="AV57" s="94">
        <f ca="1">RANK((SUM($C57:V57)),V$22:V$33,0)</f>
        <v>6</v>
      </c>
      <c r="AW57" s="94">
        <f ca="1">RANK((SUM($C57:W57)),W$22:W$33,0)</f>
        <v>6</v>
      </c>
      <c r="AX57" s="94">
        <f ca="1">RANK((SUM($C57:X57)),X$22:X$33,0)</f>
        <v>6</v>
      </c>
    </row>
    <row r="58" spans="1:57" ht="12" customHeight="1">
      <c r="A58" s="113">
        <v>7</v>
      </c>
      <c r="B58" s="114" t="str">
        <f t="shared" ca="1" si="159"/>
        <v>Prajak Mahawong</v>
      </c>
      <c r="C58" s="108">
        <f t="shared" ca="1" si="160"/>
        <v>112</v>
      </c>
      <c r="D58" s="108">
        <f t="shared" ca="1" si="161"/>
        <v>168</v>
      </c>
      <c r="E58" s="108">
        <f t="shared" ca="1" si="162"/>
        <v>186</v>
      </c>
      <c r="F58" s="108">
        <f t="shared" ca="1" si="163"/>
        <v>160</v>
      </c>
      <c r="G58" s="108">
        <f t="shared" ca="1" si="164"/>
        <v>94</v>
      </c>
      <c r="H58" s="108">
        <f t="shared" ca="1" si="165"/>
        <v>155</v>
      </c>
      <c r="I58" s="108">
        <f t="shared" ca="1" si="166"/>
        <v>158</v>
      </c>
      <c r="J58" s="108">
        <f t="shared" ca="1" si="167"/>
        <v>201</v>
      </c>
      <c r="K58" s="108">
        <f t="shared" ca="1" si="168"/>
        <v>118</v>
      </c>
      <c r="L58" s="108">
        <f t="shared" ca="1" si="169"/>
        <v>29</v>
      </c>
      <c r="M58" s="282">
        <f t="shared" ca="1" si="170"/>
        <v>167</v>
      </c>
      <c r="N58" s="282">
        <f t="shared" ca="1" si="171"/>
        <v>112</v>
      </c>
      <c r="O58" s="282">
        <f t="shared" ca="1" si="172"/>
        <v>77</v>
      </c>
      <c r="P58" s="282">
        <f t="shared" ca="1" si="173"/>
        <v>80</v>
      </c>
      <c r="Q58" s="108">
        <f t="shared" ca="1" si="174"/>
        <v>140</v>
      </c>
      <c r="R58" s="108">
        <f t="shared" ca="1" si="175"/>
        <v>133</v>
      </c>
      <c r="S58" s="108">
        <f t="shared" ca="1" si="176"/>
        <v>150</v>
      </c>
      <c r="T58" s="108">
        <f t="shared" ca="1" si="177"/>
        <v>206</v>
      </c>
      <c r="U58" s="108">
        <f t="shared" ca="1" si="178"/>
        <v>159</v>
      </c>
      <c r="V58" s="108">
        <f t="shared" ca="1" si="179"/>
        <v>129</v>
      </c>
      <c r="W58" s="108">
        <f t="shared" ca="1" si="180"/>
        <v>167</v>
      </c>
      <c r="X58" s="243">
        <f t="shared" ca="1" si="182"/>
        <v>283</v>
      </c>
      <c r="Y58" s="99"/>
      <c r="Z58" s="154">
        <f ca="1">SUM(C58:Y58)</f>
        <v>3184</v>
      </c>
      <c r="AA58" s="99"/>
      <c r="AB58" s="115">
        <f ca="1">Z58/Score!$AG$20</f>
        <v>0.71263126655891718</v>
      </c>
      <c r="AC58" s="94">
        <f ca="1">RANK((SUM($C58:C58)),C$22:C$33,0)</f>
        <v>11</v>
      </c>
      <c r="AD58" s="94">
        <f ca="1">RANK((SUM($C58:D58)),D$22:D$33,0)</f>
        <v>10</v>
      </c>
      <c r="AE58" s="94">
        <f ca="1">RANK((SUM($C58:E58)),E$22:E$33,0)</f>
        <v>8</v>
      </c>
      <c r="AF58" s="94">
        <f ca="1">RANK((SUM($C58:F58)),F$22:F$33,0)</f>
        <v>8</v>
      </c>
      <c r="AG58" s="94">
        <f ca="1">RANK((SUM($C58:G58)),G$22:G$33,0)</f>
        <v>9</v>
      </c>
      <c r="AH58" s="94">
        <f ca="1">RANK((SUM($C58:H58)),H$22:H$33,0)</f>
        <v>9</v>
      </c>
      <c r="AI58" s="94">
        <f ca="1">RANK((SUM($C58:I58)),I$22:I$33,0)</f>
        <v>9</v>
      </c>
      <c r="AJ58" s="94">
        <f ca="1">RANK((SUM($C58:J58)),J$22:J$33,0)</f>
        <v>9</v>
      </c>
      <c r="AK58" s="94">
        <f ca="1">RANK((SUM($C58:K58)),K$22:K$33,0)</f>
        <v>8</v>
      </c>
      <c r="AL58" s="94">
        <f ca="1">RANK((SUM($C58:L58)),L$22:L$33,0)</f>
        <v>8</v>
      </c>
      <c r="AM58" s="94">
        <f ca="1">RANK((SUM($C58:M58)),M$22:M$33,0)</f>
        <v>8</v>
      </c>
      <c r="AN58" s="94">
        <f ca="1">RANK((SUM($C58:N58)),N$22:N$33,0)</f>
        <v>7</v>
      </c>
      <c r="AO58" s="94">
        <f ca="1">RANK((SUM($C58:O58)),O$22:O$33,0)</f>
        <v>8</v>
      </c>
      <c r="AP58" s="94">
        <f ca="1">RANK((SUM($C58:P58)),P$22:P$33,0)</f>
        <v>7</v>
      </c>
      <c r="AQ58" s="94">
        <f ca="1">RANK((SUM($C58:Q58)),Q$22:Q$33,0)</f>
        <v>8</v>
      </c>
      <c r="AR58" s="94">
        <f ca="1">RANK((SUM($C58:R58)),R$22:R$33,0)</f>
        <v>8</v>
      </c>
      <c r="AS58" s="94">
        <f ca="1">RANK((SUM($C58:S58)),S$22:S$33,0)</f>
        <v>8</v>
      </c>
      <c r="AT58" s="94">
        <f ca="1">RANK((SUM($C58:T58)),T$22:T$33,0)</f>
        <v>8</v>
      </c>
      <c r="AU58" s="94">
        <f ca="1">RANK((SUM($C58:U58)),U$22:U$33,0)</f>
        <v>7</v>
      </c>
      <c r="AV58" s="94">
        <f ca="1">RANK((SUM($C58:V58)),V$22:V$33,0)</f>
        <v>8</v>
      </c>
      <c r="AW58" s="94">
        <f ca="1">RANK((SUM($C58:W58)),W$22:W$33,0)</f>
        <v>7</v>
      </c>
      <c r="AX58" s="94">
        <f ca="1">RANK((SUM($C58:X58)),X$22:X$33,0)</f>
        <v>7</v>
      </c>
    </row>
    <row r="59" spans="1:57" ht="12" customHeight="1">
      <c r="A59" s="113">
        <v>8</v>
      </c>
      <c r="B59" s="114" t="str">
        <f t="shared" ca="1" si="159"/>
        <v>El Gran</v>
      </c>
      <c r="C59" s="108">
        <f t="shared" ca="1" si="160"/>
        <v>153</v>
      </c>
      <c r="D59" s="108">
        <f t="shared" ca="1" si="161"/>
        <v>217</v>
      </c>
      <c r="E59" s="108">
        <f t="shared" ca="1" si="162"/>
        <v>218</v>
      </c>
      <c r="F59" s="108">
        <f t="shared" ca="1" si="163"/>
        <v>172</v>
      </c>
      <c r="G59" s="108">
        <f t="shared" ca="1" si="164"/>
        <v>100</v>
      </c>
      <c r="H59" s="108">
        <f t="shared" ca="1" si="165"/>
        <v>116</v>
      </c>
      <c r="I59" s="108">
        <f t="shared" ca="1" si="166"/>
        <v>147</v>
      </c>
      <c r="J59" s="108">
        <f t="shared" ca="1" si="167"/>
        <v>160</v>
      </c>
      <c r="K59" s="108">
        <f t="shared" ca="1" si="168"/>
        <v>101</v>
      </c>
      <c r="L59" s="108">
        <f t="shared" ca="1" si="169"/>
        <v>29</v>
      </c>
      <c r="M59" s="108">
        <f t="shared" ca="1" si="170"/>
        <v>140</v>
      </c>
      <c r="N59" s="108">
        <f t="shared" ca="1" si="171"/>
        <v>95</v>
      </c>
      <c r="O59" s="108">
        <f t="shared" ca="1" si="172"/>
        <v>117</v>
      </c>
      <c r="P59" s="108">
        <f t="shared" ca="1" si="173"/>
        <v>42</v>
      </c>
      <c r="Q59" s="108">
        <f t="shared" ca="1" si="174"/>
        <v>174</v>
      </c>
      <c r="R59" s="108">
        <f t="shared" ca="1" si="175"/>
        <v>140</v>
      </c>
      <c r="S59" s="108">
        <f t="shared" ca="1" si="176"/>
        <v>135</v>
      </c>
      <c r="T59" s="108">
        <f t="shared" ca="1" si="177"/>
        <v>199</v>
      </c>
      <c r="U59" s="108">
        <f t="shared" ca="1" si="178"/>
        <v>143</v>
      </c>
      <c r="V59" s="108">
        <f t="shared" ca="1" si="179"/>
        <v>147</v>
      </c>
      <c r="W59" s="108">
        <f t="shared" ca="1" si="180"/>
        <v>147</v>
      </c>
      <c r="X59" s="243">
        <f t="shared" ca="1" si="182"/>
        <v>257</v>
      </c>
      <c r="Y59" s="99"/>
      <c r="Z59" s="154">
        <f ca="1">SUM(C59:Y59)</f>
        <v>3149</v>
      </c>
      <c r="AA59" s="99"/>
      <c r="AB59" s="115">
        <f ca="1">Z59/Score!$AG$20</f>
        <v>0.70479769421923066</v>
      </c>
      <c r="AC59" s="94">
        <f ca="1">RANK((SUM($C59:C59)),C$22:C$33,0)</f>
        <v>4</v>
      </c>
      <c r="AD59" s="94">
        <f ca="1">RANK((SUM($C59:D59)),D$22:D$33,0)</f>
        <v>3</v>
      </c>
      <c r="AE59" s="94">
        <f ca="1">RANK((SUM($C59:E59)),E$22:E$33,0)</f>
        <v>3</v>
      </c>
      <c r="AF59" s="94">
        <f ca="1">RANK((SUM($C59:F59)),F$22:F$33,0)</f>
        <v>2</v>
      </c>
      <c r="AG59" s="94">
        <f ca="1">RANK((SUM($C59:G59)),G$22:G$33,0)</f>
        <v>3</v>
      </c>
      <c r="AH59" s="94">
        <f ca="1">RANK((SUM($C59:H59)),H$22:H$33,0)</f>
        <v>4</v>
      </c>
      <c r="AI59" s="94">
        <f ca="1">RANK((SUM($C59:I59)),I$22:I$33,0)</f>
        <v>4</v>
      </c>
      <c r="AJ59" s="94">
        <f ca="1">RANK((SUM($C59:J59)),J$22:J$33,0)</f>
        <v>5</v>
      </c>
      <c r="AK59" s="94">
        <f ca="1">RANK((SUM($C59:K59)),K$22:K$33,0)</f>
        <v>7</v>
      </c>
      <c r="AL59" s="94">
        <f ca="1">RANK((SUM($C59:L59)),L$22:L$33,0)</f>
        <v>7</v>
      </c>
      <c r="AM59" s="94">
        <f ca="1">RANK((SUM($C59:M59)),M$22:M$33,0)</f>
        <v>7</v>
      </c>
      <c r="AN59" s="94">
        <f ca="1">RANK((SUM($C59:N59)),N$22:N$33,0)</f>
        <v>8</v>
      </c>
      <c r="AO59" s="94">
        <f ca="1">RANK((SUM($C59:O59)),O$22:O$33,0)</f>
        <v>7</v>
      </c>
      <c r="AP59" s="94">
        <f ca="1">RANK((SUM($C59:P59)),P$22:P$33,0)</f>
        <v>8</v>
      </c>
      <c r="AQ59" s="94">
        <f ca="1">RANK((SUM($C59:Q59)),Q$22:Q$33,0)</f>
        <v>7</v>
      </c>
      <c r="AR59" s="94">
        <f ca="1">RANK((SUM($C59:R59)),R$22:R$33,0)</f>
        <v>7</v>
      </c>
      <c r="AS59" s="94">
        <f ca="1">RANK((SUM($C59:S59)),S$22:S$33,0)</f>
        <v>7</v>
      </c>
      <c r="AT59" s="94">
        <f ca="1">RANK((SUM($C59:T59)),T$22:T$33,0)</f>
        <v>7</v>
      </c>
      <c r="AU59" s="94">
        <f ca="1">RANK((SUM($C59:U59)),U$22:U$33,0)</f>
        <v>8</v>
      </c>
      <c r="AV59" s="94">
        <f ca="1">RANK((SUM($C59:V59)),V$22:V$33,0)</f>
        <v>7</v>
      </c>
      <c r="AW59" s="94">
        <f ca="1">RANK((SUM($C59:W59)),W$22:W$33,0)</f>
        <v>8</v>
      </c>
      <c r="AX59" s="94">
        <f ca="1">RANK((SUM($C59:X59)),X$22:X$33,0)</f>
        <v>8</v>
      </c>
    </row>
    <row r="60" spans="1:57" ht="12" customHeight="1">
      <c r="A60" s="113">
        <v>9</v>
      </c>
      <c r="B60" s="114" t="str">
        <f t="shared" ca="1" si="159"/>
        <v>IJffjes Boys</v>
      </c>
      <c r="C60" s="108">
        <f t="shared" ca="1" si="160"/>
        <v>129</v>
      </c>
      <c r="D60" s="108">
        <f t="shared" ca="1" si="161"/>
        <v>210</v>
      </c>
      <c r="E60" s="108">
        <f t="shared" ca="1" si="162"/>
        <v>196</v>
      </c>
      <c r="F60" s="108">
        <f t="shared" ca="1" si="163"/>
        <v>224</v>
      </c>
      <c r="G60" s="108">
        <f t="shared" ca="1" si="164"/>
        <v>106</v>
      </c>
      <c r="H60" s="108">
        <f t="shared" ca="1" si="165"/>
        <v>112</v>
      </c>
      <c r="I60" s="108">
        <f t="shared" ca="1" si="166"/>
        <v>98</v>
      </c>
      <c r="J60" s="108">
        <f t="shared" ca="1" si="167"/>
        <v>162</v>
      </c>
      <c r="K60" s="108">
        <f t="shared" ca="1" si="168"/>
        <v>77</v>
      </c>
      <c r="L60" s="108">
        <f t="shared" ca="1" si="169"/>
        <v>19</v>
      </c>
      <c r="M60" s="108">
        <f t="shared" ca="1" si="170"/>
        <v>122</v>
      </c>
      <c r="N60" s="108">
        <f t="shared" ca="1" si="171"/>
        <v>88</v>
      </c>
      <c r="O60" s="108">
        <f t="shared" ca="1" si="172"/>
        <v>104</v>
      </c>
      <c r="P60" s="108">
        <f t="shared" ca="1" si="173"/>
        <v>74</v>
      </c>
      <c r="Q60" s="108">
        <f t="shared" ca="1" si="174"/>
        <v>173</v>
      </c>
      <c r="R60" s="108">
        <f t="shared" ca="1" si="175"/>
        <v>98</v>
      </c>
      <c r="S60" s="108">
        <f t="shared" ca="1" si="176"/>
        <v>110</v>
      </c>
      <c r="T60" s="108">
        <f t="shared" ca="1" si="177"/>
        <v>135</v>
      </c>
      <c r="U60" s="108">
        <f t="shared" ca="1" si="178"/>
        <v>122</v>
      </c>
      <c r="V60" s="108">
        <f t="shared" ca="1" si="179"/>
        <v>109</v>
      </c>
      <c r="W60" s="108">
        <f t="shared" ca="1" si="180"/>
        <v>161</v>
      </c>
      <c r="X60" s="243">
        <f ca="1">VLOOKUP($B60,$B$3:$Y$18,23,0)</f>
        <v>183</v>
      </c>
      <c r="Y60" s="99"/>
      <c r="Z60" s="154">
        <f t="shared" ref="Z60" ca="1" si="183">SUM(C60:Y60)</f>
        <v>2812</v>
      </c>
      <c r="AA60" s="99"/>
      <c r="AB60" s="115">
        <f ca="1">Z60/Score!$AG$20</f>
        <v>0.62937158340567689</v>
      </c>
      <c r="AC60" s="94">
        <f ca="1">RANK((SUM($C60:C60)),C$22:C$33,0)</f>
        <v>8</v>
      </c>
      <c r="AD60" s="94">
        <f ca="1">RANK((SUM($C60:D60)),D$22:D$33,0)</f>
        <v>4</v>
      </c>
      <c r="AE60" s="94">
        <f ca="1">RANK((SUM($C60:E60)),E$22:E$33,0)</f>
        <v>5</v>
      </c>
      <c r="AF60" s="94">
        <f ca="1">RANK((SUM($C60:F60)),F$22:F$33,0)</f>
        <v>3</v>
      </c>
      <c r="AG60" s="94">
        <f ca="1">RANK((SUM($C60:G60)),G$22:G$33,0)</f>
        <v>2</v>
      </c>
      <c r="AH60" s="94">
        <f ca="1">RANK((SUM($C60:H60)),H$22:H$33,0)</f>
        <v>3</v>
      </c>
      <c r="AI60" s="94">
        <f ca="1">RANK((SUM($C60:I60)),I$22:I$33,0)</f>
        <v>8</v>
      </c>
      <c r="AJ60" s="94">
        <f ca="1">RANK((SUM($C60:J60)),J$22:J$33,0)</f>
        <v>8</v>
      </c>
      <c r="AK60" s="94">
        <f ca="1">RANK((SUM($C60:K60)),K$22:K$33,0)</f>
        <v>9</v>
      </c>
      <c r="AL60" s="94">
        <f ca="1">RANK((SUM($C60:L60)),L$22:L$33,0)</f>
        <v>9</v>
      </c>
      <c r="AM60" s="94">
        <f ca="1">RANK((SUM($C60:M60)),M$22:M$33,0)</f>
        <v>9</v>
      </c>
      <c r="AN60" s="94">
        <f ca="1">RANK((SUM($C60:N60)),N$22:N$33,0)</f>
        <v>9</v>
      </c>
      <c r="AO60" s="94">
        <f ca="1">RANK((SUM($C60:O60)),O$22:O$33,0)</f>
        <v>9</v>
      </c>
      <c r="AP60" s="94">
        <f ca="1">RANK((SUM($C60:P60)),P$22:P$33,0)</f>
        <v>9</v>
      </c>
      <c r="AQ60" s="94">
        <f ca="1">RANK((SUM($C60:Q60)),Q$22:Q$33,0)</f>
        <v>9</v>
      </c>
      <c r="AR60" s="94">
        <f ca="1">RANK((SUM($C60:R60)),R$22:R$33,0)</f>
        <v>9</v>
      </c>
      <c r="AS60" s="94">
        <f ca="1">RANK((SUM($C60:S60)),S$22:S$33,0)</f>
        <v>9</v>
      </c>
      <c r="AT60" s="94">
        <f ca="1">RANK((SUM($C60:T60)),T$22:T$33,0)</f>
        <v>9</v>
      </c>
      <c r="AU60" s="94">
        <f ca="1">RANK((SUM($C60:U60)),U$22:U$33,0)</f>
        <v>9</v>
      </c>
      <c r="AV60" s="94">
        <f ca="1">RANK((SUM($C60:V60)),V$22:V$33,0)</f>
        <v>9</v>
      </c>
      <c r="AW60" s="94">
        <f ca="1">RANK((SUM($C60:W60)),W$22:W$33,0)</f>
        <v>9</v>
      </c>
      <c r="AX60" s="94">
        <f ca="1">RANK((SUM($C60:X60)),X$22:X$33,0)</f>
        <v>9</v>
      </c>
    </row>
    <row r="61" spans="1:57" ht="12" customHeight="1">
      <c r="A61" s="113">
        <v>10</v>
      </c>
      <c r="B61" s="114" t="str">
        <f t="shared" ca="1" si="159"/>
        <v>Kol de la Madeleine</v>
      </c>
      <c r="C61" s="108">
        <f t="shared" ca="1" si="160"/>
        <v>124</v>
      </c>
      <c r="D61" s="108">
        <f t="shared" ca="1" si="161"/>
        <v>135</v>
      </c>
      <c r="E61" s="108">
        <f t="shared" ca="1" si="162"/>
        <v>136</v>
      </c>
      <c r="F61" s="108">
        <f t="shared" ca="1" si="163"/>
        <v>132</v>
      </c>
      <c r="G61" s="108">
        <f t="shared" ca="1" si="164"/>
        <v>110</v>
      </c>
      <c r="H61" s="108">
        <f t="shared" ca="1" si="165"/>
        <v>142</v>
      </c>
      <c r="I61" s="108">
        <f t="shared" ca="1" si="166"/>
        <v>144</v>
      </c>
      <c r="J61" s="108">
        <f t="shared" ca="1" si="167"/>
        <v>161</v>
      </c>
      <c r="K61" s="108">
        <f t="shared" ca="1" si="168"/>
        <v>106</v>
      </c>
      <c r="L61" s="108">
        <f t="shared" ca="1" si="169"/>
        <v>31</v>
      </c>
      <c r="M61" s="108">
        <f t="shared" ca="1" si="170"/>
        <v>146</v>
      </c>
      <c r="N61" s="108">
        <f t="shared" ca="1" si="171"/>
        <v>116</v>
      </c>
      <c r="O61" s="108">
        <f t="shared" ca="1" si="172"/>
        <v>85</v>
      </c>
      <c r="P61" s="108">
        <f t="shared" ca="1" si="173"/>
        <v>104</v>
      </c>
      <c r="Q61" s="108">
        <f t="shared" ca="1" si="174"/>
        <v>93</v>
      </c>
      <c r="R61" s="108">
        <f t="shared" ca="1" si="175"/>
        <v>74</v>
      </c>
      <c r="S61" s="108">
        <f t="shared" ca="1" si="176"/>
        <v>151</v>
      </c>
      <c r="T61" s="108">
        <f t="shared" ca="1" si="177"/>
        <v>176</v>
      </c>
      <c r="U61" s="108">
        <f t="shared" ca="1" si="178"/>
        <v>123</v>
      </c>
      <c r="V61" s="108">
        <f t="shared" ca="1" si="179"/>
        <v>121</v>
      </c>
      <c r="W61" s="108">
        <f t="shared" ca="1" si="180"/>
        <v>128</v>
      </c>
      <c r="X61" s="243">
        <f ca="1">VLOOKUP($B61,$B$3:$Y$18,23,0)</f>
        <v>253</v>
      </c>
      <c r="Y61" s="99"/>
      <c r="Z61" s="154">
        <f t="shared" ca="1" si="181"/>
        <v>2791</v>
      </c>
      <c r="AA61" s="99"/>
      <c r="AB61" s="115">
        <f ca="1">Z61/Score!$AG$20</f>
        <v>0.62467144000186492</v>
      </c>
      <c r="AC61" s="94">
        <f ca="1">RANK((SUM($C61:C61)),C$22:C$33,0)</f>
        <v>10</v>
      </c>
      <c r="AD61" s="94">
        <f ca="1">RANK((SUM($C61:D61)),D$22:D$33,0)</f>
        <v>11</v>
      </c>
      <c r="AE61" s="94">
        <f ca="1">RANK((SUM($C61:E61)),E$22:E$33,0)</f>
        <v>11</v>
      </c>
      <c r="AF61" s="94">
        <f ca="1">RANK((SUM($C61:F61)),F$22:F$33,0)</f>
        <v>11</v>
      </c>
      <c r="AG61" s="94">
        <f ca="1">RANK((SUM($C61:G61)),G$22:G$33,0)</f>
        <v>11</v>
      </c>
      <c r="AH61" s="94">
        <f ca="1">RANK((SUM($C61:H61)),H$22:H$33,0)</f>
        <v>11</v>
      </c>
      <c r="AI61" s="94">
        <f ca="1">RANK((SUM($C61:I61)),I$22:I$33,0)</f>
        <v>11</v>
      </c>
      <c r="AJ61" s="94">
        <f ca="1">RANK((SUM($C61:J61)),J$22:J$33,0)</f>
        <v>10</v>
      </c>
      <c r="AK61" s="94">
        <f ca="1">RANK((SUM($C61:K61)),K$22:K$33,0)</f>
        <v>10</v>
      </c>
      <c r="AL61" s="94">
        <f ca="1">RANK((SUM($C61:L61)),L$22:L$33,0)</f>
        <v>11</v>
      </c>
      <c r="AM61" s="94">
        <f ca="1">RANK((SUM($C61:M61)),M$22:M$33,0)</f>
        <v>10</v>
      </c>
      <c r="AN61" s="94">
        <f ca="1">RANK((SUM($C61:N61)),N$22:N$33,0)</f>
        <v>10</v>
      </c>
      <c r="AO61" s="94">
        <f ca="1">RANK((SUM($C61:O61)),O$22:O$33,0)</f>
        <v>10</v>
      </c>
      <c r="AP61" s="94">
        <f ca="1">RANK((SUM($C61:P61)),P$22:P$33,0)</f>
        <v>10</v>
      </c>
      <c r="AQ61" s="94">
        <f ca="1">RANK((SUM($C61:Q61)),Q$22:Q$33,0)</f>
        <v>10</v>
      </c>
      <c r="AR61" s="94">
        <f ca="1">RANK((SUM($C61:R61)),R$22:R$33,0)</f>
        <v>11</v>
      </c>
      <c r="AS61" s="94">
        <f ca="1">RANK((SUM($C61:S61)),S$22:S$33,0)</f>
        <v>10</v>
      </c>
      <c r="AT61" s="94">
        <f ca="1">RANK((SUM($C61:T61)),T$22:T$33,0)</f>
        <v>10</v>
      </c>
      <c r="AU61" s="94">
        <f ca="1">RANK((SUM($C61:U61)),U$22:U$33,0)</f>
        <v>10</v>
      </c>
      <c r="AV61" s="94">
        <f ca="1">RANK((SUM($C61:V61)),V$22:V$33,0)</f>
        <v>10</v>
      </c>
      <c r="AW61" s="94">
        <f ca="1">RANK((SUM($C61:W61)),W$22:W$33,0)</f>
        <v>10</v>
      </c>
      <c r="AX61" s="94">
        <f ca="1">RANK((SUM($C61:X61)),X$22:X$33,0)</f>
        <v>10</v>
      </c>
    </row>
    <row r="62" spans="1:57" ht="12" customHeight="1">
      <c r="A62" s="113">
        <v>11</v>
      </c>
      <c r="B62" s="114" t="str">
        <f t="shared" ca="1" si="159"/>
        <v>Am Selfkant</v>
      </c>
      <c r="C62" s="108">
        <f t="shared" ca="1" si="160"/>
        <v>139</v>
      </c>
      <c r="D62" s="108">
        <f t="shared" ca="1" si="161"/>
        <v>170</v>
      </c>
      <c r="E62" s="108">
        <f t="shared" ca="1" si="162"/>
        <v>156</v>
      </c>
      <c r="F62" s="108">
        <f t="shared" ca="1" si="163"/>
        <v>158</v>
      </c>
      <c r="G62" s="108">
        <f t="shared" ca="1" si="164"/>
        <v>105</v>
      </c>
      <c r="H62" s="108">
        <f t="shared" ca="1" si="165"/>
        <v>80</v>
      </c>
      <c r="I62" s="108">
        <f t="shared" ca="1" si="166"/>
        <v>124</v>
      </c>
      <c r="J62" s="108">
        <f t="shared" ca="1" si="167"/>
        <v>136</v>
      </c>
      <c r="K62" s="108">
        <f t="shared" ca="1" si="168"/>
        <v>101</v>
      </c>
      <c r="L62" s="108">
        <f t="shared" ca="1" si="169"/>
        <v>63</v>
      </c>
      <c r="M62" s="108">
        <f t="shared" ca="1" si="170"/>
        <v>93</v>
      </c>
      <c r="N62" s="108">
        <f t="shared" ca="1" si="171"/>
        <v>106</v>
      </c>
      <c r="O62" s="108">
        <f t="shared" ca="1" si="172"/>
        <v>113</v>
      </c>
      <c r="P62" s="108">
        <f t="shared" ca="1" si="173"/>
        <v>71</v>
      </c>
      <c r="Q62" s="108">
        <f t="shared" ca="1" si="174"/>
        <v>121</v>
      </c>
      <c r="R62" s="108">
        <f t="shared" ca="1" si="175"/>
        <v>113</v>
      </c>
      <c r="S62" s="108">
        <f t="shared" ca="1" si="176"/>
        <v>101</v>
      </c>
      <c r="T62" s="108">
        <f t="shared" ca="1" si="177"/>
        <v>138</v>
      </c>
      <c r="U62" s="108">
        <f t="shared" ca="1" si="178"/>
        <v>90</v>
      </c>
      <c r="V62" s="108">
        <f t="shared" ca="1" si="179"/>
        <v>128</v>
      </c>
      <c r="W62" s="108">
        <f t="shared" ca="1" si="180"/>
        <v>93</v>
      </c>
      <c r="X62" s="243">
        <f t="shared" ca="1" si="182"/>
        <v>164</v>
      </c>
      <c r="Y62" s="99"/>
      <c r="Z62" s="154">
        <f t="shared" ca="1" si="181"/>
        <v>2563</v>
      </c>
      <c r="AA62" s="99"/>
      <c r="AB62" s="115">
        <f ca="1">Z62/Score!$AG$20</f>
        <v>0.57364131161762089</v>
      </c>
      <c r="AC62" s="94">
        <f ca="1">RANK((SUM($C62:C62)),C$22:C$33,0)</f>
        <v>7</v>
      </c>
      <c r="AD62" s="94">
        <f ca="1">RANK((SUM($C62:D62)),D$22:D$33,0)</f>
        <v>9</v>
      </c>
      <c r="AE62" s="94">
        <f ca="1">RANK((SUM($C62:E62)),E$22:E$33,0)</f>
        <v>9</v>
      </c>
      <c r="AF62" s="94">
        <f ca="1">RANK((SUM($C62:F62)),F$22:F$33,0)</f>
        <v>9</v>
      </c>
      <c r="AG62" s="94">
        <f ca="1">RANK((SUM($C62:G62)),G$22:G$33,0)</f>
        <v>8</v>
      </c>
      <c r="AH62" s="94">
        <f ca="1">RANK((SUM($C62:H62)),H$22:H$33,0)</f>
        <v>10</v>
      </c>
      <c r="AI62" s="94">
        <f ca="1">RANK((SUM($C62:I62)),I$22:I$33,0)</f>
        <v>10</v>
      </c>
      <c r="AJ62" s="94">
        <f ca="1">RANK((SUM($C62:J62)),J$22:J$33,0)</f>
        <v>11</v>
      </c>
      <c r="AK62" s="94">
        <f ca="1">RANK((SUM($C62:K62)),K$22:K$33,0)</f>
        <v>11</v>
      </c>
      <c r="AL62" s="94">
        <f ca="1">RANK((SUM($C62:L62)),L$22:L$33,0)</f>
        <v>10</v>
      </c>
      <c r="AM62" s="94">
        <f ca="1">RANK((SUM($C62:M62)),M$22:M$33,0)</f>
        <v>11</v>
      </c>
      <c r="AN62" s="94">
        <f ca="1">RANK((SUM($C62:N62)),N$22:N$33,0)</f>
        <v>11</v>
      </c>
      <c r="AO62" s="94">
        <f ca="1">RANK((SUM($C62:O62)),O$22:O$33,0)</f>
        <v>11</v>
      </c>
      <c r="AP62" s="94">
        <f ca="1">RANK((SUM($C62:P62)),P$22:P$33,0)</f>
        <v>11</v>
      </c>
      <c r="AQ62" s="94">
        <f ca="1">RANK((SUM($C62:Q62)),Q$22:Q$33,0)</f>
        <v>11</v>
      </c>
      <c r="AR62" s="94">
        <f ca="1">RANK((SUM($C62:R62)),R$22:R$33,0)</f>
        <v>10</v>
      </c>
      <c r="AS62" s="94">
        <f ca="1">RANK((SUM($C62:S62)),S$22:S$33,0)</f>
        <v>11</v>
      </c>
      <c r="AT62" s="94">
        <f ca="1">RANK((SUM($C62:T62)),T$22:T$33,0)</f>
        <v>11</v>
      </c>
      <c r="AU62" s="94">
        <f ca="1">RANK((SUM($C62:U62)),U$22:U$33,0)</f>
        <v>11</v>
      </c>
      <c r="AV62" s="94">
        <f ca="1">RANK((SUM($C62:V62)),V$22:V$33,0)</f>
        <v>11</v>
      </c>
      <c r="AW62" s="94">
        <f ca="1">RANK((SUM($C62:W62)),W$22:W$33,0)</f>
        <v>11</v>
      </c>
      <c r="AX62" s="94">
        <f ca="1">RANK((SUM($C62:X62)),X$22:X$33,0)</f>
        <v>11</v>
      </c>
    </row>
    <row r="63" spans="1:57" ht="12" customHeight="1">
      <c r="A63" s="113">
        <v>12</v>
      </c>
      <c r="B63" s="114" t="str">
        <f t="shared" ca="1" si="159"/>
        <v>Freaky's manke Kruisbandjes</v>
      </c>
      <c r="C63" s="108">
        <f t="shared" ca="1" si="160"/>
        <v>103</v>
      </c>
      <c r="D63" s="108">
        <f t="shared" ca="1" si="161"/>
        <v>113</v>
      </c>
      <c r="E63" s="108">
        <f t="shared" ca="1" si="162"/>
        <v>107</v>
      </c>
      <c r="F63" s="108">
        <f t="shared" ca="1" si="163"/>
        <v>88</v>
      </c>
      <c r="G63" s="108">
        <f t="shared" ca="1" si="164"/>
        <v>72</v>
      </c>
      <c r="H63" s="108">
        <f t="shared" ca="1" si="165"/>
        <v>106</v>
      </c>
      <c r="I63" s="108">
        <f t="shared" ca="1" si="166"/>
        <v>138</v>
      </c>
      <c r="J63" s="108">
        <f t="shared" ca="1" si="167"/>
        <v>142</v>
      </c>
      <c r="K63" s="108">
        <f t="shared" ca="1" si="168"/>
        <v>140</v>
      </c>
      <c r="L63" s="108">
        <f t="shared" ca="1" si="169"/>
        <v>51</v>
      </c>
      <c r="M63" s="108">
        <f t="shared" ca="1" si="170"/>
        <v>134</v>
      </c>
      <c r="N63" s="108">
        <f t="shared" ca="1" si="171"/>
        <v>108</v>
      </c>
      <c r="O63" s="108">
        <f t="shared" ca="1" si="172"/>
        <v>62</v>
      </c>
      <c r="P63" s="108">
        <f t="shared" ca="1" si="173"/>
        <v>68</v>
      </c>
      <c r="Q63" s="108">
        <f t="shared" ca="1" si="174"/>
        <v>93</v>
      </c>
      <c r="R63" s="108">
        <f t="shared" ca="1" si="175"/>
        <v>139</v>
      </c>
      <c r="S63" s="108">
        <f t="shared" ca="1" si="176"/>
        <v>144</v>
      </c>
      <c r="T63" s="108">
        <f t="shared" ca="1" si="177"/>
        <v>182</v>
      </c>
      <c r="U63" s="108">
        <f t="shared" ca="1" si="178"/>
        <v>76</v>
      </c>
      <c r="V63" s="108">
        <f t="shared" ca="1" si="179"/>
        <v>125</v>
      </c>
      <c r="W63" s="108">
        <f t="shared" ca="1" si="180"/>
        <v>75</v>
      </c>
      <c r="X63" s="243">
        <f t="shared" ca="1" si="182"/>
        <v>228</v>
      </c>
      <c r="Y63" s="99"/>
      <c r="Z63" s="154">
        <f t="shared" ca="1" si="181"/>
        <v>2494</v>
      </c>
      <c r="AA63" s="99"/>
      <c r="AB63" s="115">
        <f ca="1">Z63/Score!$AG$20</f>
        <v>0.55819798329081016</v>
      </c>
      <c r="AC63" s="94">
        <f ca="1">RANK((SUM($C63:C63)),C$22:C$33,0)</f>
        <v>12</v>
      </c>
      <c r="AD63" s="94">
        <f ca="1">RANK((SUM($C63:D63)),D$22:D$33,0)</f>
        <v>12</v>
      </c>
      <c r="AE63" s="94">
        <f ca="1">RANK((SUM($C63:E63)),E$22:E$33,0)</f>
        <v>12</v>
      </c>
      <c r="AF63" s="94">
        <f ca="1">RANK((SUM($C63:F63)),F$22:F$33,0)</f>
        <v>12</v>
      </c>
      <c r="AG63" s="94">
        <f ca="1">RANK((SUM($C63:G63)),G$22:G$33,0)</f>
        <v>12</v>
      </c>
      <c r="AH63" s="94">
        <f ca="1">RANK((SUM($C63:H63)),H$22:H$33,0)</f>
        <v>12</v>
      </c>
      <c r="AI63" s="94">
        <f ca="1">RANK((SUM($C63:I63)),I$22:I$33,0)</f>
        <v>12</v>
      </c>
      <c r="AJ63" s="94">
        <f ca="1">RANK((SUM($C63:J63)),J$22:J$33,0)</f>
        <v>12</v>
      </c>
      <c r="AK63" s="94">
        <f ca="1">RANK((SUM($C63:K63)),K$22:K$33,0)</f>
        <v>12</v>
      </c>
      <c r="AL63" s="94">
        <f ca="1">RANK((SUM($C63:L63)),L$22:L$33,0)</f>
        <v>12</v>
      </c>
      <c r="AM63" s="94">
        <f ca="1">RANK((SUM($C63:M63)),M$22:M$33,0)</f>
        <v>12</v>
      </c>
      <c r="AN63" s="94">
        <f ca="1">RANK((SUM($C63:N63)),N$22:N$33,0)</f>
        <v>12</v>
      </c>
      <c r="AO63" s="94">
        <f ca="1">RANK((SUM($C63:O63)),O$22:O$33,0)</f>
        <v>12</v>
      </c>
      <c r="AP63" s="94">
        <f ca="1">RANK((SUM($C63:P63)),P$22:P$33,0)</f>
        <v>12</v>
      </c>
      <c r="AQ63" s="94">
        <f ca="1">RANK((SUM($C63:Q63)),Q$22:Q$33,0)</f>
        <v>12</v>
      </c>
      <c r="AR63" s="94">
        <f ca="1">RANK((SUM($C63:R63)),R$22:R$33,0)</f>
        <v>12</v>
      </c>
      <c r="AS63" s="94">
        <f ca="1">RANK((SUM($C63:S63)),S$22:S$33,0)</f>
        <v>12</v>
      </c>
      <c r="AT63" s="94">
        <f ca="1">RANK((SUM($C63:T63)),T$22:T$33,0)</f>
        <v>12</v>
      </c>
      <c r="AU63" s="94">
        <f ca="1">RANK((SUM($C63:U63)),U$22:U$33,0)</f>
        <v>12</v>
      </c>
      <c r="AV63" s="94">
        <f ca="1">RANK((SUM($C63:V63)),V$22:V$33,0)</f>
        <v>12</v>
      </c>
      <c r="AW63" s="94">
        <f ca="1">RANK((SUM($C63:W63)),W$22:W$33,0)</f>
        <v>12</v>
      </c>
      <c r="AX63" s="94">
        <f ca="1">RANK((SUM($C63:X63)),X$22:X$33,0)</f>
        <v>12</v>
      </c>
    </row>
    <row r="64" spans="1:57" ht="12" customHeight="1">
      <c r="AA64" s="99"/>
    </row>
    <row r="65" spans="1:60" s="117" customFormat="1" ht="12" customHeight="1">
      <c r="B65" s="118" t="s">
        <v>4</v>
      </c>
      <c r="C65" s="119">
        <f t="shared" ref="C65:X65" ca="1" si="184">AVERAGE(C52:C63)</f>
        <v>143.25</v>
      </c>
      <c r="D65" s="119">
        <f t="shared" ca="1" si="184"/>
        <v>180.83333333333334</v>
      </c>
      <c r="E65" s="119">
        <f t="shared" ca="1" si="184"/>
        <v>177.25</v>
      </c>
      <c r="F65" s="119">
        <f t="shared" ca="1" si="184"/>
        <v>155.16666666666666</v>
      </c>
      <c r="G65" s="119">
        <f t="shared" ca="1" si="184"/>
        <v>97.666666666666671</v>
      </c>
      <c r="H65" s="119">
        <f t="shared" ca="1" si="184"/>
        <v>140.33333333333334</v>
      </c>
      <c r="I65" s="119">
        <f t="shared" ca="1" si="184"/>
        <v>155</v>
      </c>
      <c r="J65" s="119">
        <f t="shared" ca="1" si="184"/>
        <v>170.91666666666666</v>
      </c>
      <c r="K65" s="119">
        <f t="shared" ca="1" si="184"/>
        <v>122.66666666666667</v>
      </c>
      <c r="L65" s="119">
        <f t="shared" ca="1" si="184"/>
        <v>36.333333333333336</v>
      </c>
      <c r="M65" s="119">
        <f t="shared" ca="1" si="184"/>
        <v>155.66666666666666</v>
      </c>
      <c r="N65" s="119">
        <f t="shared" ca="1" si="184"/>
        <v>125.66666666666667</v>
      </c>
      <c r="O65" s="119">
        <f t="shared" ca="1" si="184"/>
        <v>109.33333333333333</v>
      </c>
      <c r="P65" s="119">
        <f t="shared" ca="1" si="184"/>
        <v>79.5</v>
      </c>
      <c r="Q65" s="119">
        <f t="shared" ca="1" si="184"/>
        <v>147.16666666666666</v>
      </c>
      <c r="R65" s="119">
        <f t="shared" ca="1" si="184"/>
        <v>115.33333333333333</v>
      </c>
      <c r="S65" s="119">
        <f t="shared" ca="1" si="184"/>
        <v>148.25</v>
      </c>
      <c r="T65" s="119">
        <f t="shared" ca="1" si="184"/>
        <v>192.33333333333334</v>
      </c>
      <c r="U65" s="119">
        <f t="shared" ca="1" si="184"/>
        <v>130.41666666666666</v>
      </c>
      <c r="V65" s="119">
        <f t="shared" ca="1" si="184"/>
        <v>135.41666666666666</v>
      </c>
      <c r="W65" s="119">
        <f t="shared" ca="1" si="184"/>
        <v>138.75</v>
      </c>
      <c r="X65" s="270">
        <f t="shared" ca="1" si="184"/>
        <v>261.58333333333331</v>
      </c>
      <c r="Y65" s="119"/>
      <c r="Z65" s="119">
        <f ca="1">AVERAGE(Z52:Z63)</f>
        <v>3118.8333333333335</v>
      </c>
      <c r="AA65" s="120"/>
    </row>
    <row r="66" spans="1:60" s="117" customFormat="1" ht="12" customHeight="1">
      <c r="B66" s="118" t="s">
        <v>358</v>
      </c>
      <c r="C66" s="119">
        <f ca="1">AVERAGE(C52:C60)</f>
        <v>150.33333333333334</v>
      </c>
      <c r="D66" s="119">
        <f t="shared" ref="D66:X66" ca="1" si="185">AVERAGE(D52:D60)</f>
        <v>194.66666666666666</v>
      </c>
      <c r="E66" s="119">
        <f t="shared" ca="1" si="185"/>
        <v>192</v>
      </c>
      <c r="F66" s="119">
        <f t="shared" ca="1" si="185"/>
        <v>164.88888888888889</v>
      </c>
      <c r="G66" s="119">
        <f t="shared" ca="1" si="185"/>
        <v>98.333333333333329</v>
      </c>
      <c r="H66" s="119">
        <f t="shared" ca="1" si="185"/>
        <v>150.66666666666666</v>
      </c>
      <c r="I66" s="119">
        <f t="shared" ca="1" si="185"/>
        <v>161.55555555555554</v>
      </c>
      <c r="J66" s="119">
        <f t="shared" ca="1" si="185"/>
        <v>179.11111111111111</v>
      </c>
      <c r="K66" s="119">
        <f t="shared" ca="1" si="185"/>
        <v>125</v>
      </c>
      <c r="L66" s="119">
        <f t="shared" ca="1" si="185"/>
        <v>32.333333333333336</v>
      </c>
      <c r="M66" s="119">
        <f t="shared" ca="1" si="185"/>
        <v>166.11111111111111</v>
      </c>
      <c r="N66" s="119">
        <f t="shared" ca="1" si="185"/>
        <v>130.88888888888889</v>
      </c>
      <c r="O66" s="119">
        <f t="shared" ca="1" si="185"/>
        <v>116.88888888888889</v>
      </c>
      <c r="P66" s="119">
        <f t="shared" ca="1" si="185"/>
        <v>79</v>
      </c>
      <c r="Q66" s="119">
        <f t="shared" ca="1" si="185"/>
        <v>162.11111111111111</v>
      </c>
      <c r="R66" s="119">
        <f t="shared" ca="1" si="185"/>
        <v>117.55555555555556</v>
      </c>
      <c r="S66" s="119">
        <f t="shared" ca="1" si="185"/>
        <v>153.66666666666666</v>
      </c>
      <c r="T66" s="119">
        <f t="shared" ca="1" si="185"/>
        <v>201.33333333333334</v>
      </c>
      <c r="U66" s="119">
        <f t="shared" ca="1" si="185"/>
        <v>141.77777777777777</v>
      </c>
      <c r="V66" s="119">
        <f t="shared" ca="1" si="185"/>
        <v>139</v>
      </c>
      <c r="W66" s="119">
        <f t="shared" ca="1" si="185"/>
        <v>152.11111111111111</v>
      </c>
      <c r="X66" s="119">
        <f t="shared" ca="1" si="185"/>
        <v>277.11111111111109</v>
      </c>
      <c r="Y66" s="119"/>
      <c r="Z66" s="119">
        <f ca="1">AVERAGE(Z52:Z60)</f>
        <v>3286.4444444444443</v>
      </c>
      <c r="AA66" s="120"/>
    </row>
    <row r="67" spans="1:60" s="117" customFormat="1" ht="12" customHeight="1">
      <c r="B67" s="118" t="s">
        <v>238</v>
      </c>
      <c r="C67" s="119">
        <f t="shared" ref="C67:Z67" ca="1" si="186">MAX(C52:C63)-MIN(C52:C63)</f>
        <v>90</v>
      </c>
      <c r="D67" s="119">
        <f t="shared" ca="1" si="186"/>
        <v>128</v>
      </c>
      <c r="E67" s="119">
        <f t="shared" ca="1" si="186"/>
        <v>129</v>
      </c>
      <c r="F67" s="119">
        <f t="shared" ca="1" si="186"/>
        <v>136</v>
      </c>
      <c r="G67" s="119">
        <f t="shared" ca="1" si="186"/>
        <v>38</v>
      </c>
      <c r="H67" s="119">
        <f t="shared" ca="1" si="186"/>
        <v>129</v>
      </c>
      <c r="I67" s="119">
        <f t="shared" ca="1" si="186"/>
        <v>107</v>
      </c>
      <c r="J67" s="119">
        <f t="shared" ca="1" si="186"/>
        <v>91</v>
      </c>
      <c r="K67" s="119">
        <f t="shared" ca="1" si="186"/>
        <v>73</v>
      </c>
      <c r="L67" s="119">
        <f t="shared" ca="1" si="186"/>
        <v>44</v>
      </c>
      <c r="M67" s="119">
        <f t="shared" ca="1" si="186"/>
        <v>110</v>
      </c>
      <c r="N67" s="119">
        <f t="shared" ca="1" si="186"/>
        <v>90</v>
      </c>
      <c r="O67" s="119">
        <f t="shared" ca="1" si="186"/>
        <v>82</v>
      </c>
      <c r="P67" s="119">
        <f t="shared" ca="1" si="186"/>
        <v>73</v>
      </c>
      <c r="Q67" s="119">
        <f t="shared" ca="1" si="186"/>
        <v>101</v>
      </c>
      <c r="R67" s="119">
        <f t="shared" ca="1" si="186"/>
        <v>66</v>
      </c>
      <c r="S67" s="119">
        <f t="shared" ca="1" si="186"/>
        <v>90</v>
      </c>
      <c r="T67" s="119">
        <f t="shared" ca="1" si="186"/>
        <v>93</v>
      </c>
      <c r="U67" s="119">
        <f t="shared" ca="1" si="186"/>
        <v>102</v>
      </c>
      <c r="V67" s="119">
        <f t="shared" ca="1" si="186"/>
        <v>57</v>
      </c>
      <c r="W67" s="119">
        <f t="shared" ca="1" si="186"/>
        <v>105</v>
      </c>
      <c r="X67" s="119">
        <f t="shared" ca="1" si="186"/>
        <v>171</v>
      </c>
      <c r="Y67" s="119">
        <f t="shared" si="186"/>
        <v>0</v>
      </c>
      <c r="Z67" s="119">
        <f t="shared" ca="1" si="186"/>
        <v>1198</v>
      </c>
      <c r="AA67" s="120"/>
    </row>
    <row r="68" spans="1:60" s="117" customFormat="1" ht="12" customHeight="1">
      <c r="B68" s="117" t="s">
        <v>237</v>
      </c>
      <c r="C68" s="308">
        <f t="shared" ref="C68:X68" ca="1" si="187">_xlfn.STDEV.P(C52:C63)</f>
        <v>25.301926804099327</v>
      </c>
      <c r="D68" s="308">
        <f t="shared" ca="1" si="187"/>
        <v>34.551491365143065</v>
      </c>
      <c r="E68" s="308">
        <f t="shared" ca="1" si="187"/>
        <v>35.872749639059826</v>
      </c>
      <c r="F68" s="308">
        <f t="shared" ca="1" si="187"/>
        <v>31.785304081533585</v>
      </c>
      <c r="G68" s="308">
        <f t="shared" ca="1" si="187"/>
        <v>10.052639233333482</v>
      </c>
      <c r="H68" s="308">
        <f t="shared" ca="1" si="187"/>
        <v>34.879156462786703</v>
      </c>
      <c r="I68" s="308">
        <f t="shared" ca="1" si="187"/>
        <v>30.016662039607269</v>
      </c>
      <c r="J68" s="308">
        <f t="shared" ca="1" si="187"/>
        <v>27.828218092832</v>
      </c>
      <c r="K68" s="308">
        <f t="shared" ca="1" si="187"/>
        <v>21.24199195513976</v>
      </c>
      <c r="L68" s="308">
        <f t="shared" ca="1" si="187"/>
        <v>11.152976682881071</v>
      </c>
      <c r="M68" s="308">
        <f t="shared" ca="1" si="187"/>
        <v>30.760725320158205</v>
      </c>
      <c r="N68" s="308">
        <f t="shared" ca="1" si="187"/>
        <v>28.610409915895222</v>
      </c>
      <c r="O68" s="308">
        <f t="shared" ca="1" si="187"/>
        <v>22.643370381244534</v>
      </c>
      <c r="P68" s="308">
        <f t="shared" ca="1" si="187"/>
        <v>22.936506563409637</v>
      </c>
      <c r="Q68" s="308">
        <f t="shared" ca="1" si="187"/>
        <v>32.356950137833174</v>
      </c>
      <c r="R68" s="308">
        <f t="shared" ca="1" si="187"/>
        <v>18.29085989109193</v>
      </c>
      <c r="S68" s="308">
        <f t="shared" ca="1" si="187"/>
        <v>24.505526587554353</v>
      </c>
      <c r="T68" s="308">
        <f t="shared" ca="1" si="187"/>
        <v>28.276413413931326</v>
      </c>
      <c r="U68" s="308">
        <f t="shared" ca="1" si="187"/>
        <v>26.99215420986048</v>
      </c>
      <c r="V68" s="308">
        <f t="shared" ca="1" si="187"/>
        <v>14.407511543944322</v>
      </c>
      <c r="W68" s="308">
        <f t="shared" ca="1" si="187"/>
        <v>33.645517284377327</v>
      </c>
      <c r="X68" s="308">
        <f t="shared" ca="1" si="187"/>
        <v>48.623482552729143</v>
      </c>
      <c r="Y68" s="308"/>
      <c r="AA68" s="120"/>
    </row>
    <row r="69" spans="1:60" s="117" customFormat="1" ht="12" customHeight="1">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AA69" s="120"/>
    </row>
    <row r="70" spans="1:60" s="117" customFormat="1" ht="12" customHeight="1">
      <c r="A70" s="121" t="s">
        <v>0</v>
      </c>
      <c r="B70" s="122"/>
      <c r="C70" s="157"/>
      <c r="X70" s="268"/>
      <c r="AA70" s="120"/>
    </row>
    <row r="71" spans="1:60" s="117" customFormat="1" ht="12" customHeight="1">
      <c r="A71" s="123"/>
      <c r="B71" s="114" t="s">
        <v>304</v>
      </c>
      <c r="C71" s="95">
        <v>6</v>
      </c>
      <c r="X71" s="268"/>
      <c r="AA71" s="120"/>
    </row>
    <row r="72" spans="1:60" ht="12" customHeight="1">
      <c r="A72" s="126"/>
      <c r="B72" s="114" t="s">
        <v>78</v>
      </c>
      <c r="C72" s="95">
        <v>4</v>
      </c>
      <c r="E72" s="123"/>
      <c r="F72" s="124"/>
      <c r="G72" s="112"/>
      <c r="H72" s="112"/>
      <c r="Z72" s="126"/>
    </row>
    <row r="73" spans="1:60" ht="12" customHeight="1">
      <c r="A73" s="112"/>
      <c r="B73" s="114" t="s">
        <v>184</v>
      </c>
      <c r="C73" s="95">
        <v>3</v>
      </c>
      <c r="E73" s="123"/>
      <c r="F73" s="124"/>
      <c r="G73" s="112"/>
      <c r="H73" s="112"/>
      <c r="Z73" s="112"/>
      <c r="AB73" s="125"/>
    </row>
    <row r="74" spans="1:60" ht="12" customHeight="1">
      <c r="A74" s="126"/>
      <c r="B74" s="114" t="s">
        <v>181</v>
      </c>
      <c r="C74" s="95">
        <v>3</v>
      </c>
      <c r="E74" s="123"/>
      <c r="F74" s="124"/>
      <c r="G74" s="112"/>
      <c r="H74" s="112"/>
      <c r="Z74" s="126"/>
    </row>
    <row r="75" spans="1:60" ht="12" customHeight="1">
      <c r="A75" s="95"/>
      <c r="B75" s="116" t="s">
        <v>132</v>
      </c>
      <c r="C75" s="95">
        <v>1</v>
      </c>
      <c r="E75" s="116"/>
      <c r="F75" s="95"/>
    </row>
    <row r="76" spans="1:60" ht="12" customHeight="1">
      <c r="A76" s="95"/>
      <c r="B76" s="94" t="s">
        <v>357</v>
      </c>
      <c r="C76" s="95">
        <v>1</v>
      </c>
      <c r="E76" s="123"/>
      <c r="F76" s="124"/>
      <c r="G76" s="112"/>
      <c r="H76" s="112"/>
      <c r="Z76" s="123"/>
      <c r="AB76" s="114"/>
    </row>
    <row r="77" spans="1:60" ht="12" customHeight="1">
      <c r="A77" s="123"/>
      <c r="B77" s="94" t="s">
        <v>166</v>
      </c>
      <c r="C77" s="95">
        <v>1</v>
      </c>
      <c r="E77" s="123"/>
      <c r="F77" s="124"/>
      <c r="G77" s="112"/>
      <c r="H77" s="112"/>
      <c r="Z77" s="123"/>
    </row>
    <row r="78" spans="1:60" s="117" customFormat="1" ht="12" customHeight="1">
      <c r="A78" s="95"/>
      <c r="B78" s="114" t="s">
        <v>76</v>
      </c>
      <c r="C78" s="95">
        <v>1</v>
      </c>
      <c r="D78" s="119"/>
      <c r="E78" s="119"/>
      <c r="F78" s="119"/>
      <c r="G78" s="119"/>
      <c r="H78" s="119"/>
      <c r="I78" s="119"/>
      <c r="J78" s="119"/>
      <c r="K78" s="119"/>
      <c r="L78" s="119"/>
      <c r="M78" s="119"/>
      <c r="N78" s="119"/>
      <c r="O78" s="119"/>
      <c r="P78" s="119"/>
      <c r="Q78" s="119"/>
      <c r="R78" s="119"/>
      <c r="S78" s="119"/>
      <c r="T78" s="119"/>
      <c r="U78" s="119"/>
      <c r="V78" s="119"/>
      <c r="W78" s="119"/>
      <c r="X78" s="270"/>
      <c r="Y78" s="120"/>
      <c r="Z78" s="119"/>
      <c r="AA78" s="120"/>
    </row>
    <row r="79" spans="1:60" ht="12" customHeight="1">
      <c r="A79" s="95"/>
      <c r="B79" s="114"/>
      <c r="D79" s="119"/>
      <c r="E79" s="119"/>
      <c r="F79" s="119"/>
      <c r="G79" s="119"/>
      <c r="H79" s="119"/>
      <c r="I79" s="119"/>
      <c r="J79" s="119"/>
      <c r="K79" s="119"/>
      <c r="L79" s="119"/>
      <c r="M79" s="119"/>
      <c r="N79" s="119"/>
      <c r="O79" s="119"/>
      <c r="P79" s="119"/>
      <c r="Q79" s="119"/>
      <c r="R79" s="119"/>
      <c r="S79" s="119"/>
      <c r="T79" s="119"/>
      <c r="U79" s="119"/>
      <c r="V79" s="119"/>
      <c r="W79" s="119"/>
      <c r="X79" s="270"/>
      <c r="Y79" s="120"/>
      <c r="Z79" s="119"/>
      <c r="AA79" s="120"/>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row>
    <row r="80" spans="1:60" s="117" customFormat="1" ht="12" customHeight="1">
      <c r="A80" s="97"/>
      <c r="D80" s="127"/>
      <c r="E80" s="128"/>
      <c r="F80" s="124"/>
      <c r="G80" s="112"/>
      <c r="H80" s="112"/>
      <c r="I80" s="95"/>
      <c r="J80" s="95"/>
      <c r="K80" s="94"/>
      <c r="L80" s="97"/>
      <c r="M80" s="94"/>
      <c r="N80" s="95"/>
      <c r="O80" s="94"/>
      <c r="P80" s="94"/>
      <c r="Q80" s="94"/>
      <c r="R80" s="94"/>
      <c r="S80" s="94"/>
      <c r="T80" s="94"/>
      <c r="U80" s="94"/>
      <c r="V80" s="94"/>
      <c r="W80" s="94"/>
      <c r="X80" s="268"/>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row>
    <row r="81" spans="1:28" ht="12" customHeight="1">
      <c r="A81" s="95"/>
      <c r="E81" s="123"/>
      <c r="F81" s="124"/>
      <c r="G81" s="112"/>
      <c r="H81" s="112"/>
      <c r="P81" s="94" t="s">
        <v>13</v>
      </c>
      <c r="Z81" s="95"/>
      <c r="AB81" s="116"/>
    </row>
    <row r="82" spans="1:28" ht="12" customHeight="1">
      <c r="A82" s="95"/>
      <c r="E82" s="123"/>
      <c r="F82" s="124"/>
      <c r="G82" s="112"/>
      <c r="H82" s="112"/>
      <c r="Z82" s="95"/>
    </row>
    <row r="83" spans="1:28" ht="12" customHeight="1">
      <c r="A83" s="97"/>
      <c r="B83" s="110"/>
      <c r="C83" s="112"/>
      <c r="D83" s="112"/>
      <c r="E83" s="123"/>
      <c r="F83" s="124"/>
      <c r="G83" s="112"/>
      <c r="H83" s="112"/>
      <c r="P83" s="94" t="s">
        <v>13</v>
      </c>
    </row>
    <row r="84" spans="1:28" ht="12" customHeight="1">
      <c r="B84" s="125"/>
      <c r="C84" s="123"/>
      <c r="D84" s="123"/>
      <c r="E84" s="123"/>
      <c r="F84" s="124"/>
      <c r="G84" s="112"/>
      <c r="H84" s="112"/>
      <c r="P84" s="94" t="s">
        <v>14</v>
      </c>
    </row>
    <row r="85" spans="1:28" ht="12" customHeight="1">
      <c r="A85" s="97"/>
      <c r="B85" s="125"/>
      <c r="C85" s="129"/>
      <c r="D85" s="129"/>
      <c r="E85" s="123"/>
      <c r="F85" s="124"/>
      <c r="G85" s="112"/>
      <c r="H85" s="112"/>
    </row>
    <row r="86" spans="1:28" ht="12" customHeight="1">
      <c r="A86" s="97"/>
      <c r="B86" s="110"/>
      <c r="C86" s="123"/>
      <c r="D86" s="123"/>
      <c r="E86" s="123"/>
      <c r="F86" s="124"/>
      <c r="G86" s="112"/>
      <c r="H86" s="112"/>
    </row>
    <row r="87" spans="1:28" ht="12" customHeight="1">
      <c r="C87" s="123"/>
      <c r="D87" s="123"/>
      <c r="E87" s="123"/>
      <c r="F87" s="124"/>
      <c r="G87" s="112"/>
      <c r="H87" s="112"/>
    </row>
    <row r="88" spans="1:28" ht="12" customHeight="1">
      <c r="B88" s="110"/>
      <c r="C88" s="112"/>
      <c r="D88" s="112"/>
      <c r="E88" s="112"/>
      <c r="F88" s="124"/>
      <c r="G88" s="112"/>
      <c r="H88" s="112"/>
    </row>
    <row r="89" spans="1:28" ht="12" customHeight="1">
      <c r="B89" s="125"/>
      <c r="C89" s="112"/>
      <c r="D89" s="112"/>
      <c r="E89" s="112"/>
      <c r="F89" s="124"/>
      <c r="G89" s="112"/>
      <c r="H89" s="112"/>
    </row>
    <row r="90" spans="1:28" ht="12" customHeight="1">
      <c r="B90" s="110"/>
      <c r="C90" s="112"/>
      <c r="D90" s="112"/>
      <c r="E90" s="112"/>
      <c r="F90" s="124"/>
      <c r="G90" s="112"/>
      <c r="H90" s="112"/>
    </row>
    <row r="91" spans="1:28" ht="12" customHeight="1">
      <c r="B91" s="110"/>
      <c r="E91" s="112"/>
      <c r="F91" s="124"/>
      <c r="G91" s="112"/>
      <c r="H91" s="112"/>
    </row>
    <row r="92" spans="1:28" ht="12" customHeight="1">
      <c r="B92" s="110"/>
      <c r="C92" s="123"/>
      <c r="D92" s="123"/>
      <c r="E92" s="112"/>
      <c r="F92" s="124"/>
      <c r="G92" s="112"/>
      <c r="H92" s="112"/>
    </row>
    <row r="93" spans="1:28" ht="12" customHeight="1">
      <c r="C93" s="112"/>
      <c r="D93" s="112"/>
      <c r="E93" s="112"/>
      <c r="F93" s="124"/>
      <c r="G93" s="112"/>
      <c r="H93" s="112"/>
    </row>
    <row r="96" spans="1:28" ht="12" customHeight="1">
      <c r="B96" s="97"/>
    </row>
    <row r="97" spans="2:4" ht="12" customHeight="1">
      <c r="B97" s="97"/>
    </row>
    <row r="98" spans="2:4" ht="12" customHeight="1">
      <c r="B98" s="97"/>
    </row>
    <row r="99" spans="2:4" ht="12" customHeight="1">
      <c r="B99" s="97"/>
    </row>
    <row r="100" spans="2:4" ht="12" customHeight="1">
      <c r="B100" s="97"/>
      <c r="C100" s="98"/>
      <c r="D100" s="98"/>
    </row>
    <row r="101" spans="2:4" ht="12" customHeight="1">
      <c r="B101" s="97"/>
    </row>
    <row r="102" spans="2:4" ht="12" customHeight="1">
      <c r="B102" s="97"/>
      <c r="C102" s="94"/>
      <c r="D102" s="94"/>
    </row>
    <row r="103" spans="2:4" ht="12" customHeight="1">
      <c r="B103" s="97"/>
      <c r="C103" s="98"/>
      <c r="D103" s="98"/>
    </row>
    <row r="104" spans="2:4" ht="12" customHeight="1">
      <c r="B104" s="130"/>
      <c r="C104" s="94"/>
      <c r="D104" s="94"/>
    </row>
    <row r="105" spans="2:4" ht="12" customHeight="1">
      <c r="B105" s="131"/>
    </row>
    <row r="106" spans="2:4" ht="12" customHeight="1">
      <c r="B106" s="131"/>
      <c r="C106" s="98"/>
      <c r="D106" s="98"/>
    </row>
    <row r="107" spans="2:4" ht="12" customHeight="1">
      <c r="B107" s="105"/>
    </row>
    <row r="108" spans="2:4" ht="12" customHeight="1">
      <c r="B108" s="131"/>
    </row>
    <row r="109" spans="2:4" ht="12" customHeight="1">
      <c r="B109" s="131"/>
      <c r="C109" s="98"/>
      <c r="D109" s="98"/>
    </row>
    <row r="110" spans="2:4" ht="12" customHeight="1">
      <c r="B110" s="105"/>
    </row>
    <row r="111" spans="2:4" ht="12" customHeight="1">
      <c r="B111" s="132"/>
      <c r="C111" s="94"/>
      <c r="D111" s="94"/>
    </row>
    <row r="112" spans="2:4" ht="12" customHeight="1">
      <c r="B112" s="132"/>
      <c r="C112" s="98"/>
      <c r="D112" s="98"/>
    </row>
    <row r="113" spans="2:4" ht="12" customHeight="1">
      <c r="B113" s="105"/>
      <c r="C113" s="94"/>
      <c r="D113" s="94"/>
    </row>
    <row r="114" spans="2:4" ht="12" customHeight="1">
      <c r="B114" s="132"/>
      <c r="C114" s="94"/>
      <c r="D114" s="94"/>
    </row>
    <row r="115" spans="2:4" ht="12" customHeight="1">
      <c r="B115" s="132"/>
    </row>
    <row r="116" spans="2:4" ht="12" customHeight="1">
      <c r="B116" s="105"/>
      <c r="C116" s="94"/>
      <c r="D116" s="94"/>
    </row>
    <row r="117" spans="2:4" ht="12" customHeight="1">
      <c r="B117" s="105"/>
      <c r="C117" s="94"/>
      <c r="D117" s="94"/>
    </row>
    <row r="118" spans="2:4" ht="12" customHeight="1">
      <c r="B118" s="132"/>
      <c r="C118" s="94"/>
      <c r="D118" s="94"/>
    </row>
    <row r="119" spans="2:4" ht="12" customHeight="1">
      <c r="B119" s="105"/>
      <c r="C119" s="94"/>
      <c r="D119" s="94"/>
    </row>
    <row r="120" spans="2:4" ht="12" customHeight="1">
      <c r="B120" s="105"/>
      <c r="C120" s="94"/>
      <c r="D120" s="94"/>
    </row>
    <row r="121" spans="2:4" ht="12" customHeight="1">
      <c r="B121" s="105"/>
      <c r="C121" s="94"/>
      <c r="D121" s="94"/>
    </row>
    <row r="122" spans="2:4" ht="12" customHeight="1">
      <c r="B122" s="105"/>
      <c r="C122" s="94"/>
      <c r="D122" s="94"/>
    </row>
    <row r="123" spans="2:4" ht="12" customHeight="1">
      <c r="B123" s="105"/>
      <c r="C123" s="94"/>
      <c r="D123" s="94"/>
    </row>
    <row r="124" spans="2:4" ht="12" customHeight="1">
      <c r="B124" s="105"/>
      <c r="C124" s="94"/>
      <c r="D124" s="94"/>
    </row>
    <row r="125" spans="2:4" ht="12" customHeight="1">
      <c r="B125" s="105"/>
      <c r="C125" s="94"/>
      <c r="D125" s="94"/>
    </row>
    <row r="126" spans="2:4" ht="12" customHeight="1">
      <c r="B126" s="105"/>
      <c r="C126" s="94"/>
      <c r="D126" s="94"/>
    </row>
    <row r="127" spans="2:4" ht="12" customHeight="1">
      <c r="B127" s="105"/>
      <c r="C127" s="94"/>
      <c r="D127" s="94"/>
    </row>
    <row r="128" spans="2:4" ht="12" customHeight="1">
      <c r="B128" s="105"/>
      <c r="C128" s="94"/>
      <c r="D128" s="94"/>
    </row>
    <row r="129" spans="2:4" ht="12" customHeight="1">
      <c r="B129" s="105"/>
      <c r="C129" s="94"/>
      <c r="D129" s="94"/>
    </row>
    <row r="130" spans="2:4" ht="12" customHeight="1">
      <c r="B130" s="105"/>
      <c r="C130" s="94"/>
      <c r="D130" s="94"/>
    </row>
    <row r="131" spans="2:4" ht="12" customHeight="1">
      <c r="B131" s="105"/>
      <c r="C131" s="94"/>
      <c r="D131" s="94"/>
    </row>
    <row r="132" spans="2:4" ht="12" customHeight="1">
      <c r="B132" s="105"/>
      <c r="C132" s="94"/>
      <c r="D132" s="94"/>
    </row>
    <row r="133" spans="2:4" ht="12" customHeight="1">
      <c r="B133" s="105"/>
      <c r="C133" s="94"/>
      <c r="D133" s="94"/>
    </row>
    <row r="134" spans="2:4" ht="12" customHeight="1">
      <c r="B134" s="105"/>
      <c r="C134" s="94"/>
      <c r="D134" s="94"/>
    </row>
    <row r="135" spans="2:4" ht="12" customHeight="1">
      <c r="B135" s="105"/>
      <c r="C135" s="94"/>
      <c r="D135" s="94"/>
    </row>
    <row r="136" spans="2:4" ht="12" customHeight="1">
      <c r="B136" s="105"/>
      <c r="C136" s="94"/>
      <c r="D136" s="94"/>
    </row>
    <row r="137" spans="2:4" ht="12" customHeight="1">
      <c r="B137" s="105"/>
      <c r="C137" s="94"/>
      <c r="D137" s="94"/>
    </row>
    <row r="138" spans="2:4" ht="12" customHeight="1">
      <c r="B138" s="105"/>
      <c r="C138" s="94"/>
      <c r="D138" s="94"/>
    </row>
    <row r="139" spans="2:4" ht="12" customHeight="1">
      <c r="B139" s="105"/>
      <c r="C139" s="94"/>
      <c r="D139" s="94"/>
    </row>
    <row r="140" spans="2:4" ht="12" customHeight="1">
      <c r="B140" s="105"/>
      <c r="C140" s="94"/>
      <c r="D140" s="94"/>
    </row>
    <row r="141" spans="2:4" ht="12" customHeight="1">
      <c r="B141" s="105"/>
      <c r="C141" s="94"/>
      <c r="D141" s="94"/>
    </row>
    <row r="142" spans="2:4" ht="12" customHeight="1">
      <c r="B142" s="105"/>
      <c r="C142" s="94"/>
      <c r="D142" s="94"/>
    </row>
    <row r="143" spans="2:4" ht="12" customHeight="1">
      <c r="B143" s="105"/>
      <c r="C143" s="94"/>
      <c r="D143" s="94"/>
    </row>
    <row r="144" spans="2:4" ht="12" customHeight="1">
      <c r="B144" s="105"/>
      <c r="C144" s="94"/>
      <c r="D144" s="94"/>
    </row>
    <row r="145" spans="2:4" ht="12" customHeight="1">
      <c r="B145" s="105"/>
      <c r="C145" s="94"/>
      <c r="D145" s="94"/>
    </row>
    <row r="146" spans="2:4" ht="12" customHeight="1">
      <c r="B146" s="105"/>
      <c r="C146" s="94"/>
      <c r="D146" s="94"/>
    </row>
    <row r="147" spans="2:4" ht="12" customHeight="1">
      <c r="B147" s="105"/>
      <c r="C147" s="94"/>
      <c r="D147" s="94"/>
    </row>
    <row r="148" spans="2:4" ht="12" customHeight="1">
      <c r="B148" s="105"/>
      <c r="C148" s="94"/>
      <c r="D148" s="94"/>
    </row>
    <row r="149" spans="2:4" ht="12" customHeight="1">
      <c r="B149" s="105"/>
      <c r="C149" s="94"/>
      <c r="D149" s="94"/>
    </row>
    <row r="150" spans="2:4" ht="12" customHeight="1">
      <c r="B150" s="105"/>
      <c r="C150" s="94"/>
      <c r="D150" s="94"/>
    </row>
    <row r="151" spans="2:4" ht="12" customHeight="1">
      <c r="B151" s="105"/>
      <c r="C151" s="94"/>
      <c r="D151" s="94"/>
    </row>
    <row r="152" spans="2:4" ht="12" customHeight="1">
      <c r="B152" s="105"/>
      <c r="C152" s="94"/>
      <c r="D152" s="94"/>
    </row>
    <row r="153" spans="2:4" ht="12" customHeight="1">
      <c r="B153" s="105"/>
      <c r="C153" s="94"/>
      <c r="D153" s="94"/>
    </row>
    <row r="154" spans="2:4" ht="12" customHeight="1">
      <c r="B154" s="105"/>
      <c r="C154" s="94"/>
      <c r="D154" s="94"/>
    </row>
    <row r="155" spans="2:4" ht="12" customHeight="1">
      <c r="B155" s="105"/>
      <c r="C155" s="94"/>
      <c r="D155" s="94"/>
    </row>
    <row r="156" spans="2:4" ht="12" customHeight="1">
      <c r="B156" s="105"/>
      <c r="C156" s="94"/>
      <c r="D156" s="94"/>
    </row>
    <row r="157" spans="2:4" ht="12" customHeight="1">
      <c r="B157" s="105"/>
      <c r="C157" s="94"/>
      <c r="D157" s="94"/>
    </row>
    <row r="158" spans="2:4" ht="12" customHeight="1">
      <c r="B158" s="105"/>
      <c r="C158" s="94"/>
      <c r="D158" s="94"/>
    </row>
    <row r="159" spans="2:4" ht="12" customHeight="1">
      <c r="B159" s="105"/>
      <c r="C159" s="94"/>
      <c r="D159" s="94"/>
    </row>
    <row r="160" spans="2:4" ht="12" customHeight="1">
      <c r="B160" s="105"/>
      <c r="C160" s="94"/>
      <c r="D160" s="94"/>
    </row>
    <row r="161" spans="2:4" ht="12" customHeight="1">
      <c r="B161" s="105"/>
      <c r="C161" s="94"/>
      <c r="D161" s="94"/>
    </row>
    <row r="162" spans="2:4" ht="12" customHeight="1">
      <c r="B162" s="105"/>
      <c r="C162" s="94"/>
      <c r="D162" s="94"/>
    </row>
    <row r="163" spans="2:4" ht="12" customHeight="1">
      <c r="B163" s="105"/>
      <c r="C163" s="94"/>
      <c r="D163" s="94"/>
    </row>
    <row r="164" spans="2:4" ht="12" customHeight="1">
      <c r="B164" s="105"/>
      <c r="C164" s="94"/>
      <c r="D164" s="94"/>
    </row>
    <row r="165" spans="2:4" ht="12" customHeight="1">
      <c r="B165" s="105"/>
      <c r="C165" s="94"/>
      <c r="D165" s="94"/>
    </row>
    <row r="166" spans="2:4" ht="12" customHeight="1">
      <c r="B166" s="105"/>
      <c r="C166" s="94"/>
      <c r="D166" s="94"/>
    </row>
    <row r="167" spans="2:4" ht="12" customHeight="1">
      <c r="B167" s="105"/>
      <c r="C167" s="94"/>
      <c r="D167" s="94"/>
    </row>
    <row r="168" spans="2:4" ht="12" customHeight="1">
      <c r="B168" s="105"/>
      <c r="C168" s="94"/>
      <c r="D168" s="94"/>
    </row>
    <row r="169" spans="2:4" ht="12" customHeight="1">
      <c r="B169" s="105"/>
      <c r="C169" s="94"/>
      <c r="D169" s="94"/>
    </row>
    <row r="170" spans="2:4" ht="12" customHeight="1">
      <c r="B170" s="105"/>
      <c r="C170" s="94"/>
      <c r="D170" s="94"/>
    </row>
    <row r="171" spans="2:4" ht="12" customHeight="1">
      <c r="B171" s="105"/>
      <c r="C171" s="94"/>
      <c r="D171" s="94"/>
    </row>
    <row r="172" spans="2:4" ht="12" customHeight="1">
      <c r="B172" s="105"/>
      <c r="C172" s="94"/>
      <c r="D172" s="94"/>
    </row>
    <row r="173" spans="2:4" ht="12" customHeight="1">
      <c r="B173" s="105"/>
      <c r="C173" s="94"/>
      <c r="D173" s="94"/>
    </row>
    <row r="174" spans="2:4" ht="12" customHeight="1">
      <c r="B174" s="105"/>
      <c r="C174" s="94"/>
      <c r="D174" s="94"/>
    </row>
    <row r="175" spans="2:4" ht="12" customHeight="1">
      <c r="B175" s="105"/>
      <c r="C175" s="94"/>
      <c r="D175" s="94"/>
    </row>
    <row r="176" spans="2:4" ht="12" customHeight="1">
      <c r="B176" s="105"/>
      <c r="C176" s="94"/>
      <c r="D176" s="94"/>
    </row>
    <row r="177" spans="2:4" ht="12" customHeight="1">
      <c r="B177" s="105"/>
      <c r="C177" s="94"/>
      <c r="D177" s="94"/>
    </row>
    <row r="178" spans="2:4" ht="12" customHeight="1">
      <c r="B178" s="105"/>
      <c r="C178" s="94"/>
      <c r="D178" s="94"/>
    </row>
    <row r="179" spans="2:4" ht="12" customHeight="1">
      <c r="B179" s="105"/>
      <c r="C179" s="94"/>
      <c r="D179" s="94"/>
    </row>
    <row r="180" spans="2:4" ht="12" customHeight="1">
      <c r="B180" s="105"/>
      <c r="C180" s="94"/>
      <c r="D180" s="94"/>
    </row>
    <row r="181" spans="2:4" ht="12" customHeight="1">
      <c r="B181" s="105"/>
      <c r="C181" s="94"/>
      <c r="D181" s="94"/>
    </row>
    <row r="182" spans="2:4" ht="12" customHeight="1">
      <c r="B182" s="105"/>
      <c r="C182" s="94"/>
      <c r="D182" s="94"/>
    </row>
    <row r="183" spans="2:4" ht="12" customHeight="1">
      <c r="B183" s="105"/>
      <c r="C183" s="94"/>
      <c r="D183" s="94"/>
    </row>
    <row r="184" spans="2:4" ht="12" customHeight="1">
      <c r="B184" s="105"/>
      <c r="C184" s="94"/>
      <c r="D184" s="94"/>
    </row>
    <row r="185" spans="2:4" ht="12" customHeight="1">
      <c r="B185" s="105"/>
      <c r="C185" s="94"/>
      <c r="D185" s="94"/>
    </row>
    <row r="186" spans="2:4" ht="12" customHeight="1">
      <c r="B186" s="105"/>
      <c r="C186" s="94"/>
      <c r="D186" s="94"/>
    </row>
    <row r="187" spans="2:4" ht="12" customHeight="1">
      <c r="B187" s="105"/>
      <c r="C187" s="94"/>
      <c r="D187" s="94"/>
    </row>
    <row r="188" spans="2:4" ht="12" customHeight="1">
      <c r="B188" s="105"/>
      <c r="C188" s="94"/>
      <c r="D188" s="94"/>
    </row>
    <row r="189" spans="2:4" ht="12" customHeight="1">
      <c r="B189" s="105"/>
      <c r="C189" s="94"/>
      <c r="D189" s="94"/>
    </row>
    <row r="190" spans="2:4" ht="12" customHeight="1">
      <c r="B190" s="105"/>
      <c r="C190" s="94"/>
      <c r="D190" s="94"/>
    </row>
    <row r="191" spans="2:4" ht="12" customHeight="1">
      <c r="B191" s="105"/>
      <c r="C191" s="94"/>
      <c r="D191" s="94"/>
    </row>
    <row r="192" spans="2:4" ht="12" customHeight="1">
      <c r="B192" s="105"/>
      <c r="C192" s="94"/>
      <c r="D192" s="94"/>
    </row>
    <row r="193" spans="2:4" ht="12" customHeight="1">
      <c r="B193" s="105"/>
      <c r="C193" s="94"/>
      <c r="D193" s="94"/>
    </row>
    <row r="194" spans="2:4" ht="12" customHeight="1">
      <c r="B194" s="105"/>
      <c r="C194" s="94"/>
      <c r="D194" s="94"/>
    </row>
    <row r="195" spans="2:4" ht="12" customHeight="1">
      <c r="B195" s="105"/>
      <c r="C195" s="94"/>
      <c r="D195" s="94"/>
    </row>
    <row r="196" spans="2:4" ht="12" customHeight="1">
      <c r="B196" s="105"/>
      <c r="C196" s="94"/>
      <c r="D196" s="94"/>
    </row>
    <row r="197" spans="2:4" ht="12" customHeight="1">
      <c r="B197" s="105"/>
      <c r="C197" s="94"/>
      <c r="D197" s="94"/>
    </row>
    <row r="198" spans="2:4" ht="12" customHeight="1">
      <c r="B198" s="105"/>
      <c r="C198" s="94"/>
      <c r="D198" s="94"/>
    </row>
    <row r="199" spans="2:4" ht="12" customHeight="1">
      <c r="B199" s="105"/>
      <c r="C199" s="94"/>
      <c r="D199" s="94"/>
    </row>
    <row r="200" spans="2:4" ht="12" customHeight="1">
      <c r="B200" s="105"/>
      <c r="C200" s="94"/>
      <c r="D200" s="94"/>
    </row>
    <row r="201" spans="2:4" ht="12" customHeight="1">
      <c r="B201" s="105"/>
      <c r="C201" s="94"/>
      <c r="D201" s="94"/>
    </row>
    <row r="202" spans="2:4" ht="12" customHeight="1">
      <c r="B202" s="105"/>
      <c r="C202" s="94"/>
      <c r="D202" s="94"/>
    </row>
    <row r="203" spans="2:4" ht="12" customHeight="1">
      <c r="B203" s="105"/>
      <c r="C203" s="94"/>
      <c r="D203" s="94"/>
    </row>
    <row r="204" spans="2:4" ht="12" customHeight="1">
      <c r="B204" s="105"/>
      <c r="C204" s="94"/>
      <c r="D204" s="94"/>
    </row>
    <row r="205" spans="2:4" ht="12" customHeight="1">
      <c r="B205" s="105"/>
      <c r="C205" s="94"/>
      <c r="D205" s="94"/>
    </row>
    <row r="206" spans="2:4" ht="12" customHeight="1">
      <c r="B206" s="105"/>
      <c r="C206" s="94"/>
      <c r="D206" s="94"/>
    </row>
    <row r="207" spans="2:4" ht="12" customHeight="1">
      <c r="B207" s="105"/>
      <c r="C207" s="94"/>
      <c r="D207" s="94"/>
    </row>
    <row r="208" spans="2:4" ht="12" customHeight="1">
      <c r="B208" s="105"/>
      <c r="C208" s="94"/>
      <c r="D208" s="94"/>
    </row>
    <row r="209" spans="2:4" ht="12" customHeight="1">
      <c r="B209" s="105"/>
      <c r="C209" s="94"/>
      <c r="D209" s="94"/>
    </row>
    <row r="210" spans="2:4" ht="12" customHeight="1">
      <c r="B210" s="105"/>
      <c r="C210" s="94"/>
      <c r="D210" s="94"/>
    </row>
    <row r="211" spans="2:4" ht="12" customHeight="1">
      <c r="B211" s="105"/>
      <c r="C211" s="94"/>
      <c r="D211" s="94"/>
    </row>
    <row r="212" spans="2:4" ht="12" customHeight="1">
      <c r="B212" s="105"/>
      <c r="C212" s="94"/>
      <c r="D212" s="94"/>
    </row>
    <row r="213" spans="2:4" ht="12" customHeight="1">
      <c r="B213" s="105"/>
      <c r="C213" s="94"/>
      <c r="D213" s="94"/>
    </row>
    <row r="214" spans="2:4" ht="12" customHeight="1">
      <c r="B214" s="105"/>
      <c r="C214" s="94"/>
      <c r="D214" s="94"/>
    </row>
    <row r="215" spans="2:4" ht="12" customHeight="1">
      <c r="B215" s="105"/>
      <c r="C215" s="94"/>
      <c r="D215" s="94"/>
    </row>
    <row r="216" spans="2:4" ht="12" customHeight="1">
      <c r="B216" s="105"/>
      <c r="C216" s="94"/>
      <c r="D216" s="94"/>
    </row>
    <row r="217" spans="2:4" ht="12" customHeight="1">
      <c r="B217" s="105"/>
      <c r="C217" s="94"/>
      <c r="D217" s="94"/>
    </row>
    <row r="218" spans="2:4" ht="12" customHeight="1">
      <c r="B218" s="105"/>
      <c r="C218" s="94"/>
      <c r="D218" s="94"/>
    </row>
    <row r="219" spans="2:4" ht="12" customHeight="1">
      <c r="B219" s="105"/>
      <c r="C219" s="94"/>
      <c r="D219" s="94"/>
    </row>
    <row r="220" spans="2:4" ht="12" customHeight="1">
      <c r="B220" s="105"/>
      <c r="C220" s="94"/>
      <c r="D220" s="94"/>
    </row>
    <row r="221" spans="2:4" ht="12" customHeight="1">
      <c r="B221" s="105"/>
      <c r="C221" s="94"/>
      <c r="D221" s="94"/>
    </row>
    <row r="222" spans="2:4" ht="12" customHeight="1">
      <c r="B222" s="105"/>
      <c r="C222" s="94"/>
      <c r="D222" s="94"/>
    </row>
    <row r="223" spans="2:4" ht="12" customHeight="1">
      <c r="B223" s="105"/>
      <c r="C223" s="94"/>
      <c r="D223" s="94"/>
    </row>
    <row r="224" spans="2:4" ht="12" customHeight="1">
      <c r="B224" s="105"/>
      <c r="C224" s="94"/>
      <c r="D224" s="94"/>
    </row>
    <row r="225" spans="2:4" ht="12" customHeight="1">
      <c r="B225" s="105"/>
      <c r="C225" s="94"/>
      <c r="D225" s="94"/>
    </row>
    <row r="226" spans="2:4" ht="12" customHeight="1">
      <c r="B226" s="105"/>
      <c r="C226" s="94"/>
      <c r="D226" s="94"/>
    </row>
    <row r="227" spans="2:4" ht="12" customHeight="1">
      <c r="B227" s="105"/>
      <c r="C227" s="94"/>
      <c r="D227" s="94"/>
    </row>
    <row r="228" spans="2:4" ht="12" customHeight="1">
      <c r="B228" s="105"/>
      <c r="C228" s="94"/>
      <c r="D228" s="94"/>
    </row>
    <row r="229" spans="2:4" ht="12" customHeight="1">
      <c r="B229" s="105"/>
      <c r="C229" s="94"/>
      <c r="D229" s="94"/>
    </row>
    <row r="230" spans="2:4" ht="12" customHeight="1">
      <c r="B230" s="105"/>
      <c r="C230" s="94"/>
      <c r="D230" s="94"/>
    </row>
    <row r="231" spans="2:4" ht="12" customHeight="1">
      <c r="B231" s="105"/>
      <c r="C231" s="94"/>
      <c r="D231" s="94"/>
    </row>
    <row r="232" spans="2:4" ht="12" customHeight="1">
      <c r="B232" s="105"/>
      <c r="C232" s="94"/>
      <c r="D232" s="94"/>
    </row>
    <row r="233" spans="2:4" ht="12" customHeight="1">
      <c r="B233" s="105"/>
      <c r="C233" s="94"/>
      <c r="D233" s="94"/>
    </row>
    <row r="234" spans="2:4" ht="12" customHeight="1">
      <c r="B234" s="105"/>
      <c r="C234" s="94"/>
      <c r="D234" s="94"/>
    </row>
    <row r="235" spans="2:4" ht="12" customHeight="1">
      <c r="B235" s="105"/>
      <c r="C235" s="94"/>
      <c r="D235" s="94"/>
    </row>
    <row r="236" spans="2:4" ht="12" customHeight="1">
      <c r="B236" s="105"/>
      <c r="C236" s="94"/>
      <c r="D236" s="94"/>
    </row>
    <row r="237" spans="2:4" ht="12" customHeight="1">
      <c r="B237" s="105"/>
      <c r="C237" s="94"/>
      <c r="D237" s="94"/>
    </row>
    <row r="238" spans="2:4" ht="12" customHeight="1">
      <c r="B238" s="105"/>
      <c r="C238" s="94"/>
      <c r="D238" s="94"/>
    </row>
    <row r="239" spans="2:4" ht="12" customHeight="1">
      <c r="B239" s="105"/>
      <c r="C239" s="94"/>
      <c r="D239" s="94"/>
    </row>
    <row r="240" spans="2:4" ht="12" customHeight="1">
      <c r="B240" s="105"/>
      <c r="C240" s="94"/>
      <c r="D240" s="94"/>
    </row>
    <row r="241" spans="2:4" ht="12" customHeight="1">
      <c r="B241" s="105"/>
      <c r="C241" s="94"/>
      <c r="D241" s="94"/>
    </row>
    <row r="242" spans="2:4" ht="12" customHeight="1">
      <c r="B242" s="105"/>
      <c r="C242" s="94"/>
      <c r="D242" s="94"/>
    </row>
    <row r="243" spans="2:4" ht="12" customHeight="1">
      <c r="B243" s="105"/>
      <c r="C243" s="94"/>
      <c r="D243" s="94"/>
    </row>
    <row r="244" spans="2:4" ht="12" customHeight="1">
      <c r="B244" s="105"/>
      <c r="C244" s="94"/>
      <c r="D244" s="94"/>
    </row>
    <row r="245" spans="2:4" ht="12" customHeight="1">
      <c r="B245" s="105"/>
      <c r="C245" s="94"/>
      <c r="D245" s="94"/>
    </row>
    <row r="246" spans="2:4" ht="12" customHeight="1">
      <c r="B246" s="105"/>
      <c r="C246" s="94"/>
      <c r="D246" s="94"/>
    </row>
    <row r="247" spans="2:4" ht="12" customHeight="1">
      <c r="B247" s="105"/>
      <c r="C247" s="94"/>
      <c r="D247" s="94"/>
    </row>
    <row r="248" spans="2:4" ht="12" customHeight="1">
      <c r="B248" s="105"/>
      <c r="C248" s="94"/>
      <c r="D248" s="94"/>
    </row>
    <row r="249" spans="2:4" ht="12" customHeight="1">
      <c r="B249" s="105"/>
      <c r="C249" s="94"/>
      <c r="D249" s="94"/>
    </row>
    <row r="250" spans="2:4" ht="12" customHeight="1">
      <c r="B250" s="105"/>
      <c r="C250" s="94"/>
      <c r="D250" s="94"/>
    </row>
    <row r="251" spans="2:4" ht="12" customHeight="1">
      <c r="B251" s="105"/>
      <c r="C251" s="94"/>
      <c r="D251" s="94"/>
    </row>
    <row r="252" spans="2:4" ht="12" customHeight="1">
      <c r="B252" s="105"/>
      <c r="C252" s="94"/>
      <c r="D252" s="94"/>
    </row>
    <row r="253" spans="2:4" ht="12" customHeight="1">
      <c r="B253" s="105"/>
      <c r="C253" s="94"/>
      <c r="D253" s="94"/>
    </row>
    <row r="254" spans="2:4" ht="12" customHeight="1">
      <c r="B254" s="105"/>
      <c r="C254" s="94"/>
      <c r="D254" s="94"/>
    </row>
    <row r="255" spans="2:4" ht="12" customHeight="1">
      <c r="B255" s="105"/>
      <c r="C255" s="94"/>
      <c r="D255" s="94"/>
    </row>
    <row r="256" spans="2:4" ht="12" customHeight="1">
      <c r="B256" s="105"/>
      <c r="C256" s="94"/>
      <c r="D256" s="94"/>
    </row>
    <row r="257" spans="2:4" ht="12" customHeight="1">
      <c r="B257" s="105"/>
      <c r="C257" s="94"/>
      <c r="D257" s="94"/>
    </row>
    <row r="258" spans="2:4" ht="12" customHeight="1">
      <c r="B258" s="105"/>
      <c r="C258" s="94"/>
      <c r="D258" s="94"/>
    </row>
    <row r="259" spans="2:4" ht="12" customHeight="1">
      <c r="B259" s="105"/>
      <c r="C259" s="94"/>
      <c r="D259" s="94"/>
    </row>
    <row r="260" spans="2:4" ht="12" customHeight="1">
      <c r="B260" s="105"/>
      <c r="C260" s="94"/>
      <c r="D260" s="94"/>
    </row>
    <row r="261" spans="2:4" ht="12" customHeight="1">
      <c r="B261" s="105"/>
      <c r="C261" s="94"/>
      <c r="D261" s="94"/>
    </row>
    <row r="262" spans="2:4" ht="12" customHeight="1">
      <c r="B262" s="105"/>
      <c r="C262" s="94"/>
      <c r="D262" s="94"/>
    </row>
    <row r="263" spans="2:4" ht="12" customHeight="1">
      <c r="B263" s="105"/>
      <c r="C263" s="94"/>
      <c r="D263" s="94"/>
    </row>
    <row r="264" spans="2:4" ht="12" customHeight="1">
      <c r="B264" s="105"/>
      <c r="C264" s="94"/>
      <c r="D264" s="94"/>
    </row>
    <row r="265" spans="2:4" ht="12" customHeight="1">
      <c r="B265" s="105"/>
      <c r="C265" s="94"/>
      <c r="D265" s="94"/>
    </row>
    <row r="266" spans="2:4" ht="12" customHeight="1">
      <c r="B266" s="105"/>
      <c r="C266" s="94"/>
      <c r="D266" s="94"/>
    </row>
    <row r="267" spans="2:4" ht="12" customHeight="1">
      <c r="B267" s="105"/>
      <c r="C267" s="94"/>
      <c r="D267" s="94"/>
    </row>
    <row r="268" spans="2:4" ht="12" customHeight="1">
      <c r="B268" s="105"/>
      <c r="C268" s="94"/>
      <c r="D268" s="94"/>
    </row>
    <row r="269" spans="2:4" ht="12" customHeight="1">
      <c r="B269" s="105"/>
      <c r="C269" s="94"/>
      <c r="D269" s="94"/>
    </row>
    <row r="270" spans="2:4" ht="12" customHeight="1">
      <c r="B270" s="105"/>
      <c r="C270" s="94"/>
      <c r="D270" s="94"/>
    </row>
    <row r="271" spans="2:4" ht="12" customHeight="1">
      <c r="B271" s="105"/>
      <c r="C271" s="94"/>
      <c r="D271" s="94"/>
    </row>
    <row r="272" spans="2:4" ht="12" customHeight="1">
      <c r="B272" s="105"/>
      <c r="C272" s="94"/>
      <c r="D272" s="94"/>
    </row>
    <row r="273" spans="2:4" ht="12" customHeight="1">
      <c r="B273" s="105"/>
      <c r="C273" s="94"/>
      <c r="D273" s="94"/>
    </row>
    <row r="274" spans="2:4" ht="12" customHeight="1">
      <c r="B274" s="105"/>
      <c r="C274" s="94"/>
      <c r="D274" s="94"/>
    </row>
    <row r="275" spans="2:4" ht="12" customHeight="1">
      <c r="B275" s="105"/>
      <c r="C275" s="94"/>
      <c r="D275" s="94"/>
    </row>
    <row r="276" spans="2:4" ht="12" customHeight="1">
      <c r="B276" s="105"/>
      <c r="C276" s="94"/>
      <c r="D276" s="94"/>
    </row>
    <row r="277" spans="2:4" ht="12" customHeight="1">
      <c r="B277" s="105"/>
      <c r="C277" s="94"/>
      <c r="D277" s="94"/>
    </row>
    <row r="278" spans="2:4" ht="12" customHeight="1">
      <c r="B278" s="105"/>
      <c r="C278" s="94"/>
      <c r="D278" s="94"/>
    </row>
    <row r="279" spans="2:4" ht="12" customHeight="1">
      <c r="B279" s="105"/>
      <c r="C279" s="94"/>
      <c r="D279" s="94"/>
    </row>
    <row r="280" spans="2:4" ht="12" customHeight="1">
      <c r="B280" s="105"/>
      <c r="C280" s="94"/>
      <c r="D280" s="94"/>
    </row>
    <row r="281" spans="2:4" ht="12" customHeight="1">
      <c r="B281" s="105"/>
      <c r="C281" s="94"/>
      <c r="D281" s="94"/>
    </row>
    <row r="282" spans="2:4" ht="12" customHeight="1">
      <c r="B282" s="105"/>
      <c r="C282" s="94"/>
      <c r="D282" s="94"/>
    </row>
    <row r="283" spans="2:4" ht="12" customHeight="1">
      <c r="B283" s="105"/>
      <c r="C283" s="94"/>
      <c r="D283" s="94"/>
    </row>
    <row r="284" spans="2:4" ht="12" customHeight="1">
      <c r="B284" s="105"/>
      <c r="C284" s="94"/>
      <c r="D284" s="94"/>
    </row>
    <row r="285" spans="2:4" ht="12" customHeight="1">
      <c r="B285" s="105"/>
      <c r="C285" s="94"/>
      <c r="D285" s="94"/>
    </row>
    <row r="286" spans="2:4" ht="12" customHeight="1">
      <c r="B286" s="105"/>
      <c r="C286" s="94"/>
      <c r="D286" s="94"/>
    </row>
    <row r="287" spans="2:4" ht="12" customHeight="1">
      <c r="B287" s="105"/>
      <c r="C287" s="94"/>
      <c r="D287" s="94"/>
    </row>
    <row r="288" spans="2:4" ht="12" customHeight="1">
      <c r="B288" s="105"/>
      <c r="C288" s="94"/>
      <c r="D288" s="94"/>
    </row>
    <row r="289" spans="2:4" ht="12" customHeight="1">
      <c r="B289" s="105"/>
      <c r="C289" s="94"/>
      <c r="D289" s="94"/>
    </row>
    <row r="290" spans="2:4" ht="12" customHeight="1">
      <c r="B290" s="105"/>
      <c r="C290" s="94"/>
      <c r="D290" s="94"/>
    </row>
    <row r="291" spans="2:4" ht="12" customHeight="1">
      <c r="B291" s="105"/>
      <c r="C291" s="94"/>
      <c r="D291" s="94"/>
    </row>
    <row r="292" spans="2:4" ht="12" customHeight="1">
      <c r="B292" s="105"/>
      <c r="C292" s="94"/>
      <c r="D292" s="94"/>
    </row>
    <row r="293" spans="2:4" ht="12" customHeight="1">
      <c r="B293" s="105"/>
      <c r="C293" s="94"/>
      <c r="D293" s="94"/>
    </row>
    <row r="294" spans="2:4" ht="12" customHeight="1">
      <c r="B294" s="105"/>
      <c r="C294" s="94"/>
      <c r="D294" s="94"/>
    </row>
    <row r="295" spans="2:4" ht="12" customHeight="1">
      <c r="B295" s="105"/>
      <c r="C295" s="94"/>
      <c r="D295" s="94"/>
    </row>
    <row r="296" spans="2:4" ht="12" customHeight="1">
      <c r="B296" s="105"/>
      <c r="C296" s="94"/>
      <c r="D296" s="94"/>
    </row>
    <row r="297" spans="2:4" ht="12" customHeight="1">
      <c r="B297" s="105"/>
      <c r="C297" s="94"/>
      <c r="D297" s="94"/>
    </row>
    <row r="298" spans="2:4" ht="12" customHeight="1">
      <c r="B298" s="105"/>
      <c r="C298" s="94"/>
      <c r="D298" s="94"/>
    </row>
    <row r="299" spans="2:4" ht="12" customHeight="1">
      <c r="B299" s="105"/>
      <c r="C299" s="94"/>
      <c r="D299" s="94"/>
    </row>
    <row r="300" spans="2:4" ht="12" customHeight="1">
      <c r="B300" s="105"/>
      <c r="C300" s="94"/>
      <c r="D300" s="94"/>
    </row>
    <row r="301" spans="2:4" ht="12" customHeight="1">
      <c r="B301" s="105"/>
      <c r="C301" s="94"/>
      <c r="D301" s="94"/>
    </row>
    <row r="302" spans="2:4" ht="12" customHeight="1">
      <c r="B302" s="105"/>
      <c r="C302" s="94"/>
      <c r="D302" s="94"/>
    </row>
    <row r="303" spans="2:4" ht="12" customHeight="1">
      <c r="B303" s="105"/>
      <c r="C303" s="94"/>
      <c r="D303" s="94"/>
    </row>
    <row r="304" spans="2:4" ht="12" customHeight="1">
      <c r="B304" s="105"/>
      <c r="C304" s="94"/>
      <c r="D304" s="94"/>
    </row>
    <row r="305" spans="2:4" ht="12" customHeight="1">
      <c r="B305" s="105"/>
      <c r="C305" s="94"/>
      <c r="D305" s="94"/>
    </row>
    <row r="306" spans="2:4" ht="12" customHeight="1">
      <c r="B306" s="105"/>
      <c r="C306" s="94"/>
      <c r="D306" s="94"/>
    </row>
    <row r="307" spans="2:4" ht="12" customHeight="1">
      <c r="B307" s="105"/>
      <c r="C307" s="94"/>
      <c r="D307" s="94"/>
    </row>
    <row r="308" spans="2:4" ht="12" customHeight="1">
      <c r="B308" s="105"/>
      <c r="C308" s="94"/>
      <c r="D308" s="94"/>
    </row>
    <row r="309" spans="2:4" ht="12" customHeight="1">
      <c r="B309" s="105"/>
      <c r="C309" s="94"/>
      <c r="D309" s="94"/>
    </row>
    <row r="310" spans="2:4" ht="12" customHeight="1">
      <c r="B310" s="105"/>
      <c r="C310" s="94"/>
      <c r="D310" s="94"/>
    </row>
    <row r="311" spans="2:4" ht="12" customHeight="1">
      <c r="B311" s="105"/>
      <c r="C311" s="94"/>
      <c r="D311" s="94"/>
    </row>
    <row r="312" spans="2:4" ht="12" customHeight="1">
      <c r="B312" s="105"/>
      <c r="C312" s="94"/>
      <c r="D312" s="94"/>
    </row>
    <row r="313" spans="2:4" ht="12" customHeight="1">
      <c r="B313" s="105"/>
      <c r="C313" s="94"/>
      <c r="D313" s="94"/>
    </row>
    <row r="314" spans="2:4" ht="12" customHeight="1">
      <c r="B314" s="105"/>
      <c r="C314" s="94"/>
      <c r="D314" s="94"/>
    </row>
    <row r="315" spans="2:4" ht="12" customHeight="1">
      <c r="B315" s="105"/>
      <c r="C315" s="94"/>
      <c r="D315" s="94"/>
    </row>
    <row r="316" spans="2:4" ht="12" customHeight="1">
      <c r="B316" s="105"/>
      <c r="C316" s="94"/>
      <c r="D316" s="94"/>
    </row>
    <row r="317" spans="2:4" ht="12" customHeight="1">
      <c r="B317" s="105"/>
      <c r="C317" s="94"/>
      <c r="D317" s="94"/>
    </row>
    <row r="318" spans="2:4" ht="12" customHeight="1">
      <c r="B318" s="105"/>
      <c r="C318" s="94"/>
      <c r="D318" s="94"/>
    </row>
    <row r="319" spans="2:4" ht="12" customHeight="1">
      <c r="B319" s="105"/>
      <c r="C319" s="94"/>
      <c r="D319" s="94"/>
    </row>
    <row r="320" spans="2:4" ht="12" customHeight="1">
      <c r="B320" s="105"/>
      <c r="C320" s="94"/>
      <c r="D320" s="94"/>
    </row>
    <row r="321" spans="2:4" ht="12" customHeight="1">
      <c r="B321" s="105"/>
      <c r="C321" s="94"/>
      <c r="D321" s="94"/>
    </row>
    <row r="322" spans="2:4" ht="12" customHeight="1">
      <c r="B322" s="105"/>
      <c r="C322" s="94"/>
      <c r="D322" s="94"/>
    </row>
    <row r="323" spans="2:4" ht="12" customHeight="1">
      <c r="B323" s="105"/>
      <c r="C323" s="94"/>
      <c r="D323" s="94"/>
    </row>
    <row r="324" spans="2:4" ht="12" customHeight="1">
      <c r="B324" s="105"/>
      <c r="C324" s="94"/>
      <c r="D324" s="94"/>
    </row>
    <row r="325" spans="2:4" ht="12" customHeight="1">
      <c r="B325" s="105"/>
      <c r="C325" s="94"/>
      <c r="D325" s="94"/>
    </row>
    <row r="326" spans="2:4" ht="12" customHeight="1">
      <c r="B326" s="105"/>
      <c r="C326" s="94"/>
      <c r="D326" s="94"/>
    </row>
    <row r="327" spans="2:4" ht="12" customHeight="1">
      <c r="B327" s="105"/>
      <c r="C327" s="94"/>
      <c r="D327" s="94"/>
    </row>
    <row r="328" spans="2:4" ht="12" customHeight="1">
      <c r="B328" s="105"/>
      <c r="C328" s="94"/>
      <c r="D328" s="94"/>
    </row>
    <row r="329" spans="2:4" ht="12" customHeight="1">
      <c r="B329" s="105"/>
      <c r="C329" s="94"/>
      <c r="D329" s="94"/>
    </row>
    <row r="330" spans="2:4" ht="12" customHeight="1">
      <c r="B330" s="105"/>
      <c r="C330" s="94"/>
      <c r="D330" s="94"/>
    </row>
    <row r="331" spans="2:4" ht="12" customHeight="1">
      <c r="B331" s="105"/>
      <c r="C331" s="94"/>
      <c r="D331" s="94"/>
    </row>
    <row r="332" spans="2:4" ht="12" customHeight="1">
      <c r="B332" s="105"/>
      <c r="C332" s="94"/>
      <c r="D332" s="94"/>
    </row>
    <row r="333" spans="2:4" ht="12" customHeight="1">
      <c r="B333" s="105"/>
      <c r="C333" s="94"/>
      <c r="D333" s="94"/>
    </row>
    <row r="334" spans="2:4" ht="12" customHeight="1">
      <c r="B334" s="105"/>
      <c r="C334" s="94"/>
      <c r="D334" s="94"/>
    </row>
    <row r="335" spans="2:4" ht="12" customHeight="1">
      <c r="B335" s="105"/>
      <c r="C335" s="94"/>
      <c r="D335" s="94"/>
    </row>
    <row r="336" spans="2:4" ht="12" customHeight="1">
      <c r="B336" s="105"/>
      <c r="C336" s="94"/>
      <c r="D336" s="94"/>
    </row>
    <row r="337" spans="2:4" ht="12" customHeight="1">
      <c r="B337" s="105"/>
      <c r="C337" s="94"/>
      <c r="D337" s="94"/>
    </row>
    <row r="338" spans="2:4" ht="12" customHeight="1">
      <c r="B338" s="105"/>
      <c r="C338" s="94"/>
      <c r="D338" s="94"/>
    </row>
    <row r="339" spans="2:4" ht="12" customHeight="1">
      <c r="B339" s="105"/>
      <c r="C339" s="94"/>
      <c r="D339" s="94"/>
    </row>
    <row r="340" spans="2:4" ht="12" customHeight="1">
      <c r="B340" s="105"/>
      <c r="C340" s="94"/>
      <c r="D340" s="94"/>
    </row>
    <row r="341" spans="2:4" ht="12" customHeight="1">
      <c r="B341" s="105"/>
      <c r="C341" s="94"/>
      <c r="D341" s="94"/>
    </row>
    <row r="342" spans="2:4" ht="12" customHeight="1">
      <c r="B342" s="105"/>
      <c r="C342" s="94"/>
      <c r="D342" s="94"/>
    </row>
    <row r="343" spans="2:4" ht="12" customHeight="1">
      <c r="B343" s="105"/>
      <c r="C343" s="94"/>
      <c r="D343" s="94"/>
    </row>
    <row r="344" spans="2:4" ht="12" customHeight="1">
      <c r="B344" s="105"/>
      <c r="C344" s="94"/>
      <c r="D344" s="94"/>
    </row>
  </sheetData>
  <sortState xmlns:xlrd2="http://schemas.microsoft.com/office/spreadsheetml/2017/richdata2" ref="A3:BH13">
    <sortCondition ref="A13"/>
  </sortState>
  <phoneticPr fontId="0" type="noConversion"/>
  <conditionalFormatting sqref="C52:X63 C38:X49 C22:X33">
    <cfRule type="cellIs" dxfId="75" priority="75" stopIfTrue="1" operator="equal">
      <formula>0</formula>
    </cfRule>
  </conditionalFormatting>
  <conditionalFormatting sqref="AC52:AY63">
    <cfRule type="cellIs" dxfId="74" priority="101" operator="equal">
      <formula>1</formula>
    </cfRule>
  </conditionalFormatting>
  <conditionalFormatting sqref="G22:G33">
    <cfRule type="top10" dxfId="73" priority="264" rank="1"/>
  </conditionalFormatting>
  <conditionalFormatting sqref="F22:F33">
    <cfRule type="top10" dxfId="72" priority="265" rank="1"/>
  </conditionalFormatting>
  <conditionalFormatting sqref="E22:E33">
    <cfRule type="top10" dxfId="71" priority="266" rank="1"/>
  </conditionalFormatting>
  <conditionalFormatting sqref="C22:C33">
    <cfRule type="top10" dxfId="70" priority="267" rank="1"/>
  </conditionalFormatting>
  <conditionalFormatting sqref="D22:D33">
    <cfRule type="top10" dxfId="69" priority="268" rank="1"/>
  </conditionalFormatting>
  <conditionalFormatting sqref="H22:H33">
    <cfRule type="top10" dxfId="68" priority="269" rank="1"/>
  </conditionalFormatting>
  <conditionalFormatting sqref="I22:I33">
    <cfRule type="top10" dxfId="67" priority="270" rank="1"/>
  </conditionalFormatting>
  <conditionalFormatting sqref="J22:J33">
    <cfRule type="top10" dxfId="66" priority="271" rank="1"/>
  </conditionalFormatting>
  <conditionalFormatting sqref="K22:K33">
    <cfRule type="top10" dxfId="65" priority="272" rank="1"/>
  </conditionalFormatting>
  <conditionalFormatting sqref="L22:L33">
    <cfRule type="top10" dxfId="64" priority="273" rank="1"/>
  </conditionalFormatting>
  <conditionalFormatting sqref="M22:M33">
    <cfRule type="top10" dxfId="63" priority="274" rank="1"/>
  </conditionalFormatting>
  <conditionalFormatting sqref="N22:N33">
    <cfRule type="top10" dxfId="62" priority="275" rank="1"/>
  </conditionalFormatting>
  <conditionalFormatting sqref="O22:O33">
    <cfRule type="top10" dxfId="61" priority="276" rank="1"/>
  </conditionalFormatting>
  <conditionalFormatting sqref="P22:P33">
    <cfRule type="top10" dxfId="60" priority="277" rank="1"/>
  </conditionalFormatting>
  <conditionalFormatting sqref="Q22:Q33">
    <cfRule type="top10" dxfId="59" priority="278" rank="1"/>
  </conditionalFormatting>
  <conditionalFormatting sqref="R22:R33">
    <cfRule type="top10" dxfId="58" priority="279" rank="1"/>
  </conditionalFormatting>
  <conditionalFormatting sqref="S22:S33">
    <cfRule type="top10" dxfId="57" priority="280" rank="1"/>
  </conditionalFormatting>
  <conditionalFormatting sqref="T22:T33">
    <cfRule type="top10" dxfId="56" priority="281" rank="1"/>
  </conditionalFormatting>
  <conditionalFormatting sqref="U22:U33">
    <cfRule type="top10" dxfId="55" priority="282" rank="1"/>
  </conditionalFormatting>
  <conditionalFormatting sqref="V22:V33">
    <cfRule type="top10" dxfId="54" priority="283" rank="1"/>
  </conditionalFormatting>
  <conditionalFormatting sqref="W22:W33">
    <cfRule type="top10" dxfId="53" priority="284" rank="1"/>
  </conditionalFormatting>
  <conditionalFormatting sqref="X22:X33">
    <cfRule type="top10" dxfId="52" priority="285" rank="1"/>
  </conditionalFormatting>
  <conditionalFormatting sqref="C38:C49">
    <cfRule type="top10" dxfId="51" priority="286" rank="1"/>
  </conditionalFormatting>
  <conditionalFormatting sqref="D38:D49">
    <cfRule type="top10" dxfId="50" priority="287" rank="1"/>
  </conditionalFormatting>
  <conditionalFormatting sqref="E38:E49">
    <cfRule type="top10" dxfId="49" priority="288" rank="1"/>
  </conditionalFormatting>
  <conditionalFormatting sqref="G38:G49">
    <cfRule type="top10" dxfId="48" priority="289" rank="1"/>
  </conditionalFormatting>
  <conditionalFormatting sqref="H38:H49">
    <cfRule type="top10" dxfId="47" priority="290" rank="1"/>
  </conditionalFormatting>
  <conditionalFormatting sqref="I38:I49">
    <cfRule type="top10" dxfId="46" priority="291" rank="1"/>
  </conditionalFormatting>
  <conditionalFormatting sqref="J38:J49">
    <cfRule type="top10" dxfId="45" priority="292" rank="1"/>
  </conditionalFormatting>
  <conditionalFormatting sqref="K38:K49">
    <cfRule type="top10" dxfId="44" priority="293" rank="1"/>
  </conditionalFormatting>
  <conditionalFormatting sqref="L38:L49">
    <cfRule type="top10" dxfId="43" priority="294" rank="1"/>
  </conditionalFormatting>
  <conditionalFormatting sqref="M38:M49">
    <cfRule type="top10" dxfId="42" priority="295" rank="1"/>
  </conditionalFormatting>
  <conditionalFormatting sqref="N38:N49">
    <cfRule type="top10" dxfId="41" priority="296" rank="1"/>
  </conditionalFormatting>
  <conditionalFormatting sqref="O38:O49">
    <cfRule type="top10" dxfId="40" priority="297" rank="1"/>
  </conditionalFormatting>
  <conditionalFormatting sqref="P38:P49">
    <cfRule type="top10" dxfId="39" priority="298" rank="1"/>
  </conditionalFormatting>
  <conditionalFormatting sqref="Q38:Q49">
    <cfRule type="top10" dxfId="38" priority="299" rank="1"/>
  </conditionalFormatting>
  <conditionalFormatting sqref="R38:R49">
    <cfRule type="top10" dxfId="37" priority="300" rank="1"/>
  </conditionalFormatting>
  <conditionalFormatting sqref="S38:S49">
    <cfRule type="top10" dxfId="36" priority="301" rank="1"/>
  </conditionalFormatting>
  <conditionalFormatting sqref="T38:T49">
    <cfRule type="top10" dxfId="35" priority="302" rank="1"/>
  </conditionalFormatting>
  <conditionalFormatting sqref="U38:U49">
    <cfRule type="top10" dxfId="34" priority="303" rank="1"/>
  </conditionalFormatting>
  <conditionalFormatting sqref="V38:V49">
    <cfRule type="top10" dxfId="33" priority="304" rank="1"/>
  </conditionalFormatting>
  <conditionalFormatting sqref="W38:W49">
    <cfRule type="top10" dxfId="32" priority="305" rank="1"/>
  </conditionalFormatting>
  <conditionalFormatting sqref="X38:X49">
    <cfRule type="top10" dxfId="31" priority="306" rank="1"/>
  </conditionalFormatting>
  <conditionalFormatting sqref="F38:F49">
    <cfRule type="top10" dxfId="30" priority="307" rank="1"/>
  </conditionalFormatting>
  <conditionalFormatting sqref="C52:C63">
    <cfRule type="top10" dxfId="29" priority="308" rank="1"/>
  </conditionalFormatting>
  <conditionalFormatting sqref="D52:D63">
    <cfRule type="top10" dxfId="28" priority="309" rank="1"/>
  </conditionalFormatting>
  <conditionalFormatting sqref="E52:E63">
    <cfRule type="top10" dxfId="27" priority="310" rank="1"/>
  </conditionalFormatting>
  <conditionalFormatting sqref="H52:H63">
    <cfRule type="top10" dxfId="26" priority="311" rank="1"/>
  </conditionalFormatting>
  <conditionalFormatting sqref="I52:I63">
    <cfRule type="top10" dxfId="25" priority="312" rank="1"/>
  </conditionalFormatting>
  <conditionalFormatting sqref="J52:J63">
    <cfRule type="top10" dxfId="24" priority="313" rank="1"/>
  </conditionalFormatting>
  <conditionalFormatting sqref="K52:K63">
    <cfRule type="top10" dxfId="23" priority="314" rank="1"/>
  </conditionalFormatting>
  <conditionalFormatting sqref="L52:L63">
    <cfRule type="top10" dxfId="22" priority="315" rank="1"/>
  </conditionalFormatting>
  <conditionalFormatting sqref="M52:M63">
    <cfRule type="top10" dxfId="21" priority="316" rank="1"/>
  </conditionalFormatting>
  <conditionalFormatting sqref="N52:N63">
    <cfRule type="top10" dxfId="20" priority="317" rank="1"/>
  </conditionalFormatting>
  <conditionalFormatting sqref="G52:G63">
    <cfRule type="top10" dxfId="19" priority="318" rank="1"/>
  </conditionalFormatting>
  <conditionalFormatting sqref="O52:O63">
    <cfRule type="top10" dxfId="18" priority="319" rank="1"/>
  </conditionalFormatting>
  <conditionalFormatting sqref="P52:P63">
    <cfRule type="top10" dxfId="17" priority="320" rank="1"/>
  </conditionalFormatting>
  <conditionalFormatting sqref="Q52:Q63">
    <cfRule type="top10" dxfId="16" priority="321" rank="1"/>
  </conditionalFormatting>
  <conditionalFormatting sqref="R52:R63">
    <cfRule type="top10" dxfId="15" priority="322" rank="1"/>
  </conditionalFormatting>
  <conditionalFormatting sqref="S52:S63">
    <cfRule type="top10" dxfId="14" priority="323" rank="1"/>
  </conditionalFormatting>
  <conditionalFormatting sqref="T52:T63">
    <cfRule type="top10" dxfId="13" priority="324" rank="1"/>
  </conditionalFormatting>
  <conditionalFormatting sqref="U52:U63">
    <cfRule type="top10" dxfId="12" priority="325" rank="1"/>
  </conditionalFormatting>
  <conditionalFormatting sqref="V52:V63">
    <cfRule type="top10" dxfId="11" priority="326" rank="1"/>
  </conditionalFormatting>
  <conditionalFormatting sqref="W52:W63">
    <cfRule type="top10" dxfId="10" priority="327" rank="1"/>
  </conditionalFormatting>
  <conditionalFormatting sqref="AB52:AB63">
    <cfRule type="dataBar" priority="328">
      <dataBar>
        <cfvo type="min"/>
        <cfvo type="max"/>
        <color rgb="FFFFB628"/>
      </dataBar>
    </cfRule>
  </conditionalFormatting>
  <conditionalFormatting sqref="F52:F63">
    <cfRule type="top10" dxfId="9" priority="329" rank="1"/>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tabColor indexed="12"/>
  </sheetPr>
  <dimension ref="B1:AB30"/>
  <sheetViews>
    <sheetView showZeros="0" workbookViewId="0">
      <selection activeCell="AA21" sqref="AA21"/>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215</v>
      </c>
      <c r="D1" s="220"/>
    </row>
    <row r="2" spans="2:28">
      <c r="B2" s="146"/>
      <c r="C2" s="250"/>
      <c r="D2" s="147"/>
      <c r="H2" s="112"/>
    </row>
    <row r="3" spans="2:28" s="110" customFormat="1" ht="14.4" thickBot="1">
      <c r="B3" s="251"/>
      <c r="C3" s="252" t="s">
        <v>126</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158</v>
      </c>
      <c r="C4" s="292" t="s">
        <v>156</v>
      </c>
      <c r="D4" s="223" t="s">
        <v>106</v>
      </c>
      <c r="E4" s="98">
        <f t="shared" ref="E4:T10" si="0">INDEX(scorematrix,MATCH($C4,renners,0),MATCH(E$3,etappes,0))</f>
        <v>43</v>
      </c>
      <c r="F4" s="98">
        <f t="shared" si="0"/>
        <v>45</v>
      </c>
      <c r="G4" s="98">
        <f t="shared" si="0"/>
        <v>45</v>
      </c>
      <c r="H4" s="98">
        <f t="shared" si="0"/>
        <v>54</v>
      </c>
      <c r="I4" s="98">
        <f t="shared" si="0"/>
        <v>29</v>
      </c>
      <c r="J4" s="98">
        <f t="shared" si="0"/>
        <v>8</v>
      </c>
      <c r="K4" s="98">
        <f t="shared" si="0"/>
        <v>5</v>
      </c>
      <c r="L4" s="98">
        <f t="shared" si="0"/>
        <v>40</v>
      </c>
      <c r="M4" s="98">
        <f t="shared" si="0"/>
        <v>5</v>
      </c>
      <c r="N4" s="98">
        <f t="shared" si="0"/>
        <v>5</v>
      </c>
      <c r="O4" s="98">
        <f t="shared" si="0"/>
        <v>5</v>
      </c>
      <c r="P4" s="98">
        <f t="shared" si="0"/>
        <v>5</v>
      </c>
      <c r="Q4" s="98">
        <f t="shared" si="0"/>
        <v>24</v>
      </c>
      <c r="R4" s="98">
        <f t="shared" si="0"/>
        <v>5</v>
      </c>
      <c r="S4" s="98">
        <f t="shared" si="0"/>
        <v>35</v>
      </c>
      <c r="T4" s="98">
        <f t="shared" si="0"/>
        <v>18</v>
      </c>
      <c r="U4" s="98">
        <f t="shared" ref="F4:Y18" si="1">INDEX(scorematrix,MATCH($C4,renners,0),MATCH(U$3,etappes,0))</f>
        <v>5</v>
      </c>
      <c r="V4" s="98">
        <f t="shared" si="1"/>
        <v>32</v>
      </c>
      <c r="W4" s="98">
        <f t="shared" si="1"/>
        <v>6</v>
      </c>
      <c r="X4" s="98">
        <f t="shared" si="1"/>
        <v>41</v>
      </c>
      <c r="Y4" s="98">
        <f t="shared" si="1"/>
        <v>6</v>
      </c>
      <c r="Z4" s="98">
        <f t="shared" ref="Z4:Z19" si="2">INDEX(scorematrix,MATCH($C4,renners,0),MATCH(Z$3,etappes,0))</f>
        <v>11</v>
      </c>
      <c r="AA4" s="153">
        <f t="shared" ref="AA4:AA21" si="3">SUM(E4:Z4)</f>
        <v>472</v>
      </c>
      <c r="AB4" s="94" t="str">
        <f t="shared" ref="AB4:AB20" si="4">C4</f>
        <v>van Aert</v>
      </c>
    </row>
    <row r="5" spans="2:28">
      <c r="B5" s="294" t="s">
        <v>227</v>
      </c>
      <c r="C5" s="292" t="s">
        <v>228</v>
      </c>
      <c r="D5" s="223" t="s">
        <v>160</v>
      </c>
      <c r="E5" s="98">
        <f t="shared" si="0"/>
        <v>23</v>
      </c>
      <c r="F5" s="98">
        <f t="shared" si="1"/>
        <v>4</v>
      </c>
      <c r="G5" s="98">
        <f t="shared" si="1"/>
        <v>5</v>
      </c>
      <c r="H5" s="98">
        <f t="shared" si="1"/>
        <v>5</v>
      </c>
      <c r="I5" s="98">
        <f t="shared" si="1"/>
        <v>13</v>
      </c>
      <c r="J5" s="98">
        <f t="shared" si="1"/>
        <v>27</v>
      </c>
      <c r="K5" s="98">
        <f t="shared" si="1"/>
        <v>42</v>
      </c>
      <c r="L5" s="98">
        <f t="shared" si="1"/>
        <v>30</v>
      </c>
      <c r="M5" s="98">
        <f t="shared" si="1"/>
        <v>29</v>
      </c>
      <c r="N5" s="98">
        <f t="shared" si="1"/>
        <v>8</v>
      </c>
      <c r="O5" s="98">
        <f t="shared" si="1"/>
        <v>48</v>
      </c>
      <c r="P5" s="98">
        <f t="shared" si="1"/>
        <v>33</v>
      </c>
      <c r="Q5" s="98">
        <f t="shared" si="1"/>
        <v>20</v>
      </c>
      <c r="R5" s="98">
        <f t="shared" si="1"/>
        <v>12</v>
      </c>
      <c r="S5" s="98">
        <f t="shared" si="1"/>
        <v>10</v>
      </c>
      <c r="T5" s="98">
        <f t="shared" si="1"/>
        <v>21</v>
      </c>
      <c r="U5" s="98">
        <f t="shared" si="1"/>
        <v>40</v>
      </c>
      <c r="V5" s="98">
        <f t="shared" si="1"/>
        <v>50</v>
      </c>
      <c r="W5" s="98">
        <f t="shared" si="1"/>
        <v>28</v>
      </c>
      <c r="X5" s="98">
        <f t="shared" si="1"/>
        <v>45</v>
      </c>
      <c r="Y5" s="98">
        <f t="shared" si="1"/>
        <v>15</v>
      </c>
      <c r="Z5" s="98">
        <f t="shared" si="2"/>
        <v>80</v>
      </c>
      <c r="AA5" s="153">
        <f t="shared" si="3"/>
        <v>588</v>
      </c>
      <c r="AB5" s="94" t="str">
        <f t="shared" si="4"/>
        <v>Vingegaard</v>
      </c>
    </row>
    <row r="6" spans="2:28">
      <c r="B6" s="294" t="s">
        <v>136</v>
      </c>
      <c r="C6" s="292" t="s">
        <v>171</v>
      </c>
      <c r="D6" s="223" t="s">
        <v>160</v>
      </c>
      <c r="E6" s="98">
        <f t="shared" si="0"/>
        <v>0</v>
      </c>
      <c r="F6" s="98">
        <f t="shared" si="1"/>
        <v>0</v>
      </c>
      <c r="G6" s="98">
        <f t="shared" si="1"/>
        <v>0</v>
      </c>
      <c r="H6" s="98">
        <f t="shared" si="1"/>
        <v>0</v>
      </c>
      <c r="I6" s="98">
        <f t="shared" si="1"/>
        <v>0</v>
      </c>
      <c r="J6" s="98">
        <f t="shared" si="1"/>
        <v>21</v>
      </c>
      <c r="K6" s="98">
        <f t="shared" si="1"/>
        <v>16</v>
      </c>
      <c r="L6" s="98">
        <f t="shared" si="1"/>
        <v>1</v>
      </c>
      <c r="M6" s="98">
        <f t="shared" si="1"/>
        <v>0</v>
      </c>
      <c r="N6" s="98">
        <f t="shared" si="1"/>
        <v>0</v>
      </c>
      <c r="O6" s="98">
        <f t="shared" si="1"/>
        <v>0</v>
      </c>
      <c r="P6" s="98">
        <f t="shared" si="1"/>
        <v>0</v>
      </c>
      <c r="Q6" s="98">
        <f t="shared" si="1"/>
        <v>0</v>
      </c>
      <c r="R6" s="98">
        <f t="shared" si="1"/>
        <v>9</v>
      </c>
      <c r="S6" s="98">
        <f t="shared" si="1"/>
        <v>0</v>
      </c>
      <c r="T6" s="98">
        <f t="shared" si="1"/>
        <v>6</v>
      </c>
      <c r="U6" s="98">
        <f t="shared" si="1"/>
        <v>0</v>
      </c>
      <c r="V6" s="98">
        <f t="shared" si="1"/>
        <v>19</v>
      </c>
      <c r="W6" s="98">
        <f t="shared" si="1"/>
        <v>0</v>
      </c>
      <c r="X6" s="98">
        <f t="shared" si="1"/>
        <v>6</v>
      </c>
      <c r="Y6" s="98">
        <f t="shared" si="1"/>
        <v>0</v>
      </c>
      <c r="Z6" s="98">
        <f t="shared" si="2"/>
        <v>0</v>
      </c>
      <c r="AA6" s="153">
        <f t="shared" si="3"/>
        <v>78</v>
      </c>
      <c r="AB6" s="94" t="str">
        <f t="shared" si="4"/>
        <v>Martinez</v>
      </c>
    </row>
    <row r="7" spans="2:28">
      <c r="B7" s="294" t="s">
        <v>253</v>
      </c>
      <c r="C7" s="292" t="s">
        <v>221</v>
      </c>
      <c r="D7" s="223" t="s">
        <v>160</v>
      </c>
      <c r="E7" s="98">
        <f t="shared" si="0"/>
        <v>13</v>
      </c>
      <c r="F7" s="98">
        <f t="shared" si="1"/>
        <v>6</v>
      </c>
      <c r="G7" s="98">
        <f t="shared" si="1"/>
        <v>3</v>
      </c>
      <c r="H7" s="98">
        <f t="shared" si="1"/>
        <v>3</v>
      </c>
      <c r="I7" s="98">
        <f t="shared" si="1"/>
        <v>3</v>
      </c>
      <c r="J7" s="98">
        <f t="shared" si="1"/>
        <v>21</v>
      </c>
      <c r="K7" s="98">
        <f t="shared" si="1"/>
        <v>24</v>
      </c>
      <c r="L7" s="98">
        <f t="shared" si="1"/>
        <v>15</v>
      </c>
      <c r="M7" s="98">
        <f t="shared" si="1"/>
        <v>25</v>
      </c>
      <c r="N7" s="98">
        <f t="shared" si="1"/>
        <v>6</v>
      </c>
      <c r="O7" s="98">
        <f t="shared" si="1"/>
        <v>25</v>
      </c>
      <c r="P7" s="98">
        <f t="shared" si="1"/>
        <v>20</v>
      </c>
      <c r="Q7" s="98">
        <f t="shared" si="1"/>
        <v>6</v>
      </c>
      <c r="R7" s="98">
        <f t="shared" si="1"/>
        <v>6</v>
      </c>
      <c r="S7" s="98">
        <f t="shared" si="1"/>
        <v>6</v>
      </c>
      <c r="T7" s="98">
        <f t="shared" si="1"/>
        <v>5</v>
      </c>
      <c r="U7" s="98">
        <f t="shared" si="1"/>
        <v>2</v>
      </c>
      <c r="V7" s="98">
        <f t="shared" si="1"/>
        <v>13</v>
      </c>
      <c r="W7" s="98">
        <f t="shared" si="1"/>
        <v>1</v>
      </c>
      <c r="X7" s="98">
        <f t="shared" si="1"/>
        <v>1</v>
      </c>
      <c r="Y7" s="98">
        <f t="shared" si="1"/>
        <v>1</v>
      </c>
      <c r="Z7" s="98">
        <f t="shared" si="2"/>
        <v>32</v>
      </c>
      <c r="AA7" s="153">
        <f t="shared" si="3"/>
        <v>237</v>
      </c>
      <c r="AB7" s="94" t="str">
        <f t="shared" si="4"/>
        <v>Yates</v>
      </c>
    </row>
    <row r="8" spans="2:28">
      <c r="B8" s="294" t="s">
        <v>272</v>
      </c>
      <c r="C8" s="292" t="s">
        <v>213</v>
      </c>
      <c r="D8" s="223" t="s">
        <v>160</v>
      </c>
      <c r="E8" s="98">
        <f t="shared" si="0"/>
        <v>0</v>
      </c>
      <c r="F8" s="98">
        <f t="shared" si="1"/>
        <v>0</v>
      </c>
      <c r="G8" s="98">
        <f t="shared" si="1"/>
        <v>0</v>
      </c>
      <c r="H8" s="98">
        <f t="shared" si="1"/>
        <v>0</v>
      </c>
      <c r="I8" s="98">
        <f t="shared" si="1"/>
        <v>0</v>
      </c>
      <c r="J8" s="98">
        <f t="shared" si="1"/>
        <v>0</v>
      </c>
      <c r="K8" s="98">
        <f t="shared" si="1"/>
        <v>0</v>
      </c>
      <c r="L8" s="98">
        <f t="shared" si="1"/>
        <v>0</v>
      </c>
      <c r="M8" s="98">
        <f t="shared" si="1"/>
        <v>0</v>
      </c>
      <c r="N8" s="98">
        <f t="shared" si="1"/>
        <v>0</v>
      </c>
      <c r="O8" s="98">
        <f t="shared" si="1"/>
        <v>0</v>
      </c>
      <c r="P8" s="98">
        <f t="shared" si="1"/>
        <v>0</v>
      </c>
      <c r="Q8" s="98">
        <f t="shared" si="1"/>
        <v>0</v>
      </c>
      <c r="R8" s="98">
        <f t="shared" si="1"/>
        <v>0</v>
      </c>
      <c r="S8" s="98">
        <f t="shared" si="1"/>
        <v>0</v>
      </c>
      <c r="T8" s="98">
        <f t="shared" si="1"/>
        <v>0</v>
      </c>
      <c r="U8" s="98">
        <f t="shared" si="1"/>
        <v>0</v>
      </c>
      <c r="V8" s="98">
        <f t="shared" si="1"/>
        <v>0</v>
      </c>
      <c r="W8" s="98">
        <f t="shared" si="1"/>
        <v>0</v>
      </c>
      <c r="X8" s="98">
        <f t="shared" si="1"/>
        <v>0</v>
      </c>
      <c r="Y8" s="98">
        <f t="shared" si="1"/>
        <v>0</v>
      </c>
      <c r="Z8" s="98">
        <f t="shared" si="2"/>
        <v>0</v>
      </c>
      <c r="AA8" s="153">
        <f t="shared" si="3"/>
        <v>0</v>
      </c>
      <c r="AB8" s="94" t="str">
        <f t="shared" si="4"/>
        <v>O'Connor</v>
      </c>
    </row>
    <row r="9" spans="2:28">
      <c r="B9" s="294" t="s">
        <v>327</v>
      </c>
      <c r="C9" s="292" t="s">
        <v>242</v>
      </c>
      <c r="D9" s="223" t="s">
        <v>160</v>
      </c>
      <c r="E9" s="98">
        <f t="shared" si="0"/>
        <v>0</v>
      </c>
      <c r="F9" s="98">
        <f t="shared" si="1"/>
        <v>0</v>
      </c>
      <c r="G9" s="98">
        <f t="shared" si="1"/>
        <v>8</v>
      </c>
      <c r="H9" s="98">
        <f t="shared" si="1"/>
        <v>6</v>
      </c>
      <c r="I9" s="98">
        <f t="shared" si="1"/>
        <v>8</v>
      </c>
      <c r="J9" s="98">
        <f t="shared" si="1"/>
        <v>14</v>
      </c>
      <c r="K9" s="98">
        <f t="shared" si="1"/>
        <v>0</v>
      </c>
      <c r="L9" s="98">
        <f t="shared" si="1"/>
        <v>20</v>
      </c>
      <c r="M9" s="98">
        <f t="shared" si="1"/>
        <v>0</v>
      </c>
      <c r="N9" s="98">
        <f t="shared" si="1"/>
        <v>0</v>
      </c>
      <c r="O9" s="98">
        <f t="shared" si="1"/>
        <v>17</v>
      </c>
      <c r="P9" s="98">
        <f t="shared" si="1"/>
        <v>9</v>
      </c>
      <c r="Q9" s="98">
        <f t="shared" si="1"/>
        <v>1</v>
      </c>
      <c r="R9" s="98">
        <f t="shared" si="1"/>
        <v>0</v>
      </c>
      <c r="S9" s="98">
        <f t="shared" si="1"/>
        <v>10</v>
      </c>
      <c r="T9" s="98">
        <f t="shared" si="1"/>
        <v>23</v>
      </c>
      <c r="U9" s="98">
        <f t="shared" si="1"/>
        <v>21</v>
      </c>
      <c r="V9" s="98">
        <f t="shared" si="1"/>
        <v>21</v>
      </c>
      <c r="W9" s="98">
        <f t="shared" si="1"/>
        <v>18</v>
      </c>
      <c r="X9" s="98">
        <f t="shared" si="1"/>
        <v>14</v>
      </c>
      <c r="Y9" s="98">
        <f t="shared" si="1"/>
        <v>6</v>
      </c>
      <c r="Z9" s="98">
        <f t="shared" si="2"/>
        <v>44</v>
      </c>
      <c r="AA9" s="153">
        <f t="shared" si="3"/>
        <v>240</v>
      </c>
      <c r="AB9" s="94" t="str">
        <f t="shared" si="4"/>
        <v>Vlasov</v>
      </c>
    </row>
    <row r="10" spans="2:28">
      <c r="B10" s="294" t="s">
        <v>249</v>
      </c>
      <c r="C10" s="292" t="s">
        <v>239</v>
      </c>
      <c r="D10" s="223" t="s">
        <v>10</v>
      </c>
      <c r="E10" s="98">
        <f t="shared" si="0"/>
        <v>0</v>
      </c>
      <c r="F10" s="98">
        <f t="shared" si="1"/>
        <v>39</v>
      </c>
      <c r="G10" s="98">
        <f t="shared" si="1"/>
        <v>26</v>
      </c>
      <c r="H10" s="98">
        <f t="shared" si="1"/>
        <v>17</v>
      </c>
      <c r="I10" s="98">
        <f t="shared" si="1"/>
        <v>21</v>
      </c>
      <c r="J10" s="98">
        <f t="shared" si="1"/>
        <v>4</v>
      </c>
      <c r="K10" s="98">
        <f t="shared" si="1"/>
        <v>4</v>
      </c>
      <c r="L10" s="98">
        <f t="shared" si="1"/>
        <v>4</v>
      </c>
      <c r="M10" s="98">
        <f t="shared" si="1"/>
        <v>4</v>
      </c>
      <c r="N10" s="98">
        <f t="shared" si="1"/>
        <v>4</v>
      </c>
      <c r="O10" s="98">
        <f t="shared" si="1"/>
        <v>4</v>
      </c>
      <c r="P10" s="98">
        <f t="shared" si="1"/>
        <v>3</v>
      </c>
      <c r="Q10" s="98">
        <f t="shared" si="1"/>
        <v>3</v>
      </c>
      <c r="R10" s="98">
        <f t="shared" si="1"/>
        <v>3</v>
      </c>
      <c r="S10" s="98">
        <f t="shared" si="1"/>
        <v>1</v>
      </c>
      <c r="T10" s="98">
        <f t="shared" si="1"/>
        <v>1</v>
      </c>
      <c r="U10" s="98">
        <f t="shared" si="1"/>
        <v>1</v>
      </c>
      <c r="V10" s="98">
        <f t="shared" si="1"/>
        <v>1</v>
      </c>
      <c r="W10" s="98">
        <f t="shared" si="1"/>
        <v>0</v>
      </c>
      <c r="X10" s="98">
        <f t="shared" si="1"/>
        <v>0</v>
      </c>
      <c r="Y10" s="98">
        <f t="shared" si="1"/>
        <v>14</v>
      </c>
      <c r="Z10" s="98">
        <f t="shared" si="2"/>
        <v>1</v>
      </c>
      <c r="AA10" s="153">
        <f t="shared" si="3"/>
        <v>155</v>
      </c>
      <c r="AB10" s="94" t="str">
        <f t="shared" si="4"/>
        <v>Jakobsen</v>
      </c>
    </row>
    <row r="11" spans="2:28">
      <c r="B11" s="294" t="s">
        <v>143</v>
      </c>
      <c r="C11" s="292" t="s">
        <v>44</v>
      </c>
      <c r="D11" s="223" t="s">
        <v>160</v>
      </c>
      <c r="E11" s="98">
        <f t="shared" ref="E11:T12" si="5">INDEX(scorematrix,MATCH($C11,renners,0),MATCH(E$3,etappes,0))</f>
        <v>0</v>
      </c>
      <c r="F11" s="98">
        <f t="shared" si="5"/>
        <v>0</v>
      </c>
      <c r="G11" s="98">
        <f t="shared" si="5"/>
        <v>0</v>
      </c>
      <c r="H11" s="98">
        <f t="shared" si="5"/>
        <v>0</v>
      </c>
      <c r="I11" s="98">
        <f t="shared" si="5"/>
        <v>0</v>
      </c>
      <c r="J11" s="98">
        <f t="shared" si="5"/>
        <v>7</v>
      </c>
      <c r="K11" s="98">
        <f t="shared" si="5"/>
        <v>13</v>
      </c>
      <c r="L11" s="98">
        <f t="shared" si="5"/>
        <v>13</v>
      </c>
      <c r="M11" s="98">
        <f t="shared" si="5"/>
        <v>0</v>
      </c>
      <c r="N11" s="98">
        <f t="shared" si="5"/>
        <v>0</v>
      </c>
      <c r="O11" s="98">
        <f t="shared" si="5"/>
        <v>0</v>
      </c>
      <c r="P11" s="98">
        <f t="shared" si="5"/>
        <v>0</v>
      </c>
      <c r="Q11" s="98">
        <f t="shared" si="5"/>
        <v>0</v>
      </c>
      <c r="R11" s="98">
        <f t="shared" si="5"/>
        <v>0</v>
      </c>
      <c r="S11" s="98">
        <f t="shared" si="5"/>
        <v>0</v>
      </c>
      <c r="T11" s="98">
        <f t="shared" si="5"/>
        <v>0</v>
      </c>
      <c r="U11" s="98">
        <f t="shared" si="1"/>
        <v>0</v>
      </c>
      <c r="V11" s="98">
        <f t="shared" si="1"/>
        <v>0</v>
      </c>
      <c r="W11" s="98">
        <f t="shared" si="1"/>
        <v>0</v>
      </c>
      <c r="X11" s="98">
        <f t="shared" si="1"/>
        <v>0</v>
      </c>
      <c r="Y11" s="98">
        <f t="shared" si="1"/>
        <v>0</v>
      </c>
      <c r="Z11" s="98">
        <f t="shared" si="2"/>
        <v>0</v>
      </c>
      <c r="AA11" s="153">
        <f t="shared" si="3"/>
        <v>33</v>
      </c>
      <c r="AB11" s="94" t="str">
        <f t="shared" si="4"/>
        <v>Martin</v>
      </c>
    </row>
    <row r="12" spans="2:28">
      <c r="B12" s="294" t="s">
        <v>328</v>
      </c>
      <c r="C12" s="292" t="s">
        <v>198</v>
      </c>
      <c r="D12" s="223" t="s">
        <v>160</v>
      </c>
      <c r="E12" s="98">
        <f t="shared" si="5"/>
        <v>0</v>
      </c>
      <c r="F12" s="98">
        <f t="shared" si="1"/>
        <v>0</v>
      </c>
      <c r="G12" s="98">
        <f t="shared" si="1"/>
        <v>0</v>
      </c>
      <c r="H12" s="98">
        <f t="shared" si="1"/>
        <v>0</v>
      </c>
      <c r="I12" s="98">
        <f t="shared" si="1"/>
        <v>0</v>
      </c>
      <c r="J12" s="339">
        <f t="shared" si="1"/>
        <v>0</v>
      </c>
      <c r="K12" s="339">
        <f t="shared" si="1"/>
        <v>0</v>
      </c>
      <c r="L12" s="339">
        <f t="shared" si="1"/>
        <v>0</v>
      </c>
      <c r="M12" s="339">
        <f t="shared" si="1"/>
        <v>0</v>
      </c>
      <c r="N12" s="339">
        <f t="shared" si="1"/>
        <v>0</v>
      </c>
      <c r="O12" s="339">
        <f t="shared" si="1"/>
        <v>0</v>
      </c>
      <c r="P12" s="339">
        <f t="shared" si="1"/>
        <v>0</v>
      </c>
      <c r="Q12" s="339">
        <f t="shared" si="1"/>
        <v>0</v>
      </c>
      <c r="R12" s="339">
        <f t="shared" si="1"/>
        <v>0</v>
      </c>
      <c r="S12" s="339">
        <f t="shared" si="1"/>
        <v>0</v>
      </c>
      <c r="T12" s="339">
        <f t="shared" si="1"/>
        <v>0</v>
      </c>
      <c r="U12" s="339">
        <f t="shared" si="1"/>
        <v>0</v>
      </c>
      <c r="V12" s="339">
        <f t="shared" si="1"/>
        <v>0</v>
      </c>
      <c r="W12" s="339">
        <f t="shared" si="1"/>
        <v>0</v>
      </c>
      <c r="X12" s="339">
        <f t="shared" si="1"/>
        <v>0</v>
      </c>
      <c r="Y12" s="339">
        <f t="shared" si="1"/>
        <v>0</v>
      </c>
      <c r="Z12" s="339">
        <f t="shared" si="2"/>
        <v>0</v>
      </c>
      <c r="AA12" s="153">
        <f t="shared" si="3"/>
        <v>0</v>
      </c>
      <c r="AB12" s="94" t="str">
        <f t="shared" si="4"/>
        <v>Haig</v>
      </c>
    </row>
    <row r="13" spans="2:28">
      <c r="B13" s="294" t="s">
        <v>209</v>
      </c>
      <c r="C13" s="292" t="s">
        <v>200</v>
      </c>
      <c r="D13" s="223" t="s">
        <v>160</v>
      </c>
      <c r="E13" s="98">
        <f t="shared" ref="E13:T20" si="6">INDEX(scorematrix,MATCH($C13,renners,0),MATCH(E$3,etappes,0))</f>
        <v>0</v>
      </c>
      <c r="F13" s="98">
        <f t="shared" si="6"/>
        <v>0</v>
      </c>
      <c r="G13" s="98">
        <f t="shared" si="6"/>
        <v>0</v>
      </c>
      <c r="H13" s="98">
        <f t="shared" si="6"/>
        <v>0</v>
      </c>
      <c r="I13" s="98">
        <f t="shared" si="6"/>
        <v>0</v>
      </c>
      <c r="J13" s="98">
        <f t="shared" si="6"/>
        <v>28</v>
      </c>
      <c r="K13" s="98">
        <f t="shared" si="6"/>
        <v>26</v>
      </c>
      <c r="L13" s="98">
        <f t="shared" si="6"/>
        <v>20</v>
      </c>
      <c r="M13" s="98">
        <f t="shared" si="6"/>
        <v>19</v>
      </c>
      <c r="N13" s="98">
        <f t="shared" si="6"/>
        <v>5</v>
      </c>
      <c r="O13" s="98">
        <f t="shared" si="6"/>
        <v>26</v>
      </c>
      <c r="P13" s="98">
        <f t="shared" si="6"/>
        <v>17</v>
      </c>
      <c r="Q13" s="98">
        <f t="shared" si="6"/>
        <v>4</v>
      </c>
      <c r="R13" s="98">
        <f t="shared" si="6"/>
        <v>3</v>
      </c>
      <c r="S13" s="98">
        <f t="shared" si="6"/>
        <v>3</v>
      </c>
      <c r="T13" s="98">
        <f t="shared" si="6"/>
        <v>14</v>
      </c>
      <c r="U13" s="98">
        <f t="shared" si="1"/>
        <v>25</v>
      </c>
      <c r="V13" s="98">
        <f t="shared" si="1"/>
        <v>29</v>
      </c>
      <c r="W13" s="98">
        <f t="shared" si="1"/>
        <v>17</v>
      </c>
      <c r="X13" s="98">
        <f t="shared" si="1"/>
        <v>7</v>
      </c>
      <c r="Y13" s="98">
        <f t="shared" si="1"/>
        <v>7</v>
      </c>
      <c r="Z13" s="98">
        <f t="shared" si="2"/>
        <v>48</v>
      </c>
      <c r="AA13" s="153">
        <f t="shared" si="3"/>
        <v>298</v>
      </c>
      <c r="AB13" s="94" t="str">
        <f t="shared" si="4"/>
        <v>Gaudu</v>
      </c>
    </row>
    <row r="14" spans="2:28">
      <c r="B14" s="294" t="s">
        <v>261</v>
      </c>
      <c r="C14" s="292" t="s">
        <v>231</v>
      </c>
      <c r="D14" s="223" t="s">
        <v>160</v>
      </c>
      <c r="E14" s="98">
        <f t="shared" si="6"/>
        <v>12</v>
      </c>
      <c r="F14" s="98">
        <f t="shared" si="1"/>
        <v>0</v>
      </c>
      <c r="G14" s="98">
        <f t="shared" si="1"/>
        <v>2</v>
      </c>
      <c r="H14" s="98">
        <f t="shared" si="1"/>
        <v>2</v>
      </c>
      <c r="I14" s="98">
        <f t="shared" si="1"/>
        <v>0</v>
      </c>
      <c r="J14" s="98">
        <f t="shared" si="1"/>
        <v>0</v>
      </c>
      <c r="K14" s="98">
        <f t="shared" si="1"/>
        <v>0</v>
      </c>
      <c r="L14" s="98">
        <f t="shared" si="1"/>
        <v>0</v>
      </c>
      <c r="M14" s="98">
        <f t="shared" si="1"/>
        <v>0</v>
      </c>
      <c r="N14" s="98">
        <f t="shared" si="1"/>
        <v>0</v>
      </c>
      <c r="O14" s="98">
        <f t="shared" si="1"/>
        <v>0</v>
      </c>
      <c r="P14" s="98">
        <f t="shared" si="1"/>
        <v>0</v>
      </c>
      <c r="Q14" s="98">
        <f t="shared" si="1"/>
        <v>24</v>
      </c>
      <c r="R14" s="98">
        <f t="shared" si="1"/>
        <v>0</v>
      </c>
      <c r="S14" s="98">
        <f t="shared" si="1"/>
        <v>0</v>
      </c>
      <c r="T14" s="98">
        <f t="shared" si="1"/>
        <v>0</v>
      </c>
      <c r="U14" s="98">
        <f t="shared" si="1"/>
        <v>0</v>
      </c>
      <c r="V14" s="98">
        <f t="shared" si="1"/>
        <v>0</v>
      </c>
      <c r="W14" s="98">
        <f t="shared" si="1"/>
        <v>0</v>
      </c>
      <c r="X14" s="98">
        <f t="shared" si="1"/>
        <v>15</v>
      </c>
      <c r="Y14" s="98">
        <f t="shared" si="1"/>
        <v>10</v>
      </c>
      <c r="Z14" s="98">
        <f t="shared" si="2"/>
        <v>0</v>
      </c>
      <c r="AA14" s="153">
        <f t="shared" si="3"/>
        <v>65</v>
      </c>
      <c r="AB14" s="94" t="str">
        <f t="shared" si="4"/>
        <v>Küng</v>
      </c>
    </row>
    <row r="15" spans="2:28">
      <c r="B15" s="294" t="s">
        <v>217</v>
      </c>
      <c r="C15" s="292" t="s">
        <v>195</v>
      </c>
      <c r="D15" s="223" t="s">
        <v>106</v>
      </c>
      <c r="E15" s="98">
        <f t="shared" si="6"/>
        <v>29</v>
      </c>
      <c r="F15" s="98">
        <f t="shared" si="1"/>
        <v>12</v>
      </c>
      <c r="G15" s="98">
        <f t="shared" si="1"/>
        <v>6</v>
      </c>
      <c r="H15" s="98">
        <f t="shared" si="1"/>
        <v>6</v>
      </c>
      <c r="I15" s="98">
        <f t="shared" si="1"/>
        <v>0</v>
      </c>
      <c r="J15" s="98">
        <f t="shared" si="1"/>
        <v>0</v>
      </c>
      <c r="K15" s="340">
        <f t="shared" si="1"/>
        <v>0</v>
      </c>
      <c r="L15" s="340">
        <f t="shared" si="1"/>
        <v>0</v>
      </c>
      <c r="M15" s="340">
        <f t="shared" si="1"/>
        <v>0</v>
      </c>
      <c r="N15" s="340">
        <f t="shared" si="1"/>
        <v>0</v>
      </c>
      <c r="O15" s="340">
        <f t="shared" si="1"/>
        <v>0</v>
      </c>
      <c r="P15" s="340">
        <f t="shared" si="1"/>
        <v>0</v>
      </c>
      <c r="Q15" s="340">
        <f t="shared" si="1"/>
        <v>0</v>
      </c>
      <c r="R15" s="340">
        <f t="shared" si="1"/>
        <v>0</v>
      </c>
      <c r="S15" s="340">
        <f t="shared" si="1"/>
        <v>0</v>
      </c>
      <c r="T15" s="340">
        <f t="shared" si="1"/>
        <v>0</v>
      </c>
      <c r="U15" s="340">
        <f t="shared" si="1"/>
        <v>0</v>
      </c>
      <c r="V15" s="340">
        <f t="shared" si="1"/>
        <v>0</v>
      </c>
      <c r="W15" s="340">
        <f t="shared" si="1"/>
        <v>0</v>
      </c>
      <c r="X15" s="340">
        <f t="shared" si="1"/>
        <v>0</v>
      </c>
      <c r="Y15" s="340">
        <f t="shared" si="1"/>
        <v>0</v>
      </c>
      <c r="Z15" s="340">
        <f t="shared" si="2"/>
        <v>0</v>
      </c>
      <c r="AA15" s="153">
        <f t="shared" si="3"/>
        <v>53</v>
      </c>
      <c r="AB15" s="94" t="str">
        <f t="shared" si="4"/>
        <v>van der Poel</v>
      </c>
    </row>
    <row r="16" spans="2:28">
      <c r="B16" s="294" t="s">
        <v>172</v>
      </c>
      <c r="C16" s="292" t="s">
        <v>233</v>
      </c>
      <c r="D16" s="223" t="s">
        <v>10</v>
      </c>
      <c r="E16" s="98">
        <f t="shared" si="6"/>
        <v>0</v>
      </c>
      <c r="F16" s="98">
        <f t="shared" si="1"/>
        <v>22</v>
      </c>
      <c r="G16" s="98">
        <f t="shared" si="1"/>
        <v>26</v>
      </c>
      <c r="H16" s="98">
        <f t="shared" si="1"/>
        <v>31</v>
      </c>
      <c r="I16" s="98">
        <f t="shared" si="1"/>
        <v>22</v>
      </c>
      <c r="J16" s="98">
        <f t="shared" si="1"/>
        <v>6</v>
      </c>
      <c r="K16" s="98">
        <f t="shared" si="1"/>
        <v>2</v>
      </c>
      <c r="L16" s="98">
        <f t="shared" si="1"/>
        <v>2</v>
      </c>
      <c r="M16" s="98">
        <f t="shared" si="1"/>
        <v>2</v>
      </c>
      <c r="N16" s="98">
        <f t="shared" si="1"/>
        <v>0</v>
      </c>
      <c r="O16" s="98">
        <f t="shared" si="1"/>
        <v>0</v>
      </c>
      <c r="P16" s="98">
        <f t="shared" si="1"/>
        <v>1</v>
      </c>
      <c r="Q16" s="98">
        <f t="shared" si="1"/>
        <v>0</v>
      </c>
      <c r="R16" s="98">
        <f t="shared" si="1"/>
        <v>0</v>
      </c>
      <c r="S16" s="98">
        <f t="shared" si="1"/>
        <v>35</v>
      </c>
      <c r="T16" s="98">
        <f t="shared" si="1"/>
        <v>3</v>
      </c>
      <c r="U16" s="98">
        <f t="shared" si="1"/>
        <v>3</v>
      </c>
      <c r="V16" s="98">
        <f t="shared" si="1"/>
        <v>3</v>
      </c>
      <c r="W16" s="98">
        <f t="shared" si="1"/>
        <v>34</v>
      </c>
      <c r="X16" s="98">
        <f t="shared" si="1"/>
        <v>3</v>
      </c>
      <c r="Y16" s="98">
        <f t="shared" si="1"/>
        <v>39</v>
      </c>
      <c r="Z16" s="98">
        <f t="shared" si="2"/>
        <v>7</v>
      </c>
      <c r="AA16" s="153">
        <f t="shared" si="3"/>
        <v>241</v>
      </c>
      <c r="AB16" s="94" t="str">
        <f t="shared" si="4"/>
        <v>Philipsen</v>
      </c>
    </row>
    <row r="17" spans="2:28">
      <c r="B17" s="294" t="s">
        <v>329</v>
      </c>
      <c r="C17" s="292" t="s">
        <v>105</v>
      </c>
      <c r="D17" s="223" t="s">
        <v>10</v>
      </c>
      <c r="E17" s="98">
        <f t="shared" si="6"/>
        <v>0</v>
      </c>
      <c r="F17" s="98">
        <f t="shared" si="1"/>
        <v>0</v>
      </c>
      <c r="G17" s="98">
        <f t="shared" si="1"/>
        <v>0</v>
      </c>
      <c r="H17" s="98">
        <f t="shared" si="1"/>
        <v>0</v>
      </c>
      <c r="I17" s="98">
        <f t="shared" si="1"/>
        <v>0</v>
      </c>
      <c r="J17" s="98">
        <f t="shared" si="1"/>
        <v>18</v>
      </c>
      <c r="K17" s="98">
        <f t="shared" si="1"/>
        <v>23</v>
      </c>
      <c r="L17" s="98">
        <f t="shared" si="1"/>
        <v>11</v>
      </c>
      <c r="M17" s="98">
        <f t="shared" si="1"/>
        <v>19</v>
      </c>
      <c r="N17" s="98">
        <f t="shared" si="1"/>
        <v>4</v>
      </c>
      <c r="O17" s="98">
        <f t="shared" si="1"/>
        <v>35</v>
      </c>
      <c r="P17" s="98">
        <f t="shared" si="1"/>
        <v>22</v>
      </c>
      <c r="Q17" s="98">
        <f t="shared" si="1"/>
        <v>7</v>
      </c>
      <c r="R17" s="98">
        <f t="shared" si="1"/>
        <v>7</v>
      </c>
      <c r="S17" s="98">
        <f t="shared" si="1"/>
        <v>7</v>
      </c>
      <c r="T17" s="98">
        <f t="shared" si="1"/>
        <v>2</v>
      </c>
      <c r="U17" s="98">
        <f t="shared" si="1"/>
        <v>25</v>
      </c>
      <c r="V17" s="98">
        <f t="shared" si="1"/>
        <v>12</v>
      </c>
      <c r="W17" s="98">
        <f t="shared" si="1"/>
        <v>3</v>
      </c>
      <c r="X17" s="98">
        <f t="shared" si="1"/>
        <v>4</v>
      </c>
      <c r="Y17" s="98">
        <f t="shared" si="1"/>
        <v>4</v>
      </c>
      <c r="Z17" s="98">
        <f t="shared" si="2"/>
        <v>38</v>
      </c>
      <c r="AA17" s="153">
        <f t="shared" si="3"/>
        <v>241</v>
      </c>
      <c r="AB17" s="94" t="str">
        <f t="shared" si="4"/>
        <v>Bardet</v>
      </c>
    </row>
    <row r="18" spans="2:28">
      <c r="B18" s="294" t="s">
        <v>150</v>
      </c>
      <c r="C18" s="292" t="s">
        <v>151</v>
      </c>
      <c r="D18" s="223" t="s">
        <v>10</v>
      </c>
      <c r="E18" s="98">
        <f t="shared" si="6"/>
        <v>0</v>
      </c>
      <c r="F18" s="98">
        <f t="shared" si="1"/>
        <v>13</v>
      </c>
      <c r="G18" s="98">
        <f t="shared" si="1"/>
        <v>17</v>
      </c>
      <c r="H18" s="98">
        <f t="shared" si="1"/>
        <v>0</v>
      </c>
      <c r="I18" s="98">
        <f t="shared" si="1"/>
        <v>0</v>
      </c>
      <c r="J18" s="98">
        <f t="shared" si="1"/>
        <v>0</v>
      </c>
      <c r="K18" s="340">
        <f t="shared" si="1"/>
        <v>0</v>
      </c>
      <c r="L18" s="340">
        <f t="shared" si="1"/>
        <v>0</v>
      </c>
      <c r="M18" s="340">
        <f t="shared" si="1"/>
        <v>0</v>
      </c>
      <c r="N18" s="340">
        <f t="shared" si="1"/>
        <v>0</v>
      </c>
      <c r="O18" s="340">
        <f t="shared" si="1"/>
        <v>0</v>
      </c>
      <c r="P18" s="340">
        <f t="shared" si="1"/>
        <v>0</v>
      </c>
      <c r="Q18" s="340">
        <f t="shared" si="1"/>
        <v>0</v>
      </c>
      <c r="R18" s="340">
        <f t="shared" si="1"/>
        <v>0</v>
      </c>
      <c r="S18" s="340">
        <f t="shared" si="1"/>
        <v>0</v>
      </c>
      <c r="T18" s="340">
        <f t="shared" si="1"/>
        <v>0</v>
      </c>
      <c r="U18" s="340">
        <f t="shared" si="1"/>
        <v>0</v>
      </c>
      <c r="V18" s="340">
        <f t="shared" si="1"/>
        <v>0</v>
      </c>
      <c r="W18" s="340">
        <f t="shared" si="1"/>
        <v>16</v>
      </c>
      <c r="X18" s="340">
        <f t="shared" si="1"/>
        <v>0</v>
      </c>
      <c r="Y18" s="340">
        <f t="shared" si="1"/>
        <v>18</v>
      </c>
      <c r="Z18" s="340">
        <f t="shared" si="2"/>
        <v>0</v>
      </c>
      <c r="AA18" s="153">
        <f t="shared" si="3"/>
        <v>64</v>
      </c>
      <c r="AB18" s="94" t="str">
        <f t="shared" si="4"/>
        <v>Ewan</v>
      </c>
    </row>
    <row r="19" spans="2:28">
      <c r="B19" s="294" t="s">
        <v>203</v>
      </c>
      <c r="C19" s="292" t="s">
        <v>202</v>
      </c>
      <c r="D19" s="223" t="s">
        <v>10</v>
      </c>
      <c r="E19" s="98">
        <f t="shared" si="6"/>
        <v>25</v>
      </c>
      <c r="F19" s="98">
        <f t="shared" ref="F19:Y20" si="7">INDEX(scorematrix,MATCH($C19,renners,0),MATCH(F$3,etappes,0))</f>
        <v>35</v>
      </c>
      <c r="G19" s="98">
        <f t="shared" si="7"/>
        <v>21</v>
      </c>
      <c r="H19" s="98">
        <f t="shared" si="7"/>
        <v>21</v>
      </c>
      <c r="I19" s="98">
        <f t="shared" si="7"/>
        <v>5</v>
      </c>
      <c r="J19" s="98">
        <f t="shared" si="7"/>
        <v>0</v>
      </c>
      <c r="K19" s="98">
        <f t="shared" si="7"/>
        <v>0</v>
      </c>
      <c r="L19" s="98">
        <f t="shared" si="7"/>
        <v>0</v>
      </c>
      <c r="M19" s="98">
        <f t="shared" si="7"/>
        <v>0</v>
      </c>
      <c r="N19" s="98">
        <f t="shared" si="7"/>
        <v>0</v>
      </c>
      <c r="O19" s="98">
        <f t="shared" si="7"/>
        <v>0</v>
      </c>
      <c r="P19" s="98">
        <f t="shared" si="7"/>
        <v>0</v>
      </c>
      <c r="Q19" s="98">
        <f t="shared" si="7"/>
        <v>37</v>
      </c>
      <c r="R19" s="98">
        <f t="shared" si="7"/>
        <v>2</v>
      </c>
      <c r="S19" s="98">
        <f t="shared" si="7"/>
        <v>28</v>
      </c>
      <c r="T19" s="98">
        <f t="shared" si="7"/>
        <v>2</v>
      </c>
      <c r="U19" s="98">
        <f t="shared" si="7"/>
        <v>2</v>
      </c>
      <c r="V19" s="98">
        <f t="shared" si="7"/>
        <v>2</v>
      </c>
      <c r="W19" s="98">
        <f t="shared" si="7"/>
        <v>1</v>
      </c>
      <c r="X19" s="98">
        <f t="shared" si="7"/>
        <v>1</v>
      </c>
      <c r="Y19" s="98">
        <f t="shared" si="7"/>
        <v>0</v>
      </c>
      <c r="Z19" s="98">
        <f t="shared" si="2"/>
        <v>0</v>
      </c>
      <c r="AA19" s="153">
        <f t="shared" si="3"/>
        <v>182</v>
      </c>
      <c r="AB19" s="94" t="str">
        <f t="shared" si="4"/>
        <v>Pedersen</v>
      </c>
    </row>
    <row r="20" spans="2:28" s="140" customFormat="1" ht="14.4" thickBot="1">
      <c r="B20" s="294" t="s">
        <v>252</v>
      </c>
      <c r="C20" s="292" t="s">
        <v>130</v>
      </c>
      <c r="D20" s="223" t="s">
        <v>10</v>
      </c>
      <c r="E20" s="98">
        <f t="shared" si="6"/>
        <v>0</v>
      </c>
      <c r="F20" s="98">
        <f t="shared" si="7"/>
        <v>18</v>
      </c>
      <c r="G20" s="98">
        <f t="shared" si="7"/>
        <v>38</v>
      </c>
      <c r="H20" s="98">
        <f t="shared" si="7"/>
        <v>0</v>
      </c>
      <c r="I20" s="98">
        <f t="shared" si="7"/>
        <v>0</v>
      </c>
      <c r="J20" s="98">
        <f t="shared" si="7"/>
        <v>0</v>
      </c>
      <c r="K20" s="98">
        <f t="shared" si="7"/>
        <v>0</v>
      </c>
      <c r="L20" s="98">
        <f t="shared" si="7"/>
        <v>0</v>
      </c>
      <c r="M20" s="98">
        <f t="shared" si="7"/>
        <v>0</v>
      </c>
      <c r="N20" s="98">
        <f t="shared" si="7"/>
        <v>0</v>
      </c>
      <c r="O20" s="98">
        <f t="shared" si="7"/>
        <v>0</v>
      </c>
      <c r="P20" s="98">
        <f t="shared" si="7"/>
        <v>0</v>
      </c>
      <c r="Q20" s="98">
        <f t="shared" si="7"/>
        <v>0</v>
      </c>
      <c r="R20" s="98">
        <f t="shared" si="7"/>
        <v>0</v>
      </c>
      <c r="S20" s="98">
        <f t="shared" si="7"/>
        <v>20</v>
      </c>
      <c r="T20" s="98">
        <f t="shared" si="7"/>
        <v>0</v>
      </c>
      <c r="U20" s="98">
        <f t="shared" si="7"/>
        <v>0</v>
      </c>
      <c r="V20" s="98">
        <f t="shared" si="7"/>
        <v>0</v>
      </c>
      <c r="W20" s="98">
        <f t="shared" si="7"/>
        <v>19</v>
      </c>
      <c r="X20" s="98">
        <f t="shared" si="7"/>
        <v>0</v>
      </c>
      <c r="Y20" s="98">
        <f t="shared" si="7"/>
        <v>30</v>
      </c>
      <c r="Z20" s="98">
        <f t="shared" ref="Z20" si="8">INDEX(scorematrix,MATCH($C20,renners,0),MATCH(Z$3,etappes,0))</f>
        <v>0</v>
      </c>
      <c r="AA20" s="153">
        <f t="shared" si="3"/>
        <v>125</v>
      </c>
      <c r="AB20" s="94" t="str">
        <f t="shared" si="4"/>
        <v>Groenewegen</v>
      </c>
    </row>
    <row r="21" spans="2:28" s="141" customFormat="1">
      <c r="B21" s="291"/>
      <c r="C21" s="288"/>
      <c r="D21" s="148"/>
      <c r="E21" s="150"/>
      <c r="F21" s="150"/>
      <c r="G21" s="150"/>
      <c r="H21" s="150"/>
      <c r="I21" s="150"/>
      <c r="J21" s="150">
        <f>-J12+J26</f>
        <v>0</v>
      </c>
      <c r="K21" s="150">
        <f>-K12+K26-K15-K18+K24+K25</f>
        <v>9</v>
      </c>
      <c r="L21" s="150">
        <f t="shared" ref="L21:Z21" si="9">-L12+L26-L15-L18+L24+L25</f>
        <v>7</v>
      </c>
      <c r="M21" s="150">
        <f t="shared" si="9"/>
        <v>25</v>
      </c>
      <c r="N21" s="150">
        <f t="shared" si="9"/>
        <v>0</v>
      </c>
      <c r="O21" s="150">
        <f t="shared" si="9"/>
        <v>20</v>
      </c>
      <c r="P21" s="150">
        <f t="shared" si="9"/>
        <v>10</v>
      </c>
      <c r="Q21" s="150">
        <f t="shared" si="9"/>
        <v>0</v>
      </c>
      <c r="R21" s="150">
        <f t="shared" si="9"/>
        <v>0</v>
      </c>
      <c r="S21" s="150">
        <f t="shared" si="9"/>
        <v>0</v>
      </c>
      <c r="T21" s="150">
        <f t="shared" si="9"/>
        <v>16</v>
      </c>
      <c r="U21" s="150">
        <f t="shared" si="9"/>
        <v>22</v>
      </c>
      <c r="V21" s="150">
        <f t="shared" si="9"/>
        <v>22</v>
      </c>
      <c r="W21" s="150">
        <f t="shared" si="9"/>
        <v>-14</v>
      </c>
      <c r="X21" s="150">
        <f t="shared" si="9"/>
        <v>2</v>
      </c>
      <c r="Y21" s="150">
        <f t="shared" si="9"/>
        <v>-7</v>
      </c>
      <c r="Z21" s="150">
        <f t="shared" si="9"/>
        <v>34</v>
      </c>
      <c r="AA21" s="193">
        <f t="shared" si="3"/>
        <v>146</v>
      </c>
    </row>
    <row r="22" spans="2:28" s="97" customFormat="1">
      <c r="B22" s="287"/>
      <c r="C22" s="289"/>
      <c r="D22" s="296"/>
      <c r="E22" s="309">
        <f t="shared" ref="E22:AA22" si="10">SUM(E4:E21)</f>
        <v>145</v>
      </c>
      <c r="F22" s="309">
        <f t="shared" ref="F22" si="11">SUM(F4:F21)</f>
        <v>194</v>
      </c>
      <c r="G22" s="309">
        <f>SUM(G4:G21)</f>
        <v>197</v>
      </c>
      <c r="H22" s="309">
        <f t="shared" si="10"/>
        <v>145</v>
      </c>
      <c r="I22" s="309">
        <f t="shared" si="10"/>
        <v>101</v>
      </c>
      <c r="J22" s="309">
        <f t="shared" si="10"/>
        <v>154</v>
      </c>
      <c r="K22" s="309">
        <f t="shared" si="10"/>
        <v>164</v>
      </c>
      <c r="L22" s="309">
        <f t="shared" si="10"/>
        <v>163</v>
      </c>
      <c r="M22" s="309">
        <f t="shared" si="10"/>
        <v>128</v>
      </c>
      <c r="N22" s="309">
        <f t="shared" si="10"/>
        <v>32</v>
      </c>
      <c r="O22" s="309">
        <f t="shared" si="10"/>
        <v>180</v>
      </c>
      <c r="P22" s="309">
        <f t="shared" si="10"/>
        <v>120</v>
      </c>
      <c r="Q22" s="309">
        <f t="shared" si="10"/>
        <v>126</v>
      </c>
      <c r="R22" s="309">
        <f t="shared" si="10"/>
        <v>47</v>
      </c>
      <c r="S22" s="309">
        <f t="shared" si="10"/>
        <v>155</v>
      </c>
      <c r="T22" s="309">
        <f t="shared" si="10"/>
        <v>111</v>
      </c>
      <c r="U22" s="309">
        <f t="shared" si="10"/>
        <v>146</v>
      </c>
      <c r="V22" s="309">
        <f t="shared" si="10"/>
        <v>204</v>
      </c>
      <c r="W22" s="309">
        <f t="shared" si="10"/>
        <v>129</v>
      </c>
      <c r="X22" s="309">
        <f t="shared" si="10"/>
        <v>139</v>
      </c>
      <c r="Y22" s="309">
        <f t="shared" si="10"/>
        <v>143</v>
      </c>
      <c r="Z22" s="309">
        <f t="shared" si="10"/>
        <v>295</v>
      </c>
      <c r="AA22" s="190">
        <f t="shared" si="10"/>
        <v>3218</v>
      </c>
    </row>
    <row r="23" spans="2:28" s="143" customFormat="1">
      <c r="B23" s="290" t="s">
        <v>210</v>
      </c>
      <c r="C23" s="290" t="s">
        <v>210</v>
      </c>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t="s">
        <v>330</v>
      </c>
      <c r="C24" s="293" t="s">
        <v>165</v>
      </c>
      <c r="D24" s="226"/>
      <c r="E24" s="160">
        <f t="shared" ref="E24:Z26" si="12">INDEX(scorematrix,MATCH($C24,renners,0),MATCH(E$3,etappes,0))</f>
        <v>0</v>
      </c>
      <c r="F24" s="160">
        <f t="shared" si="12"/>
        <v>0</v>
      </c>
      <c r="G24" s="160">
        <f t="shared" si="12"/>
        <v>0</v>
      </c>
      <c r="H24" s="160">
        <f t="shared" si="12"/>
        <v>0</v>
      </c>
      <c r="I24" s="160">
        <f t="shared" si="12"/>
        <v>0</v>
      </c>
      <c r="J24" s="160">
        <f t="shared" si="12"/>
        <v>9</v>
      </c>
      <c r="K24" s="338">
        <f t="shared" si="12"/>
        <v>0</v>
      </c>
      <c r="L24" s="338">
        <f t="shared" si="12"/>
        <v>0</v>
      </c>
      <c r="M24" s="338">
        <f t="shared" si="12"/>
        <v>10</v>
      </c>
      <c r="N24" s="338">
        <f t="shared" si="12"/>
        <v>0</v>
      </c>
      <c r="O24" s="338">
        <f t="shared" si="12"/>
        <v>20</v>
      </c>
      <c r="P24" s="338">
        <f t="shared" si="12"/>
        <v>10</v>
      </c>
      <c r="Q24" s="338">
        <f t="shared" si="12"/>
        <v>0</v>
      </c>
      <c r="R24" s="338">
        <f t="shared" si="12"/>
        <v>0</v>
      </c>
      <c r="S24" s="338">
        <f t="shared" si="12"/>
        <v>0</v>
      </c>
      <c r="T24" s="338">
        <f t="shared" si="12"/>
        <v>0</v>
      </c>
      <c r="U24" s="338">
        <f t="shared" si="12"/>
        <v>22</v>
      </c>
      <c r="V24" s="338">
        <f t="shared" si="12"/>
        <v>22</v>
      </c>
      <c r="W24" s="338">
        <f t="shared" si="12"/>
        <v>2</v>
      </c>
      <c r="X24" s="338">
        <f t="shared" si="12"/>
        <v>2</v>
      </c>
      <c r="Y24" s="338">
        <f t="shared" si="12"/>
        <v>11</v>
      </c>
      <c r="Z24" s="338">
        <f t="shared" si="12"/>
        <v>34</v>
      </c>
      <c r="AA24" s="245">
        <f>SUM(E24:Z24)</f>
        <v>142</v>
      </c>
    </row>
    <row r="25" spans="2:28" s="145" customFormat="1">
      <c r="B25" s="295" t="s">
        <v>241</v>
      </c>
      <c r="C25" s="293" t="s">
        <v>240</v>
      </c>
      <c r="D25" s="226"/>
      <c r="E25" s="160">
        <f t="shared" si="12"/>
        <v>0</v>
      </c>
      <c r="F25" s="160">
        <f t="shared" si="12"/>
        <v>0</v>
      </c>
      <c r="G25" s="160">
        <f t="shared" si="12"/>
        <v>0</v>
      </c>
      <c r="H25" s="160">
        <f t="shared" si="12"/>
        <v>0</v>
      </c>
      <c r="I25" s="160">
        <f t="shared" si="12"/>
        <v>0</v>
      </c>
      <c r="J25" s="160">
        <f t="shared" si="12"/>
        <v>0</v>
      </c>
      <c r="K25" s="338">
        <f t="shared" si="12"/>
        <v>0</v>
      </c>
      <c r="L25" s="338">
        <f t="shared" si="12"/>
        <v>0</v>
      </c>
      <c r="M25" s="338">
        <f t="shared" si="12"/>
        <v>0</v>
      </c>
      <c r="N25" s="338">
        <f t="shared" si="12"/>
        <v>0</v>
      </c>
      <c r="O25" s="338">
        <f t="shared" si="12"/>
        <v>0</v>
      </c>
      <c r="P25" s="338">
        <f t="shared" si="12"/>
        <v>0</v>
      </c>
      <c r="Q25" s="338">
        <f t="shared" si="12"/>
        <v>0</v>
      </c>
      <c r="R25" s="338">
        <f t="shared" si="12"/>
        <v>0</v>
      </c>
      <c r="S25" s="338">
        <f t="shared" si="12"/>
        <v>0</v>
      </c>
      <c r="T25" s="338">
        <f t="shared" si="12"/>
        <v>0</v>
      </c>
      <c r="U25" s="338">
        <f t="shared" si="12"/>
        <v>0</v>
      </c>
      <c r="V25" s="338">
        <f t="shared" si="12"/>
        <v>0</v>
      </c>
      <c r="W25" s="338">
        <f t="shared" si="12"/>
        <v>0</v>
      </c>
      <c r="X25" s="338">
        <f t="shared" si="12"/>
        <v>0</v>
      </c>
      <c r="Y25" s="338">
        <f t="shared" si="12"/>
        <v>0</v>
      </c>
      <c r="Z25" s="338">
        <f t="shared" si="12"/>
        <v>0</v>
      </c>
      <c r="AA25" s="245">
        <f>SUM(E25:Z25)</f>
        <v>0</v>
      </c>
    </row>
    <row r="26" spans="2:28" s="145" customFormat="1">
      <c r="B26" s="295" t="s">
        <v>283</v>
      </c>
      <c r="C26" s="293" t="s">
        <v>243</v>
      </c>
      <c r="D26" s="226"/>
      <c r="E26" s="160">
        <f t="shared" si="12"/>
        <v>0</v>
      </c>
      <c r="F26" s="160">
        <f t="shared" si="12"/>
        <v>0</v>
      </c>
      <c r="G26" s="160">
        <f t="shared" si="12"/>
        <v>0</v>
      </c>
      <c r="H26" s="160">
        <f t="shared" si="12"/>
        <v>0</v>
      </c>
      <c r="I26" s="160">
        <f t="shared" si="12"/>
        <v>0</v>
      </c>
      <c r="J26" s="338">
        <f t="shared" si="12"/>
        <v>0</v>
      </c>
      <c r="K26" s="338">
        <f t="shared" si="12"/>
        <v>9</v>
      </c>
      <c r="L26" s="338">
        <f t="shared" si="12"/>
        <v>7</v>
      </c>
      <c r="M26" s="338">
        <f t="shared" si="12"/>
        <v>15</v>
      </c>
      <c r="N26" s="338">
        <f t="shared" si="12"/>
        <v>0</v>
      </c>
      <c r="O26" s="338">
        <f t="shared" si="12"/>
        <v>0</v>
      </c>
      <c r="P26" s="338">
        <f t="shared" si="12"/>
        <v>0</v>
      </c>
      <c r="Q26" s="338">
        <f t="shared" si="12"/>
        <v>0</v>
      </c>
      <c r="R26" s="338">
        <f t="shared" si="12"/>
        <v>0</v>
      </c>
      <c r="S26" s="338">
        <f t="shared" si="12"/>
        <v>0</v>
      </c>
      <c r="T26" s="338">
        <f t="shared" si="12"/>
        <v>16</v>
      </c>
      <c r="U26" s="338">
        <f t="shared" si="12"/>
        <v>0</v>
      </c>
      <c r="V26" s="338">
        <f t="shared" si="12"/>
        <v>0</v>
      </c>
      <c r="W26" s="338">
        <f t="shared" si="12"/>
        <v>0</v>
      </c>
      <c r="X26" s="338">
        <f t="shared" si="12"/>
        <v>0</v>
      </c>
      <c r="Y26" s="338">
        <f t="shared" si="12"/>
        <v>0</v>
      </c>
      <c r="Z26" s="338">
        <f t="shared" si="12"/>
        <v>0</v>
      </c>
      <c r="AA26" s="245">
        <f>SUM(E26:Z26)</f>
        <v>47</v>
      </c>
    </row>
    <row r="28" spans="2:28">
      <c r="C28" s="246" t="s">
        <v>160</v>
      </c>
      <c r="D28" s="247">
        <f>COUNTIF($D$4:$D$21,C28)</f>
        <v>9</v>
      </c>
    </row>
    <row r="29" spans="2:28">
      <c r="C29" s="248" t="s">
        <v>10</v>
      </c>
      <c r="D29" s="247">
        <f>COUNTIF($D$4:$D$21,C29)</f>
        <v>6</v>
      </c>
    </row>
    <row r="30" spans="2:28">
      <c r="C30" s="248" t="s">
        <v>106</v>
      </c>
      <c r="D30" s="247">
        <f>COUNTIF($D$4:$D$21,C30)</f>
        <v>2</v>
      </c>
    </row>
  </sheetData>
  <sortState xmlns:xlrd2="http://schemas.microsoft.com/office/spreadsheetml/2017/richdata2" ref="A4:AB20">
    <sortCondition ref="D4:D20"/>
    <sortCondition ref="C4:C20"/>
  </sortState>
  <phoneticPr fontId="0" type="noConversion"/>
  <dataValidations count="1">
    <dataValidation type="list" allowBlank="1" showInputMessage="1" showErrorMessage="1" prompt="selecteer type renner:" sqref="D15:D20 D10 D4" xr:uid="{00000000-0002-0000-0700-000000000000}">
      <formula1>type_renner</formula1>
    </dataValidation>
  </dataValidation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8">
    <tabColor indexed="39"/>
  </sheetPr>
  <dimension ref="B1:AB30"/>
  <sheetViews>
    <sheetView showZeros="0" workbookViewId="0">
      <selection activeCell="AA21" sqref="AA21"/>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137</v>
      </c>
      <c r="D1" s="220"/>
    </row>
    <row r="2" spans="2:28">
      <c r="B2" s="146"/>
      <c r="C2" s="250"/>
      <c r="D2" s="147"/>
      <c r="H2" s="112"/>
    </row>
    <row r="3" spans="2:28" s="110" customFormat="1" ht="14.4" thickBot="1">
      <c r="B3" s="251"/>
      <c r="C3" s="252" t="s">
        <v>135</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306</v>
      </c>
      <c r="C4" s="292" t="s">
        <v>284</v>
      </c>
      <c r="D4" s="223"/>
      <c r="E4" s="98">
        <f t="shared" ref="E4:T19" si="0">INDEX(scorematrix,MATCH($C4,renners,0),MATCH(E$3,etappes,0))</f>
        <v>43</v>
      </c>
      <c r="F4" s="98">
        <f t="shared" si="0"/>
        <v>45</v>
      </c>
      <c r="G4" s="98">
        <f t="shared" si="0"/>
        <v>45</v>
      </c>
      <c r="H4" s="98">
        <f t="shared" si="0"/>
        <v>54</v>
      </c>
      <c r="I4" s="98">
        <f t="shared" si="0"/>
        <v>29</v>
      </c>
      <c r="J4" s="98">
        <f t="shared" si="0"/>
        <v>8</v>
      </c>
      <c r="K4" s="98">
        <f t="shared" si="0"/>
        <v>5</v>
      </c>
      <c r="L4" s="98">
        <f t="shared" si="0"/>
        <v>40</v>
      </c>
      <c r="M4" s="98">
        <f t="shared" si="0"/>
        <v>5</v>
      </c>
      <c r="N4" s="98">
        <f t="shared" si="0"/>
        <v>5</v>
      </c>
      <c r="O4" s="98">
        <f t="shared" si="0"/>
        <v>5</v>
      </c>
      <c r="P4" s="98">
        <f t="shared" si="0"/>
        <v>5</v>
      </c>
      <c r="Q4" s="98">
        <f t="shared" si="0"/>
        <v>24</v>
      </c>
      <c r="R4" s="98">
        <f t="shared" si="0"/>
        <v>5</v>
      </c>
      <c r="S4" s="98">
        <f t="shared" si="0"/>
        <v>35</v>
      </c>
      <c r="T4" s="98">
        <f t="shared" si="0"/>
        <v>18</v>
      </c>
      <c r="U4" s="98">
        <f t="shared" ref="F4:Y17" si="1">INDEX(scorematrix,MATCH($C4,renners,0),MATCH(U$3,etappes,0))</f>
        <v>5</v>
      </c>
      <c r="V4" s="98">
        <f t="shared" si="1"/>
        <v>32</v>
      </c>
      <c r="W4" s="98">
        <f t="shared" si="1"/>
        <v>6</v>
      </c>
      <c r="X4" s="98">
        <f t="shared" si="1"/>
        <v>41</v>
      </c>
      <c r="Y4" s="98">
        <f t="shared" si="1"/>
        <v>6</v>
      </c>
      <c r="Z4" s="98">
        <f t="shared" ref="Z4:Z19" si="2">INDEX(scorematrix,MATCH($C4,renners,0),MATCH(Z$3,etappes,0))</f>
        <v>11</v>
      </c>
      <c r="AA4" s="153">
        <f t="shared" ref="AA4:AA21" si="3">SUM(E4:Z4)</f>
        <v>472</v>
      </c>
      <c r="AB4" s="94" t="str">
        <f t="shared" ref="AB4:AB20" si="4">C4</f>
        <v>van aert</v>
      </c>
    </row>
    <row r="5" spans="2:28">
      <c r="B5" s="294" t="s">
        <v>307</v>
      </c>
      <c r="C5" s="292" t="s">
        <v>285</v>
      </c>
      <c r="D5" s="223"/>
      <c r="E5" s="98">
        <f t="shared" si="0"/>
        <v>23</v>
      </c>
      <c r="F5" s="98">
        <f t="shared" si="1"/>
        <v>4</v>
      </c>
      <c r="G5" s="98">
        <f t="shared" si="1"/>
        <v>5</v>
      </c>
      <c r="H5" s="98">
        <f t="shared" si="1"/>
        <v>5</v>
      </c>
      <c r="I5" s="98">
        <f t="shared" si="1"/>
        <v>13</v>
      </c>
      <c r="J5" s="98">
        <f t="shared" si="1"/>
        <v>27</v>
      </c>
      <c r="K5" s="98">
        <f t="shared" si="1"/>
        <v>42</v>
      </c>
      <c r="L5" s="98">
        <f t="shared" si="1"/>
        <v>30</v>
      </c>
      <c r="M5" s="98">
        <f t="shared" si="1"/>
        <v>29</v>
      </c>
      <c r="N5" s="98">
        <f t="shared" si="1"/>
        <v>8</v>
      </c>
      <c r="O5" s="98">
        <f t="shared" si="1"/>
        <v>48</v>
      </c>
      <c r="P5" s="98">
        <f t="shared" si="1"/>
        <v>33</v>
      </c>
      <c r="Q5" s="98">
        <f t="shared" si="1"/>
        <v>20</v>
      </c>
      <c r="R5" s="98">
        <f t="shared" si="1"/>
        <v>12</v>
      </c>
      <c r="S5" s="98">
        <f t="shared" si="1"/>
        <v>10</v>
      </c>
      <c r="T5" s="98">
        <f t="shared" si="1"/>
        <v>21</v>
      </c>
      <c r="U5" s="98">
        <f t="shared" si="1"/>
        <v>40</v>
      </c>
      <c r="V5" s="98">
        <f t="shared" si="1"/>
        <v>50</v>
      </c>
      <c r="W5" s="98">
        <f t="shared" si="1"/>
        <v>28</v>
      </c>
      <c r="X5" s="98">
        <f t="shared" si="1"/>
        <v>45</v>
      </c>
      <c r="Y5" s="98">
        <f t="shared" si="1"/>
        <v>15</v>
      </c>
      <c r="Z5" s="98">
        <f t="shared" si="2"/>
        <v>80</v>
      </c>
      <c r="AA5" s="153">
        <f t="shared" si="3"/>
        <v>588</v>
      </c>
      <c r="AB5" s="94" t="str">
        <f t="shared" si="4"/>
        <v>vingegaard</v>
      </c>
    </row>
    <row r="6" spans="2:28">
      <c r="B6" s="294" t="s">
        <v>308</v>
      </c>
      <c r="C6" s="292" t="s">
        <v>286</v>
      </c>
      <c r="D6" s="223" t="s">
        <v>10</v>
      </c>
      <c r="E6" s="98">
        <f t="shared" si="0"/>
        <v>9</v>
      </c>
      <c r="F6" s="98">
        <f t="shared" si="1"/>
        <v>0</v>
      </c>
      <c r="G6" s="98">
        <f t="shared" si="1"/>
        <v>0</v>
      </c>
      <c r="H6" s="98">
        <f t="shared" si="1"/>
        <v>17</v>
      </c>
      <c r="I6" s="98">
        <f t="shared" si="1"/>
        <v>0</v>
      </c>
      <c r="J6" s="98">
        <f t="shared" si="1"/>
        <v>30</v>
      </c>
      <c r="K6" s="98">
        <f t="shared" si="1"/>
        <v>0</v>
      </c>
      <c r="L6" s="98">
        <f t="shared" si="1"/>
        <v>30</v>
      </c>
      <c r="M6" s="98">
        <f t="shared" si="1"/>
        <v>0</v>
      </c>
      <c r="N6" s="98">
        <f t="shared" si="1"/>
        <v>0</v>
      </c>
      <c r="O6" s="98">
        <f t="shared" si="1"/>
        <v>0</v>
      </c>
      <c r="P6" s="98">
        <f t="shared" si="1"/>
        <v>0</v>
      </c>
      <c r="Q6" s="98">
        <f t="shared" si="1"/>
        <v>0</v>
      </c>
      <c r="R6" s="98">
        <f t="shared" si="1"/>
        <v>35</v>
      </c>
      <c r="S6" s="98">
        <f t="shared" si="1"/>
        <v>0</v>
      </c>
      <c r="T6" s="98">
        <f t="shared" si="1"/>
        <v>0</v>
      </c>
      <c r="U6" s="98">
        <f t="shared" si="1"/>
        <v>0</v>
      </c>
      <c r="V6" s="98">
        <f t="shared" si="1"/>
        <v>0</v>
      </c>
      <c r="W6" s="98">
        <f t="shared" si="1"/>
        <v>0</v>
      </c>
      <c r="X6" s="98">
        <f t="shared" si="1"/>
        <v>0</v>
      </c>
      <c r="Y6" s="98">
        <f t="shared" si="1"/>
        <v>0</v>
      </c>
      <c r="Z6" s="98">
        <f t="shared" si="2"/>
        <v>0</v>
      </c>
      <c r="AA6" s="153">
        <f t="shared" si="3"/>
        <v>121</v>
      </c>
      <c r="AB6" s="94" t="str">
        <f t="shared" si="4"/>
        <v>matthews</v>
      </c>
    </row>
    <row r="7" spans="2:28">
      <c r="B7" s="294" t="s">
        <v>309</v>
      </c>
      <c r="C7" s="292" t="s">
        <v>287</v>
      </c>
      <c r="D7" s="223"/>
      <c r="E7" s="98">
        <f t="shared" si="0"/>
        <v>0</v>
      </c>
      <c r="F7" s="98">
        <f t="shared" si="1"/>
        <v>0</v>
      </c>
      <c r="G7" s="98">
        <f t="shared" si="1"/>
        <v>8</v>
      </c>
      <c r="H7" s="98">
        <f t="shared" si="1"/>
        <v>6</v>
      </c>
      <c r="I7" s="98">
        <f t="shared" si="1"/>
        <v>8</v>
      </c>
      <c r="J7" s="98">
        <f t="shared" si="1"/>
        <v>14</v>
      </c>
      <c r="K7" s="98">
        <f t="shared" si="1"/>
        <v>0</v>
      </c>
      <c r="L7" s="98">
        <f t="shared" si="1"/>
        <v>20</v>
      </c>
      <c r="M7" s="98">
        <f t="shared" si="1"/>
        <v>0</v>
      </c>
      <c r="N7" s="98">
        <f t="shared" si="1"/>
        <v>0</v>
      </c>
      <c r="O7" s="98">
        <f t="shared" si="1"/>
        <v>17</v>
      </c>
      <c r="P7" s="98">
        <f t="shared" si="1"/>
        <v>9</v>
      </c>
      <c r="Q7" s="98">
        <f t="shared" si="1"/>
        <v>1</v>
      </c>
      <c r="R7" s="98">
        <f t="shared" si="1"/>
        <v>0</v>
      </c>
      <c r="S7" s="98">
        <f t="shared" si="1"/>
        <v>10</v>
      </c>
      <c r="T7" s="98">
        <f t="shared" si="1"/>
        <v>23</v>
      </c>
      <c r="U7" s="98">
        <f t="shared" si="1"/>
        <v>21</v>
      </c>
      <c r="V7" s="98">
        <f t="shared" si="1"/>
        <v>21</v>
      </c>
      <c r="W7" s="98">
        <f t="shared" si="1"/>
        <v>18</v>
      </c>
      <c r="X7" s="98">
        <f t="shared" si="1"/>
        <v>14</v>
      </c>
      <c r="Y7" s="98">
        <f t="shared" si="1"/>
        <v>6</v>
      </c>
      <c r="Z7" s="98">
        <f t="shared" si="2"/>
        <v>44</v>
      </c>
      <c r="AA7" s="153">
        <f t="shared" si="3"/>
        <v>240</v>
      </c>
      <c r="AB7" s="94" t="str">
        <f t="shared" si="4"/>
        <v>vlasov</v>
      </c>
    </row>
    <row r="8" spans="2:28">
      <c r="B8" s="294" t="s">
        <v>310</v>
      </c>
      <c r="C8" s="292" t="s">
        <v>288</v>
      </c>
      <c r="D8" s="223"/>
      <c r="E8" s="98">
        <f t="shared" si="0"/>
        <v>0</v>
      </c>
      <c r="F8" s="98">
        <f t="shared" si="1"/>
        <v>0</v>
      </c>
      <c r="G8" s="98">
        <f t="shared" si="1"/>
        <v>0</v>
      </c>
      <c r="H8" s="98">
        <f t="shared" si="1"/>
        <v>0</v>
      </c>
      <c r="I8" s="98">
        <f t="shared" si="1"/>
        <v>0</v>
      </c>
      <c r="J8" s="98">
        <f t="shared" si="1"/>
        <v>7</v>
      </c>
      <c r="K8" s="98">
        <f t="shared" si="1"/>
        <v>13</v>
      </c>
      <c r="L8" s="98">
        <f t="shared" si="1"/>
        <v>13</v>
      </c>
      <c r="M8" s="98">
        <f t="shared" si="1"/>
        <v>0</v>
      </c>
      <c r="N8" s="98">
        <f t="shared" si="1"/>
        <v>0</v>
      </c>
      <c r="O8" s="98">
        <f t="shared" si="1"/>
        <v>0</v>
      </c>
      <c r="P8" s="98">
        <f t="shared" si="1"/>
        <v>0</v>
      </c>
      <c r="Q8" s="98">
        <f t="shared" si="1"/>
        <v>0</v>
      </c>
      <c r="R8" s="98">
        <f t="shared" si="1"/>
        <v>0</v>
      </c>
      <c r="S8" s="98">
        <f t="shared" si="1"/>
        <v>0</v>
      </c>
      <c r="T8" s="98">
        <f t="shared" si="1"/>
        <v>0</v>
      </c>
      <c r="U8" s="98">
        <f t="shared" si="1"/>
        <v>0</v>
      </c>
      <c r="V8" s="98">
        <f t="shared" si="1"/>
        <v>0</v>
      </c>
      <c r="W8" s="98">
        <f t="shared" si="1"/>
        <v>0</v>
      </c>
      <c r="X8" s="98">
        <f t="shared" si="1"/>
        <v>0</v>
      </c>
      <c r="Y8" s="98">
        <f t="shared" si="1"/>
        <v>0</v>
      </c>
      <c r="Z8" s="98">
        <f t="shared" si="2"/>
        <v>0</v>
      </c>
      <c r="AA8" s="153">
        <f t="shared" si="3"/>
        <v>33</v>
      </c>
      <c r="AB8" s="94" t="str">
        <f t="shared" si="4"/>
        <v>martin</v>
      </c>
    </row>
    <row r="9" spans="2:28">
      <c r="B9" s="294" t="s">
        <v>311</v>
      </c>
      <c r="C9" s="292" t="s">
        <v>289</v>
      </c>
      <c r="D9" s="223"/>
      <c r="E9" s="98">
        <f t="shared" si="0"/>
        <v>0</v>
      </c>
      <c r="F9" s="98">
        <f t="shared" si="1"/>
        <v>0</v>
      </c>
      <c r="G9" s="98">
        <f t="shared" si="1"/>
        <v>0</v>
      </c>
      <c r="H9" s="98">
        <f t="shared" si="1"/>
        <v>0</v>
      </c>
      <c r="I9" s="98">
        <f t="shared" si="1"/>
        <v>0</v>
      </c>
      <c r="J9" s="98">
        <f t="shared" si="1"/>
        <v>0</v>
      </c>
      <c r="K9" s="98">
        <f t="shared" si="1"/>
        <v>0</v>
      </c>
      <c r="L9" s="98">
        <f t="shared" si="1"/>
        <v>0</v>
      </c>
      <c r="M9" s="98">
        <f t="shared" si="1"/>
        <v>0</v>
      </c>
      <c r="N9" s="98">
        <f t="shared" si="1"/>
        <v>0</v>
      </c>
      <c r="O9" s="98">
        <f t="shared" si="1"/>
        <v>0</v>
      </c>
      <c r="P9" s="98">
        <f t="shared" si="1"/>
        <v>0</v>
      </c>
      <c r="Q9" s="98">
        <f t="shared" si="1"/>
        <v>0</v>
      </c>
      <c r="R9" s="98">
        <f t="shared" si="1"/>
        <v>0</v>
      </c>
      <c r="S9" s="98">
        <f t="shared" si="1"/>
        <v>0</v>
      </c>
      <c r="T9" s="98">
        <f t="shared" si="1"/>
        <v>0</v>
      </c>
      <c r="U9" s="98">
        <f t="shared" si="1"/>
        <v>0</v>
      </c>
      <c r="V9" s="98">
        <f t="shared" si="1"/>
        <v>0</v>
      </c>
      <c r="W9" s="98">
        <f t="shared" si="1"/>
        <v>0</v>
      </c>
      <c r="X9" s="98">
        <f t="shared" si="1"/>
        <v>0</v>
      </c>
      <c r="Y9" s="98">
        <f t="shared" si="1"/>
        <v>0</v>
      </c>
      <c r="Z9" s="98">
        <f t="shared" si="2"/>
        <v>0</v>
      </c>
      <c r="AA9" s="153">
        <f t="shared" si="3"/>
        <v>0</v>
      </c>
      <c r="AB9" s="94" t="str">
        <f t="shared" si="4"/>
        <v>mohoric</v>
      </c>
    </row>
    <row r="10" spans="2:28">
      <c r="B10" s="294" t="s">
        <v>312</v>
      </c>
      <c r="C10" s="292" t="s">
        <v>290</v>
      </c>
      <c r="D10" s="223"/>
      <c r="E10" s="98">
        <f t="shared" si="0"/>
        <v>0</v>
      </c>
      <c r="F10" s="98">
        <f t="shared" si="1"/>
        <v>0</v>
      </c>
      <c r="G10" s="98">
        <f t="shared" si="1"/>
        <v>0</v>
      </c>
      <c r="H10" s="98">
        <f t="shared" si="1"/>
        <v>0</v>
      </c>
      <c r="I10" s="98">
        <f t="shared" si="1"/>
        <v>0</v>
      </c>
      <c r="J10" s="98">
        <f t="shared" si="1"/>
        <v>21</v>
      </c>
      <c r="K10" s="98">
        <f t="shared" si="1"/>
        <v>16</v>
      </c>
      <c r="L10" s="98">
        <f t="shared" si="1"/>
        <v>1</v>
      </c>
      <c r="M10" s="98">
        <f t="shared" si="1"/>
        <v>0</v>
      </c>
      <c r="N10" s="98">
        <f t="shared" si="1"/>
        <v>0</v>
      </c>
      <c r="O10" s="98">
        <f t="shared" si="1"/>
        <v>0</v>
      </c>
      <c r="P10" s="98">
        <f t="shared" si="1"/>
        <v>0</v>
      </c>
      <c r="Q10" s="98">
        <f t="shared" si="1"/>
        <v>0</v>
      </c>
      <c r="R10" s="98">
        <f t="shared" si="1"/>
        <v>9</v>
      </c>
      <c r="S10" s="98">
        <f t="shared" si="1"/>
        <v>0</v>
      </c>
      <c r="T10" s="98">
        <f t="shared" si="1"/>
        <v>6</v>
      </c>
      <c r="U10" s="98">
        <f t="shared" si="1"/>
        <v>0</v>
      </c>
      <c r="V10" s="98">
        <f t="shared" si="1"/>
        <v>19</v>
      </c>
      <c r="W10" s="98">
        <f t="shared" si="1"/>
        <v>0</v>
      </c>
      <c r="X10" s="98">
        <f t="shared" si="1"/>
        <v>6</v>
      </c>
      <c r="Y10" s="98">
        <f t="shared" si="1"/>
        <v>0</v>
      </c>
      <c r="Z10" s="98">
        <f t="shared" si="2"/>
        <v>0</v>
      </c>
      <c r="AA10" s="153">
        <f t="shared" si="3"/>
        <v>78</v>
      </c>
      <c r="AB10" s="94" t="str">
        <f t="shared" si="4"/>
        <v>martinez</v>
      </c>
    </row>
    <row r="11" spans="2:28">
      <c r="B11" s="294" t="s">
        <v>313</v>
      </c>
      <c r="C11" s="292" t="s">
        <v>291</v>
      </c>
      <c r="D11" s="223" t="s">
        <v>10</v>
      </c>
      <c r="E11" s="98">
        <f t="shared" si="0"/>
        <v>0</v>
      </c>
      <c r="F11" s="98">
        <f t="shared" si="1"/>
        <v>22</v>
      </c>
      <c r="G11" s="98">
        <f t="shared" si="1"/>
        <v>26</v>
      </c>
      <c r="H11" s="98">
        <f t="shared" si="1"/>
        <v>31</v>
      </c>
      <c r="I11" s="98">
        <f t="shared" si="1"/>
        <v>22</v>
      </c>
      <c r="J11" s="98">
        <f t="shared" si="1"/>
        <v>6</v>
      </c>
      <c r="K11" s="98">
        <f t="shared" si="1"/>
        <v>2</v>
      </c>
      <c r="L11" s="98">
        <f t="shared" si="1"/>
        <v>2</v>
      </c>
      <c r="M11" s="98">
        <f t="shared" si="1"/>
        <v>2</v>
      </c>
      <c r="N11" s="98">
        <f t="shared" si="1"/>
        <v>0</v>
      </c>
      <c r="O11" s="98">
        <f t="shared" si="1"/>
        <v>0</v>
      </c>
      <c r="P11" s="98">
        <f t="shared" si="1"/>
        <v>1</v>
      </c>
      <c r="Q11" s="98">
        <f t="shared" si="1"/>
        <v>0</v>
      </c>
      <c r="R11" s="98">
        <f t="shared" si="1"/>
        <v>0</v>
      </c>
      <c r="S11" s="98">
        <f t="shared" si="1"/>
        <v>35</v>
      </c>
      <c r="T11" s="98">
        <f t="shared" si="1"/>
        <v>3</v>
      </c>
      <c r="U11" s="98">
        <f t="shared" si="1"/>
        <v>3</v>
      </c>
      <c r="V11" s="98">
        <f t="shared" si="1"/>
        <v>3</v>
      </c>
      <c r="W11" s="98">
        <f t="shared" si="1"/>
        <v>34</v>
      </c>
      <c r="X11" s="98">
        <f t="shared" si="1"/>
        <v>3</v>
      </c>
      <c r="Y11" s="98">
        <f t="shared" si="1"/>
        <v>39</v>
      </c>
      <c r="Z11" s="98">
        <f t="shared" si="2"/>
        <v>7</v>
      </c>
      <c r="AA11" s="153">
        <f t="shared" si="3"/>
        <v>241</v>
      </c>
      <c r="AB11" s="94" t="str">
        <f t="shared" si="4"/>
        <v>philipsen</v>
      </c>
    </row>
    <row r="12" spans="2:28">
      <c r="B12" s="294" t="s">
        <v>314</v>
      </c>
      <c r="C12" s="292" t="s">
        <v>292</v>
      </c>
      <c r="D12" s="223"/>
      <c r="E12" s="98">
        <f t="shared" si="0"/>
        <v>8</v>
      </c>
      <c r="F12" s="98">
        <f t="shared" si="1"/>
        <v>0</v>
      </c>
      <c r="G12" s="98">
        <f t="shared" si="1"/>
        <v>0</v>
      </c>
      <c r="H12" s="98">
        <f t="shared" si="1"/>
        <v>0</v>
      </c>
      <c r="I12" s="98">
        <f t="shared" si="1"/>
        <v>1</v>
      </c>
      <c r="J12" s="98">
        <f t="shared" si="1"/>
        <v>16</v>
      </c>
      <c r="K12" s="98">
        <f t="shared" si="1"/>
        <v>30</v>
      </c>
      <c r="L12" s="98">
        <f t="shared" si="1"/>
        <v>23</v>
      </c>
      <c r="M12" s="98">
        <f t="shared" si="1"/>
        <v>27</v>
      </c>
      <c r="N12" s="98">
        <f t="shared" si="1"/>
        <v>7</v>
      </c>
      <c r="O12" s="98">
        <f t="shared" si="1"/>
        <v>31</v>
      </c>
      <c r="P12" s="98">
        <f t="shared" si="1"/>
        <v>27</v>
      </c>
      <c r="Q12" s="98">
        <f t="shared" si="1"/>
        <v>8</v>
      </c>
      <c r="R12" s="98">
        <f t="shared" si="1"/>
        <v>8</v>
      </c>
      <c r="S12" s="98">
        <f t="shared" si="1"/>
        <v>8</v>
      </c>
      <c r="T12" s="98">
        <f t="shared" si="1"/>
        <v>17</v>
      </c>
      <c r="U12" s="98">
        <f t="shared" si="1"/>
        <v>32</v>
      </c>
      <c r="V12" s="98">
        <f t="shared" si="1"/>
        <v>32</v>
      </c>
      <c r="W12" s="98">
        <f t="shared" si="1"/>
        <v>20</v>
      </c>
      <c r="X12" s="98">
        <f t="shared" si="1"/>
        <v>8</v>
      </c>
      <c r="Y12" s="98">
        <f t="shared" si="1"/>
        <v>8</v>
      </c>
      <c r="Z12" s="98">
        <f t="shared" si="2"/>
        <v>52</v>
      </c>
      <c r="AA12" s="153">
        <f t="shared" si="3"/>
        <v>363</v>
      </c>
      <c r="AB12" s="94" t="str">
        <f t="shared" si="4"/>
        <v>thomas</v>
      </c>
    </row>
    <row r="13" spans="2:28">
      <c r="B13" s="294" t="s">
        <v>315</v>
      </c>
      <c r="C13" s="292" t="s">
        <v>293</v>
      </c>
      <c r="D13" s="223"/>
      <c r="E13" s="98">
        <f t="shared" si="0"/>
        <v>0</v>
      </c>
      <c r="F13" s="98">
        <f t="shared" si="1"/>
        <v>0</v>
      </c>
      <c r="G13" s="98">
        <f t="shared" si="1"/>
        <v>0</v>
      </c>
      <c r="H13" s="98">
        <f t="shared" si="1"/>
        <v>0</v>
      </c>
      <c r="I13" s="98">
        <f t="shared" si="1"/>
        <v>0</v>
      </c>
      <c r="J13" s="98">
        <f t="shared" si="1"/>
        <v>0</v>
      </c>
      <c r="K13" s="98">
        <f t="shared" si="1"/>
        <v>0</v>
      </c>
      <c r="L13" s="98">
        <f t="shared" si="1"/>
        <v>0</v>
      </c>
      <c r="M13" s="98">
        <f t="shared" si="1"/>
        <v>0</v>
      </c>
      <c r="N13" s="98">
        <f t="shared" si="1"/>
        <v>0</v>
      </c>
      <c r="O13" s="98">
        <f t="shared" si="1"/>
        <v>0</v>
      </c>
      <c r="P13" s="98">
        <f t="shared" si="1"/>
        <v>0</v>
      </c>
      <c r="Q13" s="98">
        <f t="shared" si="1"/>
        <v>0</v>
      </c>
      <c r="R13" s="98">
        <f t="shared" si="1"/>
        <v>0</v>
      </c>
      <c r="S13" s="98">
        <f t="shared" si="1"/>
        <v>0</v>
      </c>
      <c r="T13" s="98">
        <f t="shared" si="1"/>
        <v>0</v>
      </c>
      <c r="U13" s="98">
        <f t="shared" si="1"/>
        <v>0</v>
      </c>
      <c r="V13" s="98">
        <f t="shared" si="1"/>
        <v>0</v>
      </c>
      <c r="W13" s="98">
        <f t="shared" si="1"/>
        <v>0</v>
      </c>
      <c r="X13" s="98">
        <f t="shared" si="1"/>
        <v>0</v>
      </c>
      <c r="Y13" s="98">
        <f t="shared" si="1"/>
        <v>0</v>
      </c>
      <c r="Z13" s="98">
        <f t="shared" si="2"/>
        <v>0</v>
      </c>
      <c r="AA13" s="153">
        <f t="shared" si="3"/>
        <v>0</v>
      </c>
      <c r="AB13" s="94" t="str">
        <f t="shared" si="4"/>
        <v>o'connor</v>
      </c>
    </row>
    <row r="14" spans="2:28">
      <c r="B14" s="294" t="s">
        <v>316</v>
      </c>
      <c r="C14" s="292" t="s">
        <v>239</v>
      </c>
      <c r="D14" s="223" t="s">
        <v>10</v>
      </c>
      <c r="E14" s="98">
        <f t="shared" si="0"/>
        <v>0</v>
      </c>
      <c r="F14" s="98">
        <f t="shared" si="1"/>
        <v>39</v>
      </c>
      <c r="G14" s="98">
        <f t="shared" si="1"/>
        <v>26</v>
      </c>
      <c r="H14" s="98">
        <f t="shared" si="1"/>
        <v>17</v>
      </c>
      <c r="I14" s="98">
        <f t="shared" si="1"/>
        <v>21</v>
      </c>
      <c r="J14" s="98">
        <f t="shared" si="1"/>
        <v>4</v>
      </c>
      <c r="K14" s="98">
        <f t="shared" si="1"/>
        <v>4</v>
      </c>
      <c r="L14" s="98">
        <f t="shared" si="1"/>
        <v>4</v>
      </c>
      <c r="M14" s="98">
        <f t="shared" si="1"/>
        <v>4</v>
      </c>
      <c r="N14" s="98">
        <f t="shared" si="1"/>
        <v>4</v>
      </c>
      <c r="O14" s="98">
        <f t="shared" si="1"/>
        <v>4</v>
      </c>
      <c r="P14" s="98">
        <f t="shared" si="1"/>
        <v>3</v>
      </c>
      <c r="Q14" s="98">
        <f t="shared" si="1"/>
        <v>3</v>
      </c>
      <c r="R14" s="98">
        <f t="shared" si="1"/>
        <v>3</v>
      </c>
      <c r="S14" s="98">
        <f t="shared" si="1"/>
        <v>1</v>
      </c>
      <c r="T14" s="98">
        <f t="shared" si="1"/>
        <v>1</v>
      </c>
      <c r="U14" s="98">
        <f t="shared" si="1"/>
        <v>1</v>
      </c>
      <c r="V14" s="98">
        <f t="shared" si="1"/>
        <v>1</v>
      </c>
      <c r="W14" s="98">
        <f t="shared" si="1"/>
        <v>0</v>
      </c>
      <c r="X14" s="98">
        <f t="shared" si="1"/>
        <v>0</v>
      </c>
      <c r="Y14" s="98">
        <f t="shared" si="1"/>
        <v>14</v>
      </c>
      <c r="Z14" s="98">
        <f t="shared" si="2"/>
        <v>1</v>
      </c>
      <c r="AA14" s="153">
        <f t="shared" si="3"/>
        <v>155</v>
      </c>
      <c r="AB14" s="94" t="str">
        <f t="shared" si="4"/>
        <v>Jakobsen</v>
      </c>
    </row>
    <row r="15" spans="2:28">
      <c r="B15" s="294" t="s">
        <v>317</v>
      </c>
      <c r="C15" s="292" t="s">
        <v>294</v>
      </c>
      <c r="D15" s="223"/>
      <c r="E15" s="98">
        <f t="shared" si="0"/>
        <v>0</v>
      </c>
      <c r="F15" s="98">
        <f t="shared" si="1"/>
        <v>0</v>
      </c>
      <c r="G15" s="98">
        <f t="shared" si="1"/>
        <v>0</v>
      </c>
      <c r="H15" s="98">
        <f t="shared" si="1"/>
        <v>0</v>
      </c>
      <c r="I15" s="98">
        <f t="shared" si="1"/>
        <v>0</v>
      </c>
      <c r="J15" s="98">
        <f t="shared" si="1"/>
        <v>0</v>
      </c>
      <c r="K15" s="98">
        <f t="shared" si="1"/>
        <v>9</v>
      </c>
      <c r="L15" s="98">
        <f t="shared" si="1"/>
        <v>7</v>
      </c>
      <c r="M15" s="98">
        <f t="shared" si="1"/>
        <v>15</v>
      </c>
      <c r="N15" s="98">
        <f t="shared" si="1"/>
        <v>0</v>
      </c>
      <c r="O15" s="98">
        <f t="shared" si="1"/>
        <v>0</v>
      </c>
      <c r="P15" s="98">
        <f t="shared" si="1"/>
        <v>0</v>
      </c>
      <c r="Q15" s="98">
        <f t="shared" si="1"/>
        <v>0</v>
      </c>
      <c r="R15" s="98">
        <f t="shared" si="1"/>
        <v>0</v>
      </c>
      <c r="S15" s="98">
        <f t="shared" si="1"/>
        <v>0</v>
      </c>
      <c r="T15" s="98">
        <f t="shared" si="1"/>
        <v>16</v>
      </c>
      <c r="U15" s="98">
        <f t="shared" si="1"/>
        <v>0</v>
      </c>
      <c r="V15" s="98">
        <f t="shared" si="1"/>
        <v>0</v>
      </c>
      <c r="W15" s="98">
        <f t="shared" si="1"/>
        <v>0</v>
      </c>
      <c r="X15" s="98">
        <f t="shared" si="1"/>
        <v>0</v>
      </c>
      <c r="Y15" s="98">
        <f t="shared" si="1"/>
        <v>0</v>
      </c>
      <c r="Z15" s="98">
        <f t="shared" si="2"/>
        <v>0</v>
      </c>
      <c r="AA15" s="153">
        <f t="shared" si="3"/>
        <v>47</v>
      </c>
      <c r="AB15" s="94" t="str">
        <f t="shared" si="4"/>
        <v>caruso</v>
      </c>
    </row>
    <row r="16" spans="2:28">
      <c r="B16" s="294" t="s">
        <v>318</v>
      </c>
      <c r="C16" s="292" t="s">
        <v>295</v>
      </c>
      <c r="D16" s="223"/>
      <c r="E16" s="98">
        <f t="shared" si="0"/>
        <v>29</v>
      </c>
      <c r="F16" s="98">
        <f t="shared" si="1"/>
        <v>12</v>
      </c>
      <c r="G16" s="98">
        <f t="shared" si="1"/>
        <v>6</v>
      </c>
      <c r="H16" s="98">
        <f t="shared" si="1"/>
        <v>6</v>
      </c>
      <c r="I16" s="98">
        <f t="shared" si="1"/>
        <v>0</v>
      </c>
      <c r="J16" s="98">
        <f t="shared" si="1"/>
        <v>0</v>
      </c>
      <c r="K16" s="98">
        <f t="shared" si="1"/>
        <v>0</v>
      </c>
      <c r="L16" s="98">
        <f t="shared" si="1"/>
        <v>0</v>
      </c>
      <c r="M16" s="98">
        <f t="shared" si="1"/>
        <v>0</v>
      </c>
      <c r="N16" s="98">
        <f t="shared" si="1"/>
        <v>0</v>
      </c>
      <c r="O16" s="98">
        <f t="shared" si="1"/>
        <v>0</v>
      </c>
      <c r="P16" s="98">
        <f t="shared" si="1"/>
        <v>0</v>
      </c>
      <c r="Q16" s="98">
        <f t="shared" si="1"/>
        <v>0</v>
      </c>
      <c r="R16" s="98">
        <f t="shared" si="1"/>
        <v>0</v>
      </c>
      <c r="S16" s="98">
        <f t="shared" si="1"/>
        <v>0</v>
      </c>
      <c r="T16" s="98">
        <f t="shared" si="1"/>
        <v>0</v>
      </c>
      <c r="U16" s="98">
        <f t="shared" si="1"/>
        <v>0</v>
      </c>
      <c r="V16" s="98">
        <f t="shared" si="1"/>
        <v>0</v>
      </c>
      <c r="W16" s="98">
        <f t="shared" si="1"/>
        <v>0</v>
      </c>
      <c r="X16" s="98">
        <f t="shared" si="1"/>
        <v>0</v>
      </c>
      <c r="Y16" s="98">
        <f t="shared" si="1"/>
        <v>0</v>
      </c>
      <c r="Z16" s="98">
        <f t="shared" si="2"/>
        <v>0</v>
      </c>
      <c r="AA16" s="153">
        <f t="shared" si="3"/>
        <v>53</v>
      </c>
      <c r="AB16" s="94" t="str">
        <f t="shared" si="4"/>
        <v>van der poel</v>
      </c>
    </row>
    <row r="17" spans="2:28">
      <c r="B17" s="294" t="s">
        <v>319</v>
      </c>
      <c r="C17" s="292" t="s">
        <v>296</v>
      </c>
      <c r="D17" s="223"/>
      <c r="E17" s="98">
        <f t="shared" si="0"/>
        <v>0</v>
      </c>
      <c r="F17" s="98">
        <f t="shared" si="1"/>
        <v>0</v>
      </c>
      <c r="G17" s="98">
        <f t="shared" si="1"/>
        <v>0</v>
      </c>
      <c r="H17" s="98">
        <f t="shared" si="1"/>
        <v>0</v>
      </c>
      <c r="I17" s="98">
        <f t="shared" si="1"/>
        <v>0</v>
      </c>
      <c r="J17" s="340">
        <f t="shared" si="1"/>
        <v>0</v>
      </c>
      <c r="K17" s="340">
        <f t="shared" si="1"/>
        <v>0</v>
      </c>
      <c r="L17" s="340">
        <f t="shared" si="1"/>
        <v>0</v>
      </c>
      <c r="M17" s="340">
        <f t="shared" si="1"/>
        <v>0</v>
      </c>
      <c r="N17" s="340">
        <f t="shared" si="1"/>
        <v>0</v>
      </c>
      <c r="O17" s="340">
        <f t="shared" si="1"/>
        <v>0</v>
      </c>
      <c r="P17" s="340">
        <f t="shared" ref="F17:Y19" si="5">INDEX(scorematrix,MATCH($C17,renners,0),MATCH(P$3,etappes,0))</f>
        <v>0</v>
      </c>
      <c r="Q17" s="340">
        <f t="shared" si="5"/>
        <v>0</v>
      </c>
      <c r="R17" s="340">
        <f t="shared" si="5"/>
        <v>0</v>
      </c>
      <c r="S17" s="340">
        <f t="shared" si="5"/>
        <v>0</v>
      </c>
      <c r="T17" s="340">
        <f t="shared" si="5"/>
        <v>0</v>
      </c>
      <c r="U17" s="340">
        <f t="shared" si="5"/>
        <v>0</v>
      </c>
      <c r="V17" s="340">
        <f t="shared" si="5"/>
        <v>0</v>
      </c>
      <c r="W17" s="340">
        <f t="shared" si="5"/>
        <v>0</v>
      </c>
      <c r="X17" s="340">
        <f t="shared" si="5"/>
        <v>0</v>
      </c>
      <c r="Y17" s="340">
        <f t="shared" si="5"/>
        <v>0</v>
      </c>
      <c r="Z17" s="340">
        <f t="shared" si="2"/>
        <v>0</v>
      </c>
      <c r="AA17" s="153">
        <f t="shared" si="3"/>
        <v>0</v>
      </c>
      <c r="AB17" s="94" t="str">
        <f t="shared" si="4"/>
        <v>haig</v>
      </c>
    </row>
    <row r="18" spans="2:28">
      <c r="B18" s="294" t="s">
        <v>320</v>
      </c>
      <c r="C18" s="292" t="s">
        <v>297</v>
      </c>
      <c r="D18" s="223" t="s">
        <v>10</v>
      </c>
      <c r="E18" s="98">
        <f t="shared" si="0"/>
        <v>0</v>
      </c>
      <c r="F18" s="98">
        <f t="shared" si="5"/>
        <v>13</v>
      </c>
      <c r="G18" s="98">
        <f t="shared" si="5"/>
        <v>17</v>
      </c>
      <c r="H18" s="98">
        <f t="shared" si="5"/>
        <v>0</v>
      </c>
      <c r="I18" s="98">
        <f t="shared" si="5"/>
        <v>0</v>
      </c>
      <c r="J18" s="98">
        <f t="shared" si="5"/>
        <v>0</v>
      </c>
      <c r="K18" s="340">
        <f t="shared" si="5"/>
        <v>0</v>
      </c>
      <c r="L18" s="340">
        <f t="shared" si="5"/>
        <v>0</v>
      </c>
      <c r="M18" s="340">
        <f t="shared" si="5"/>
        <v>0</v>
      </c>
      <c r="N18" s="340">
        <f t="shared" si="5"/>
        <v>0</v>
      </c>
      <c r="O18" s="340">
        <f t="shared" si="5"/>
        <v>0</v>
      </c>
      <c r="P18" s="340">
        <f t="shared" si="5"/>
        <v>0</v>
      </c>
      <c r="Q18" s="340">
        <f t="shared" si="5"/>
        <v>0</v>
      </c>
      <c r="R18" s="340">
        <f t="shared" si="5"/>
        <v>0</v>
      </c>
      <c r="S18" s="340">
        <f t="shared" si="5"/>
        <v>0</v>
      </c>
      <c r="T18" s="340">
        <f t="shared" si="5"/>
        <v>0</v>
      </c>
      <c r="U18" s="340">
        <f t="shared" si="5"/>
        <v>0</v>
      </c>
      <c r="V18" s="340">
        <f t="shared" si="5"/>
        <v>0</v>
      </c>
      <c r="W18" s="340">
        <f t="shared" si="5"/>
        <v>16</v>
      </c>
      <c r="X18" s="340">
        <f t="shared" si="5"/>
        <v>0</v>
      </c>
      <c r="Y18" s="340">
        <f t="shared" si="5"/>
        <v>18</v>
      </c>
      <c r="Z18" s="340">
        <f t="shared" si="2"/>
        <v>0</v>
      </c>
      <c r="AA18" s="153">
        <f t="shared" si="3"/>
        <v>64</v>
      </c>
      <c r="AB18" s="94" t="str">
        <f t="shared" si="4"/>
        <v>ewan</v>
      </c>
    </row>
    <row r="19" spans="2:28">
      <c r="B19" s="294" t="s">
        <v>321</v>
      </c>
      <c r="C19" s="292" t="s">
        <v>298</v>
      </c>
      <c r="D19" s="223" t="s">
        <v>10</v>
      </c>
      <c r="E19" s="98">
        <f t="shared" si="0"/>
        <v>0</v>
      </c>
      <c r="F19" s="98">
        <f t="shared" si="5"/>
        <v>18</v>
      </c>
      <c r="G19" s="98">
        <f t="shared" si="5"/>
        <v>38</v>
      </c>
      <c r="H19" s="98">
        <f t="shared" si="5"/>
        <v>0</v>
      </c>
      <c r="I19" s="98">
        <f t="shared" si="5"/>
        <v>0</v>
      </c>
      <c r="J19" s="98">
        <f t="shared" si="5"/>
        <v>0</v>
      </c>
      <c r="K19" s="98">
        <f t="shared" si="5"/>
        <v>0</v>
      </c>
      <c r="L19" s="98">
        <f t="shared" si="5"/>
        <v>0</v>
      </c>
      <c r="M19" s="98">
        <f t="shared" si="5"/>
        <v>0</v>
      </c>
      <c r="N19" s="98">
        <f t="shared" si="5"/>
        <v>0</v>
      </c>
      <c r="O19" s="98">
        <f t="shared" si="5"/>
        <v>0</v>
      </c>
      <c r="P19" s="98">
        <f t="shared" si="5"/>
        <v>0</v>
      </c>
      <c r="Q19" s="98">
        <f t="shared" si="5"/>
        <v>0</v>
      </c>
      <c r="R19" s="98">
        <f t="shared" si="5"/>
        <v>0</v>
      </c>
      <c r="S19" s="98">
        <f t="shared" si="5"/>
        <v>20</v>
      </c>
      <c r="T19" s="98">
        <f t="shared" si="5"/>
        <v>0</v>
      </c>
      <c r="U19" s="98">
        <f t="shared" si="5"/>
        <v>0</v>
      </c>
      <c r="V19" s="98">
        <f t="shared" si="5"/>
        <v>0</v>
      </c>
      <c r="W19" s="98">
        <f t="shared" si="5"/>
        <v>19</v>
      </c>
      <c r="X19" s="98">
        <f t="shared" si="5"/>
        <v>0</v>
      </c>
      <c r="Y19" s="98">
        <f t="shared" si="5"/>
        <v>30</v>
      </c>
      <c r="Z19" s="98">
        <f t="shared" si="2"/>
        <v>0</v>
      </c>
      <c r="AA19" s="153">
        <f t="shared" si="3"/>
        <v>125</v>
      </c>
      <c r="AB19" s="94" t="str">
        <f t="shared" si="4"/>
        <v>groenewegen</v>
      </c>
    </row>
    <row r="20" spans="2:28" s="140" customFormat="1" ht="14.4" thickBot="1">
      <c r="B20" s="294" t="s">
        <v>322</v>
      </c>
      <c r="C20" s="292" t="s">
        <v>299</v>
      </c>
      <c r="D20" s="223" t="s">
        <v>10</v>
      </c>
      <c r="E20" s="98">
        <f t="shared" ref="E20:Z20" si="6">INDEX(scorematrix,MATCH($C20,renners,0),MATCH(E$3,etappes,0))</f>
        <v>0</v>
      </c>
      <c r="F20" s="98">
        <f t="shared" si="6"/>
        <v>15</v>
      </c>
      <c r="G20" s="98">
        <f t="shared" si="6"/>
        <v>15</v>
      </c>
      <c r="H20" s="98">
        <f t="shared" si="6"/>
        <v>24</v>
      </c>
      <c r="I20" s="98">
        <f t="shared" si="6"/>
        <v>0</v>
      </c>
      <c r="J20" s="98">
        <f t="shared" si="6"/>
        <v>0</v>
      </c>
      <c r="K20" s="98">
        <f t="shared" si="6"/>
        <v>0</v>
      </c>
      <c r="L20" s="98">
        <f t="shared" si="6"/>
        <v>0</v>
      </c>
      <c r="M20" s="98">
        <f t="shared" si="6"/>
        <v>0</v>
      </c>
      <c r="N20" s="98">
        <f t="shared" si="6"/>
        <v>0</v>
      </c>
      <c r="O20" s="98">
        <f t="shared" si="6"/>
        <v>0</v>
      </c>
      <c r="P20" s="98">
        <f t="shared" si="6"/>
        <v>0</v>
      </c>
      <c r="Q20" s="98">
        <f t="shared" si="6"/>
        <v>12</v>
      </c>
      <c r="R20" s="98">
        <f t="shared" si="6"/>
        <v>0</v>
      </c>
      <c r="S20" s="98">
        <f t="shared" si="6"/>
        <v>13</v>
      </c>
      <c r="T20" s="98">
        <f t="shared" si="6"/>
        <v>0</v>
      </c>
      <c r="U20" s="98">
        <f t="shared" si="6"/>
        <v>0</v>
      </c>
      <c r="V20" s="98">
        <f t="shared" si="6"/>
        <v>0</v>
      </c>
      <c r="W20" s="98">
        <f t="shared" si="6"/>
        <v>11</v>
      </c>
      <c r="X20" s="98">
        <f t="shared" si="6"/>
        <v>0</v>
      </c>
      <c r="Y20" s="98">
        <f t="shared" si="6"/>
        <v>26</v>
      </c>
      <c r="Z20" s="98">
        <f t="shared" si="6"/>
        <v>0</v>
      </c>
      <c r="AA20" s="153">
        <f t="shared" si="3"/>
        <v>116</v>
      </c>
      <c r="AB20" s="94" t="str">
        <f t="shared" si="4"/>
        <v>kristoff</v>
      </c>
    </row>
    <row r="21" spans="2:28" s="141" customFormat="1">
      <c r="B21" s="291"/>
      <c r="C21" s="288"/>
      <c r="D21" s="148"/>
      <c r="E21" s="150"/>
      <c r="F21" s="150"/>
      <c r="G21" s="150"/>
      <c r="H21" s="150"/>
      <c r="I21" s="150"/>
      <c r="J21" s="150">
        <f>-J17+J24</f>
        <v>22</v>
      </c>
      <c r="K21" s="150">
        <f>-K17-K18+K24+K25</f>
        <v>37</v>
      </c>
      <c r="L21" s="150">
        <f t="shared" ref="L21:Z21" si="7">-L17-L18+L24+L25</f>
        <v>31</v>
      </c>
      <c r="M21" s="150">
        <f t="shared" si="7"/>
        <v>36</v>
      </c>
      <c r="N21" s="150">
        <f t="shared" si="7"/>
        <v>5</v>
      </c>
      <c r="O21" s="150">
        <f t="shared" si="7"/>
        <v>62</v>
      </c>
      <c r="P21" s="150">
        <f t="shared" si="7"/>
        <v>34</v>
      </c>
      <c r="Q21" s="150">
        <f t="shared" si="7"/>
        <v>9</v>
      </c>
      <c r="R21" s="150">
        <f t="shared" si="7"/>
        <v>8</v>
      </c>
      <c r="S21" s="150">
        <f t="shared" si="7"/>
        <v>8</v>
      </c>
      <c r="T21" s="150">
        <f t="shared" si="7"/>
        <v>28</v>
      </c>
      <c r="U21" s="150">
        <f t="shared" si="7"/>
        <v>48</v>
      </c>
      <c r="V21" s="150">
        <f t="shared" si="7"/>
        <v>48</v>
      </c>
      <c r="W21" s="150">
        <f t="shared" si="7"/>
        <v>7</v>
      </c>
      <c r="X21" s="150">
        <f t="shared" si="7"/>
        <v>12</v>
      </c>
      <c r="Y21" s="150">
        <f t="shared" si="7"/>
        <v>5</v>
      </c>
      <c r="Z21" s="150">
        <f t="shared" si="7"/>
        <v>88</v>
      </c>
      <c r="AA21" s="193">
        <f t="shared" si="3"/>
        <v>488</v>
      </c>
    </row>
    <row r="22" spans="2:28" s="97" customFormat="1">
      <c r="B22" s="287"/>
      <c r="C22" s="289"/>
      <c r="D22" s="296"/>
      <c r="E22" s="309">
        <f t="shared" ref="E22:AA22" si="8">SUM(E4:E21)</f>
        <v>112</v>
      </c>
      <c r="F22" s="309">
        <f t="shared" si="8"/>
        <v>168</v>
      </c>
      <c r="G22" s="309">
        <f t="shared" si="8"/>
        <v>186</v>
      </c>
      <c r="H22" s="309">
        <f t="shared" si="8"/>
        <v>160</v>
      </c>
      <c r="I22" s="309">
        <f t="shared" si="8"/>
        <v>94</v>
      </c>
      <c r="J22" s="309">
        <f t="shared" si="8"/>
        <v>155</v>
      </c>
      <c r="K22" s="309">
        <f t="shared" si="8"/>
        <v>158</v>
      </c>
      <c r="L22" s="309">
        <f t="shared" si="8"/>
        <v>201</v>
      </c>
      <c r="M22" s="309">
        <f t="shared" si="8"/>
        <v>118</v>
      </c>
      <c r="N22" s="309">
        <f t="shared" si="8"/>
        <v>29</v>
      </c>
      <c r="O22" s="309">
        <f t="shared" si="8"/>
        <v>167</v>
      </c>
      <c r="P22" s="309">
        <f t="shared" si="8"/>
        <v>112</v>
      </c>
      <c r="Q22" s="309">
        <f t="shared" si="8"/>
        <v>77</v>
      </c>
      <c r="R22" s="309">
        <f t="shared" si="8"/>
        <v>80</v>
      </c>
      <c r="S22" s="309">
        <f t="shared" si="8"/>
        <v>140</v>
      </c>
      <c r="T22" s="309">
        <f t="shared" si="8"/>
        <v>133</v>
      </c>
      <c r="U22" s="309">
        <f t="shared" si="8"/>
        <v>150</v>
      </c>
      <c r="V22" s="309">
        <f t="shared" si="8"/>
        <v>206</v>
      </c>
      <c r="W22" s="309">
        <f t="shared" si="8"/>
        <v>159</v>
      </c>
      <c r="X22" s="309">
        <f t="shared" si="8"/>
        <v>129</v>
      </c>
      <c r="Y22" s="309">
        <f t="shared" si="8"/>
        <v>167</v>
      </c>
      <c r="Z22" s="309">
        <f t="shared" si="8"/>
        <v>283</v>
      </c>
      <c r="AA22" s="190">
        <f t="shared" si="8"/>
        <v>3184</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c r="C24" s="293" t="s">
        <v>300</v>
      </c>
      <c r="D24" s="226"/>
      <c r="E24" s="160">
        <f>VLOOKUP($C24,Score!$B$2:$X$78,2,0)</f>
        <v>0</v>
      </c>
      <c r="F24" s="160">
        <f>VLOOKUP($C24,Score!$B$2:$X$78,3,0)</f>
        <v>0</v>
      </c>
      <c r="G24" s="160">
        <f>VLOOKUP($C24,Score!$B$2:$X$78,4,0)</f>
        <v>0</v>
      </c>
      <c r="H24" s="160">
        <f>VLOOKUP($C24,Score!$B$2:$X$78,5,0)</f>
        <v>0</v>
      </c>
      <c r="I24" s="160">
        <f>VLOOKUP($C24,Score!$B$2:$X$78,6,0)</f>
        <v>12</v>
      </c>
      <c r="J24" s="338">
        <f>VLOOKUP($C24,Score!$B$2:$X$78,7,0)</f>
        <v>22</v>
      </c>
      <c r="K24" s="338">
        <f>VLOOKUP($C24,Score!$B$2:$X$78,8,0)</f>
        <v>11</v>
      </c>
      <c r="L24" s="338">
        <f>VLOOKUP($C24,Score!$B$2:$X$78,9,0)</f>
        <v>11</v>
      </c>
      <c r="M24" s="338">
        <f>VLOOKUP($C24,Score!$B$2:$X$78,10,0)</f>
        <v>17</v>
      </c>
      <c r="N24" s="338">
        <f>VLOOKUP($C24,Score!$B$2:$X$78,11,0)</f>
        <v>0</v>
      </c>
      <c r="O24" s="338">
        <f>VLOOKUP($C24,Score!$B$2:$X$78,12,0)</f>
        <v>36</v>
      </c>
      <c r="P24" s="338">
        <f>VLOOKUP($C24,Score!$B$2:$X$78,13,0)</f>
        <v>17</v>
      </c>
      <c r="Q24" s="338">
        <f>VLOOKUP($C24,Score!$B$2:$X$78,14,0)</f>
        <v>5</v>
      </c>
      <c r="R24" s="338">
        <f>VLOOKUP($C24,Score!$B$2:$X$78,15,0)</f>
        <v>5</v>
      </c>
      <c r="S24" s="338">
        <f>VLOOKUP($C24,Score!$B$2:$X$78,16,0)</f>
        <v>5</v>
      </c>
      <c r="T24" s="338">
        <f>VLOOKUP($C24,Score!$B$2:$X$78,17,0)</f>
        <v>14</v>
      </c>
      <c r="U24" s="338">
        <f>VLOOKUP($C24,Score!$B$2:$X$78,18,0)</f>
        <v>23</v>
      </c>
      <c r="V24" s="338">
        <f>VLOOKUP($C24,Score!$B$2:$X$78,19,0)</f>
        <v>19</v>
      </c>
      <c r="W24" s="338">
        <f>VLOOKUP($C24,Score!$B$2:$X$78,20,0)</f>
        <v>6</v>
      </c>
      <c r="X24" s="338">
        <f>VLOOKUP($C24,Score!$B$2:$Z$77,21,0)</f>
        <v>5</v>
      </c>
      <c r="Y24" s="338">
        <f>VLOOKUP($C24,Score!$B$2:$Z$77,22,0)</f>
        <v>16</v>
      </c>
      <c r="Z24" s="338">
        <f>VLOOKUP($C24,Score!$B$2:$Z$77,24,0)</f>
        <v>40</v>
      </c>
      <c r="AA24" s="245">
        <f t="shared" ref="AA24:AA26" si="9">SUM(E24:Z24)</f>
        <v>264</v>
      </c>
    </row>
    <row r="25" spans="2:28" s="145" customFormat="1">
      <c r="B25" s="295"/>
      <c r="C25" s="293" t="s">
        <v>301</v>
      </c>
      <c r="D25" s="226"/>
      <c r="E25" s="160">
        <f>VLOOKUP($C25,Score!$B$2:$X$78,2,0)</f>
        <v>0</v>
      </c>
      <c r="F25" s="160">
        <f>VLOOKUP($C25,Score!$B$2:$X$78,3,0)</f>
        <v>0</v>
      </c>
      <c r="G25" s="160">
        <f>VLOOKUP($C25,Score!$B$2:$X$78,4,0)</f>
        <v>0</v>
      </c>
      <c r="H25" s="160">
        <f>VLOOKUP($C25,Score!$B$2:$X$78,5,0)</f>
        <v>0</v>
      </c>
      <c r="I25" s="160">
        <f>VLOOKUP($C25,Score!$B$2:$X$78,6,0)</f>
        <v>0</v>
      </c>
      <c r="J25" s="160">
        <f>VLOOKUP($C25,Score!$B$2:$X$78,7,0)</f>
        <v>28</v>
      </c>
      <c r="K25" s="338">
        <f>VLOOKUP($C25,Score!$B$2:$X$78,8,0)</f>
        <v>26</v>
      </c>
      <c r="L25" s="338">
        <f>VLOOKUP($C25,Score!$B$2:$X$78,9,0)</f>
        <v>20</v>
      </c>
      <c r="M25" s="338">
        <f>VLOOKUP($C25,Score!$B$2:$X$78,10,0)</f>
        <v>19</v>
      </c>
      <c r="N25" s="338">
        <f>VLOOKUP($C25,Score!$B$2:$X$78,11,0)</f>
        <v>5</v>
      </c>
      <c r="O25" s="338">
        <f>VLOOKUP($C25,Score!$B$2:$X$78,12,0)</f>
        <v>26</v>
      </c>
      <c r="P25" s="338">
        <f>VLOOKUP($C25,Score!$B$2:$X$78,13,0)</f>
        <v>17</v>
      </c>
      <c r="Q25" s="338">
        <f>VLOOKUP($C25,Score!$B$2:$X$78,14,0)</f>
        <v>4</v>
      </c>
      <c r="R25" s="338">
        <f>VLOOKUP($C25,Score!$B$2:$X$78,15,0)</f>
        <v>3</v>
      </c>
      <c r="S25" s="338">
        <f>VLOOKUP($C25,Score!$B$2:$X$78,16,0)</f>
        <v>3</v>
      </c>
      <c r="T25" s="338">
        <f>VLOOKUP($C25,Score!$B$2:$X$78,17,0)</f>
        <v>14</v>
      </c>
      <c r="U25" s="338">
        <f>VLOOKUP($C25,Score!$B$2:$X$78,18,0)</f>
        <v>25</v>
      </c>
      <c r="V25" s="338">
        <f>VLOOKUP($C25,Score!$B$2:$X$78,19,0)</f>
        <v>29</v>
      </c>
      <c r="W25" s="338">
        <f>VLOOKUP($C25,Score!$B$2:$X$78,20,0)</f>
        <v>17</v>
      </c>
      <c r="X25" s="338">
        <f>VLOOKUP($C25,Score!$B$2:$Z$77,21,0)</f>
        <v>7</v>
      </c>
      <c r="Y25" s="338">
        <f>VLOOKUP($C25,Score!$B$2:$Z$77,22,0)</f>
        <v>7</v>
      </c>
      <c r="Z25" s="338">
        <f>VLOOKUP($C25,Score!$B$2:$Z$77,24,0)</f>
        <v>48</v>
      </c>
      <c r="AA25" s="245">
        <f t="shared" si="9"/>
        <v>298</v>
      </c>
    </row>
    <row r="26" spans="2:28" s="145" customFormat="1">
      <c r="B26" s="295"/>
      <c r="C26" s="293" t="s">
        <v>302</v>
      </c>
      <c r="D26" s="226"/>
      <c r="E26" s="160">
        <f>VLOOKUP($C26,Score!$B$2:$X$78,2,0)</f>
        <v>0</v>
      </c>
      <c r="F26" s="160">
        <f>VLOOKUP($C26,Score!$B$2:$X$78,3,0)</f>
        <v>16</v>
      </c>
      <c r="G26" s="160">
        <f>VLOOKUP($C26,Score!$B$2:$X$78,4,0)</f>
        <v>18</v>
      </c>
      <c r="H26" s="160">
        <f>VLOOKUP($C26,Score!$B$2:$X$78,5,0)</f>
        <v>18</v>
      </c>
      <c r="I26" s="160">
        <f>VLOOKUP($C26,Score!$B$2:$X$78,6,0)</f>
        <v>6</v>
      </c>
      <c r="J26" s="160">
        <f>VLOOKUP($C26,Score!$B$2:$X$78,7,0)</f>
        <v>0</v>
      </c>
      <c r="K26" s="160">
        <f>VLOOKUP($C26,Score!$B$2:$X$78,8,0)</f>
        <v>0</v>
      </c>
      <c r="L26" s="160">
        <f>VLOOKUP($C26,Score!$B$2:$X$78,9,0)</f>
        <v>0</v>
      </c>
      <c r="M26" s="160">
        <f>VLOOKUP($C26,Score!$B$2:$X$78,10,0)</f>
        <v>0</v>
      </c>
      <c r="N26" s="160">
        <f>VLOOKUP($C26,Score!$B$2:$X$78,11,0)</f>
        <v>0</v>
      </c>
      <c r="O26" s="160">
        <f>VLOOKUP($C26,Score!$B$2:$X$78,12,0)</f>
        <v>0</v>
      </c>
      <c r="P26" s="160">
        <f>VLOOKUP($C26,Score!$B$2:$X$78,13,0)</f>
        <v>0</v>
      </c>
      <c r="Q26" s="160">
        <f>VLOOKUP($C26,Score!$B$2:$X$78,14,0)</f>
        <v>0</v>
      </c>
      <c r="R26" s="160">
        <f>VLOOKUP($C26,Score!$B$2:$X$78,15,0)</f>
        <v>0</v>
      </c>
      <c r="S26" s="160">
        <f>VLOOKUP($C26,Score!$B$2:$X$78,16,0)</f>
        <v>11</v>
      </c>
      <c r="T26" s="160">
        <f>VLOOKUP($C26,Score!$B$2:$X$78,17,0)</f>
        <v>0</v>
      </c>
      <c r="U26" s="160">
        <f>VLOOKUP($C26,Score!$B$2:$X$78,18,0)</f>
        <v>0</v>
      </c>
      <c r="V26" s="160">
        <f>VLOOKUP($C26,Score!$B$2:$X$78,19,0)</f>
        <v>0</v>
      </c>
      <c r="W26" s="160">
        <f>VLOOKUP($C26,Score!$B$2:$X$78,20,0)</f>
        <v>18</v>
      </c>
      <c r="X26" s="160">
        <f>VLOOKUP($C26,Score!$B$2:$Z$77,21,0)</f>
        <v>0</v>
      </c>
      <c r="Y26" s="160">
        <f>VLOOKUP($C26,Score!$B$2:$Z$77,22,0)</f>
        <v>17</v>
      </c>
      <c r="Z26" s="160">
        <f>VLOOKUP($C26,Score!$B$2:$Z$77,24,0)</f>
        <v>0</v>
      </c>
      <c r="AA26" s="245">
        <f t="shared" si="9"/>
        <v>104</v>
      </c>
    </row>
    <row r="28" spans="2:28">
      <c r="C28" s="246" t="s">
        <v>160</v>
      </c>
      <c r="D28" s="247">
        <f>COUNTIF($D$4:$D$21,C28)</f>
        <v>0</v>
      </c>
    </row>
    <row r="29" spans="2:28">
      <c r="C29" s="248" t="s">
        <v>10</v>
      </c>
      <c r="D29" s="247">
        <f>COUNTIF($D$4:$D$21,C29)</f>
        <v>6</v>
      </c>
    </row>
    <row r="30" spans="2:28">
      <c r="C30" s="248" t="s">
        <v>106</v>
      </c>
      <c r="D30" s="247">
        <f>COUNTIF($D$4:$D$21,C30)</f>
        <v>0</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F00-000000000000}">
      <formula1>type_renner</formula1>
    </dataValidation>
  </dataValidation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8">
    <tabColor indexed="12"/>
  </sheetPr>
  <dimension ref="B1:AB30"/>
  <sheetViews>
    <sheetView showZeros="0" workbookViewId="0">
      <selection activeCell="T25" sqref="T25"/>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79</v>
      </c>
      <c r="D1" s="220"/>
    </row>
    <row r="2" spans="2:28">
      <c r="B2" s="146"/>
      <c r="C2" s="250"/>
      <c r="D2" s="147"/>
      <c r="H2" s="112"/>
    </row>
    <row r="3" spans="2:28" s="110" customFormat="1" ht="14.4" thickBot="1">
      <c r="B3" s="251"/>
      <c r="C3" s="252" t="s">
        <v>230</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203</v>
      </c>
      <c r="C4" s="292" t="s">
        <v>202</v>
      </c>
      <c r="D4" s="223" t="s">
        <v>10</v>
      </c>
      <c r="E4" s="98">
        <f t="shared" ref="E4:R19" si="0">INDEX(scorematrix,MATCH($C4,renners,0),MATCH(E$3,etappes,0))</f>
        <v>25</v>
      </c>
      <c r="F4" s="98">
        <f t="shared" si="0"/>
        <v>35</v>
      </c>
      <c r="G4" s="98">
        <f t="shared" si="0"/>
        <v>21</v>
      </c>
      <c r="H4" s="98">
        <f t="shared" si="0"/>
        <v>21</v>
      </c>
      <c r="I4" s="98">
        <f t="shared" si="0"/>
        <v>5</v>
      </c>
      <c r="J4" s="98">
        <f t="shared" si="0"/>
        <v>0</v>
      </c>
      <c r="K4" s="98">
        <f t="shared" si="0"/>
        <v>0</v>
      </c>
      <c r="L4" s="98">
        <f t="shared" si="0"/>
        <v>0</v>
      </c>
      <c r="M4" s="98">
        <f t="shared" si="0"/>
        <v>0</v>
      </c>
      <c r="N4" s="98">
        <f t="shared" si="0"/>
        <v>0</v>
      </c>
      <c r="O4" s="98">
        <f t="shared" si="0"/>
        <v>0</v>
      </c>
      <c r="P4" s="98">
        <f t="shared" si="0"/>
        <v>0</v>
      </c>
      <c r="Q4" s="98">
        <f t="shared" si="0"/>
        <v>37</v>
      </c>
      <c r="R4" s="98">
        <f t="shared" si="0"/>
        <v>2</v>
      </c>
      <c r="S4" s="98">
        <f t="shared" ref="F4:Y17" si="1">INDEX(scorematrix,MATCH($C4,renners,0),MATCH(S$3,etappes,0))</f>
        <v>28</v>
      </c>
      <c r="T4" s="98">
        <f t="shared" si="1"/>
        <v>2</v>
      </c>
      <c r="U4" s="98">
        <f t="shared" si="1"/>
        <v>2</v>
      </c>
      <c r="V4" s="98">
        <f t="shared" si="1"/>
        <v>2</v>
      </c>
      <c r="W4" s="98">
        <f t="shared" si="1"/>
        <v>1</v>
      </c>
      <c r="X4" s="98">
        <f t="shared" si="1"/>
        <v>1</v>
      </c>
      <c r="Y4" s="98">
        <f t="shared" si="1"/>
        <v>0</v>
      </c>
      <c r="Z4" s="98">
        <f t="shared" ref="Z4:Z19" si="2">INDEX(scorematrix,MATCH($C4,renners,0),MATCH(Z$3,etappes,0))</f>
        <v>0</v>
      </c>
      <c r="AA4" s="153">
        <f t="shared" ref="AA4:AA21" si="3">SUM(E4:Z4)</f>
        <v>182</v>
      </c>
      <c r="AB4" s="94" t="str">
        <f t="shared" ref="AB4:AB20" si="4">C4</f>
        <v>Pedersen</v>
      </c>
    </row>
    <row r="5" spans="2:28">
      <c r="B5" s="294" t="s">
        <v>252</v>
      </c>
      <c r="C5" s="292" t="s">
        <v>130</v>
      </c>
      <c r="D5" s="223" t="s">
        <v>10</v>
      </c>
      <c r="E5" s="98">
        <f t="shared" si="0"/>
        <v>0</v>
      </c>
      <c r="F5" s="98">
        <f t="shared" si="1"/>
        <v>18</v>
      </c>
      <c r="G5" s="98">
        <f t="shared" si="1"/>
        <v>38</v>
      </c>
      <c r="H5" s="98">
        <f t="shared" si="1"/>
        <v>0</v>
      </c>
      <c r="I5" s="98">
        <f t="shared" si="1"/>
        <v>0</v>
      </c>
      <c r="J5" s="98">
        <f t="shared" si="1"/>
        <v>0</v>
      </c>
      <c r="K5" s="98">
        <f t="shared" si="1"/>
        <v>0</v>
      </c>
      <c r="L5" s="98">
        <f t="shared" si="1"/>
        <v>0</v>
      </c>
      <c r="M5" s="98">
        <f t="shared" si="1"/>
        <v>0</v>
      </c>
      <c r="N5" s="98">
        <f t="shared" si="1"/>
        <v>0</v>
      </c>
      <c r="O5" s="98">
        <f t="shared" si="1"/>
        <v>0</v>
      </c>
      <c r="P5" s="98">
        <f t="shared" si="1"/>
        <v>0</v>
      </c>
      <c r="Q5" s="98">
        <f t="shared" si="1"/>
        <v>0</v>
      </c>
      <c r="R5" s="98">
        <f t="shared" si="1"/>
        <v>0</v>
      </c>
      <c r="S5" s="98">
        <f t="shared" si="1"/>
        <v>20</v>
      </c>
      <c r="T5" s="98">
        <f t="shared" si="1"/>
        <v>0</v>
      </c>
      <c r="U5" s="98">
        <f t="shared" si="1"/>
        <v>0</v>
      </c>
      <c r="V5" s="98">
        <f t="shared" si="1"/>
        <v>0</v>
      </c>
      <c r="W5" s="98">
        <f t="shared" si="1"/>
        <v>19</v>
      </c>
      <c r="X5" s="98">
        <f t="shared" si="1"/>
        <v>0</v>
      </c>
      <c r="Y5" s="98">
        <f t="shared" si="1"/>
        <v>30</v>
      </c>
      <c r="Z5" s="98">
        <f t="shared" si="2"/>
        <v>0</v>
      </c>
      <c r="AA5" s="153">
        <f t="shared" si="3"/>
        <v>125</v>
      </c>
      <c r="AB5" s="94" t="str">
        <f t="shared" si="4"/>
        <v>Groenewegen</v>
      </c>
    </row>
    <row r="6" spans="2:28">
      <c r="B6" s="294" t="s">
        <v>249</v>
      </c>
      <c r="C6" s="292" t="s">
        <v>239</v>
      </c>
      <c r="D6" s="223" t="s">
        <v>10</v>
      </c>
      <c r="E6" s="98">
        <f t="shared" si="0"/>
        <v>0</v>
      </c>
      <c r="F6" s="98">
        <f t="shared" si="1"/>
        <v>39</v>
      </c>
      <c r="G6" s="98">
        <f t="shared" si="1"/>
        <v>26</v>
      </c>
      <c r="H6" s="98">
        <f t="shared" si="1"/>
        <v>17</v>
      </c>
      <c r="I6" s="98">
        <f t="shared" si="1"/>
        <v>21</v>
      </c>
      <c r="J6" s="98">
        <f t="shared" si="1"/>
        <v>4</v>
      </c>
      <c r="K6" s="98">
        <f t="shared" si="1"/>
        <v>4</v>
      </c>
      <c r="L6" s="98">
        <f t="shared" si="1"/>
        <v>4</v>
      </c>
      <c r="M6" s="98">
        <f t="shared" si="1"/>
        <v>4</v>
      </c>
      <c r="N6" s="98">
        <f t="shared" si="1"/>
        <v>4</v>
      </c>
      <c r="O6" s="98">
        <f t="shared" si="1"/>
        <v>4</v>
      </c>
      <c r="P6" s="98">
        <f t="shared" si="1"/>
        <v>3</v>
      </c>
      <c r="Q6" s="98">
        <f t="shared" si="1"/>
        <v>3</v>
      </c>
      <c r="R6" s="98">
        <f t="shared" si="1"/>
        <v>3</v>
      </c>
      <c r="S6" s="98">
        <f t="shared" si="1"/>
        <v>1</v>
      </c>
      <c r="T6" s="98">
        <f t="shared" si="1"/>
        <v>1</v>
      </c>
      <c r="U6" s="98">
        <f t="shared" si="1"/>
        <v>1</v>
      </c>
      <c r="V6" s="98">
        <f t="shared" si="1"/>
        <v>1</v>
      </c>
      <c r="W6" s="98">
        <f t="shared" si="1"/>
        <v>0</v>
      </c>
      <c r="X6" s="98">
        <f t="shared" si="1"/>
        <v>0</v>
      </c>
      <c r="Y6" s="98">
        <f t="shared" si="1"/>
        <v>14</v>
      </c>
      <c r="Z6" s="98">
        <f t="shared" si="2"/>
        <v>1</v>
      </c>
      <c r="AA6" s="153">
        <f t="shared" si="3"/>
        <v>155</v>
      </c>
      <c r="AB6" s="94" t="str">
        <f t="shared" si="4"/>
        <v>Jakobsen</v>
      </c>
    </row>
    <row r="7" spans="2:28">
      <c r="B7" s="294" t="s">
        <v>254</v>
      </c>
      <c r="C7" s="292" t="s">
        <v>70</v>
      </c>
      <c r="D7" s="223" t="s">
        <v>10</v>
      </c>
      <c r="E7" s="98">
        <f t="shared" si="0"/>
        <v>0</v>
      </c>
      <c r="F7" s="98">
        <f t="shared" si="1"/>
        <v>22</v>
      </c>
      <c r="G7" s="98">
        <f t="shared" si="1"/>
        <v>26</v>
      </c>
      <c r="H7" s="98">
        <f t="shared" si="1"/>
        <v>25</v>
      </c>
      <c r="I7" s="98">
        <f t="shared" si="1"/>
        <v>2</v>
      </c>
      <c r="J7" s="98">
        <f t="shared" si="1"/>
        <v>1</v>
      </c>
      <c r="K7" s="98">
        <f t="shared" si="1"/>
        <v>0</v>
      </c>
      <c r="L7" s="98">
        <f t="shared" si="1"/>
        <v>0</v>
      </c>
      <c r="M7" s="98">
        <f t="shared" si="1"/>
        <v>0</v>
      </c>
      <c r="N7" s="98">
        <f t="shared" si="1"/>
        <v>0</v>
      </c>
      <c r="O7" s="98">
        <f t="shared" si="1"/>
        <v>0</v>
      </c>
      <c r="P7" s="98">
        <f t="shared" si="1"/>
        <v>0</v>
      </c>
      <c r="Q7" s="98">
        <f t="shared" si="1"/>
        <v>0</v>
      </c>
      <c r="R7" s="98">
        <f t="shared" si="1"/>
        <v>0</v>
      </c>
      <c r="S7" s="98">
        <f t="shared" si="1"/>
        <v>24</v>
      </c>
      <c r="T7" s="98">
        <f t="shared" si="1"/>
        <v>0</v>
      </c>
      <c r="U7" s="98">
        <f t="shared" si="1"/>
        <v>0</v>
      </c>
      <c r="V7" s="98">
        <f t="shared" si="1"/>
        <v>0</v>
      </c>
      <c r="W7" s="98">
        <f t="shared" si="1"/>
        <v>0</v>
      </c>
      <c r="X7" s="98">
        <f t="shared" si="1"/>
        <v>0</v>
      </c>
      <c r="Y7" s="98">
        <f t="shared" si="1"/>
        <v>22</v>
      </c>
      <c r="Z7" s="98">
        <f t="shared" si="2"/>
        <v>0</v>
      </c>
      <c r="AA7" s="153">
        <f t="shared" si="3"/>
        <v>122</v>
      </c>
      <c r="AB7" s="94" t="str">
        <f t="shared" si="4"/>
        <v>Sagan</v>
      </c>
    </row>
    <row r="8" spans="2:28">
      <c r="B8" s="294" t="s">
        <v>150</v>
      </c>
      <c r="C8" s="292" t="s">
        <v>151</v>
      </c>
      <c r="D8" s="223" t="s">
        <v>10</v>
      </c>
      <c r="E8" s="98">
        <f t="shared" si="0"/>
        <v>0</v>
      </c>
      <c r="F8" s="98">
        <f t="shared" si="1"/>
        <v>13</v>
      </c>
      <c r="G8" s="98">
        <f t="shared" si="1"/>
        <v>17</v>
      </c>
      <c r="H8" s="98">
        <f t="shared" si="1"/>
        <v>0</v>
      </c>
      <c r="I8" s="98">
        <f t="shared" si="1"/>
        <v>0</v>
      </c>
      <c r="J8" s="98">
        <f t="shared" si="1"/>
        <v>0</v>
      </c>
      <c r="K8" s="98">
        <f t="shared" si="1"/>
        <v>0</v>
      </c>
      <c r="L8" s="340">
        <f t="shared" si="1"/>
        <v>0</v>
      </c>
      <c r="M8" s="340">
        <f t="shared" si="1"/>
        <v>0</v>
      </c>
      <c r="N8" s="340">
        <f t="shared" si="1"/>
        <v>0</v>
      </c>
      <c r="O8" s="340">
        <f t="shared" si="1"/>
        <v>0</v>
      </c>
      <c r="P8" s="340">
        <f t="shared" si="1"/>
        <v>0</v>
      </c>
      <c r="Q8" s="340">
        <f t="shared" si="1"/>
        <v>0</v>
      </c>
      <c r="R8" s="340">
        <f t="shared" si="1"/>
        <v>0</v>
      </c>
      <c r="S8" s="340">
        <f t="shared" si="1"/>
        <v>0</v>
      </c>
      <c r="T8" s="340">
        <f t="shared" si="1"/>
        <v>0</v>
      </c>
      <c r="U8" s="340">
        <f t="shared" si="1"/>
        <v>0</v>
      </c>
      <c r="V8" s="340">
        <f t="shared" si="1"/>
        <v>0</v>
      </c>
      <c r="W8" s="340">
        <f t="shared" si="1"/>
        <v>16</v>
      </c>
      <c r="X8" s="340">
        <f t="shared" si="1"/>
        <v>0</v>
      </c>
      <c r="Y8" s="340">
        <f t="shared" si="1"/>
        <v>18</v>
      </c>
      <c r="Z8" s="340">
        <f t="shared" si="2"/>
        <v>0</v>
      </c>
      <c r="AA8" s="153">
        <f t="shared" si="3"/>
        <v>64</v>
      </c>
      <c r="AB8" s="94" t="str">
        <f t="shared" si="4"/>
        <v>Ewan</v>
      </c>
    </row>
    <row r="9" spans="2:28">
      <c r="B9" s="294" t="s">
        <v>172</v>
      </c>
      <c r="C9" s="292" t="s">
        <v>233</v>
      </c>
      <c r="D9" s="223" t="s">
        <v>10</v>
      </c>
      <c r="E9" s="98">
        <f t="shared" si="0"/>
        <v>0</v>
      </c>
      <c r="F9" s="98">
        <f t="shared" si="1"/>
        <v>22</v>
      </c>
      <c r="G9" s="98">
        <f t="shared" si="1"/>
        <v>26</v>
      </c>
      <c r="H9" s="98">
        <f t="shared" si="1"/>
        <v>31</v>
      </c>
      <c r="I9" s="98">
        <f t="shared" si="1"/>
        <v>22</v>
      </c>
      <c r="J9" s="98">
        <f t="shared" si="1"/>
        <v>6</v>
      </c>
      <c r="K9" s="98">
        <f t="shared" si="1"/>
        <v>2</v>
      </c>
      <c r="L9" s="98">
        <f t="shared" si="1"/>
        <v>2</v>
      </c>
      <c r="M9" s="98">
        <f t="shared" si="1"/>
        <v>2</v>
      </c>
      <c r="N9" s="98">
        <f t="shared" si="1"/>
        <v>0</v>
      </c>
      <c r="O9" s="98">
        <f t="shared" si="1"/>
        <v>0</v>
      </c>
      <c r="P9" s="98">
        <f t="shared" si="1"/>
        <v>1</v>
      </c>
      <c r="Q9" s="98">
        <f t="shared" si="1"/>
        <v>0</v>
      </c>
      <c r="R9" s="98">
        <f t="shared" si="1"/>
        <v>0</v>
      </c>
      <c r="S9" s="98">
        <f t="shared" si="1"/>
        <v>35</v>
      </c>
      <c r="T9" s="98">
        <f t="shared" si="1"/>
        <v>3</v>
      </c>
      <c r="U9" s="98">
        <f t="shared" si="1"/>
        <v>3</v>
      </c>
      <c r="V9" s="98">
        <f t="shared" si="1"/>
        <v>3</v>
      </c>
      <c r="W9" s="98">
        <f t="shared" si="1"/>
        <v>34</v>
      </c>
      <c r="X9" s="98">
        <f t="shared" si="1"/>
        <v>3</v>
      </c>
      <c r="Y9" s="98">
        <f t="shared" si="1"/>
        <v>39</v>
      </c>
      <c r="Z9" s="98">
        <f t="shared" si="2"/>
        <v>7</v>
      </c>
      <c r="AA9" s="153">
        <f t="shared" si="3"/>
        <v>241</v>
      </c>
      <c r="AB9" s="94" t="str">
        <f t="shared" si="4"/>
        <v>Philipsen</v>
      </c>
    </row>
    <row r="10" spans="2:28">
      <c r="B10" s="294" t="s">
        <v>255</v>
      </c>
      <c r="C10" s="292" t="s">
        <v>216</v>
      </c>
      <c r="D10" s="223" t="s">
        <v>106</v>
      </c>
      <c r="E10" s="98">
        <f t="shared" si="0"/>
        <v>0</v>
      </c>
      <c r="F10" s="98">
        <f t="shared" si="1"/>
        <v>0</v>
      </c>
      <c r="G10" s="98">
        <f t="shared" si="1"/>
        <v>0</v>
      </c>
      <c r="H10" s="98">
        <f t="shared" si="1"/>
        <v>0</v>
      </c>
      <c r="I10" s="98">
        <f t="shared" si="1"/>
        <v>0</v>
      </c>
      <c r="J10" s="98">
        <f t="shared" si="1"/>
        <v>0</v>
      </c>
      <c r="K10" s="98">
        <f t="shared" si="1"/>
        <v>0</v>
      </c>
      <c r="L10" s="98">
        <f t="shared" si="1"/>
        <v>0</v>
      </c>
      <c r="M10" s="98">
        <f t="shared" si="1"/>
        <v>0</v>
      </c>
      <c r="N10" s="340">
        <f t="shared" si="1"/>
        <v>0</v>
      </c>
      <c r="O10" s="340">
        <f t="shared" si="1"/>
        <v>0</v>
      </c>
      <c r="P10" s="340">
        <f t="shared" si="1"/>
        <v>0</v>
      </c>
      <c r="Q10" s="340">
        <f t="shared" si="1"/>
        <v>0</v>
      </c>
      <c r="R10" s="340">
        <f t="shared" si="1"/>
        <v>0</v>
      </c>
      <c r="S10" s="340">
        <f t="shared" si="1"/>
        <v>0</v>
      </c>
      <c r="T10" s="340">
        <f t="shared" si="1"/>
        <v>0</v>
      </c>
      <c r="U10" s="340">
        <f t="shared" si="1"/>
        <v>0</v>
      </c>
      <c r="V10" s="340">
        <f t="shared" si="1"/>
        <v>0</v>
      </c>
      <c r="W10" s="340">
        <f t="shared" si="1"/>
        <v>0</v>
      </c>
      <c r="X10" s="340">
        <f t="shared" si="1"/>
        <v>0</v>
      </c>
      <c r="Y10" s="340">
        <f t="shared" si="1"/>
        <v>0</v>
      </c>
      <c r="Z10" s="340">
        <f t="shared" si="2"/>
        <v>0</v>
      </c>
      <c r="AA10" s="153">
        <f t="shared" si="3"/>
        <v>0</v>
      </c>
      <c r="AB10" s="94" t="str">
        <f t="shared" si="4"/>
        <v>Asgreen</v>
      </c>
    </row>
    <row r="11" spans="2:28">
      <c r="B11" s="294" t="s">
        <v>158</v>
      </c>
      <c r="C11" s="292" t="s">
        <v>256</v>
      </c>
      <c r="D11" s="223" t="s">
        <v>106</v>
      </c>
      <c r="E11" s="98">
        <f t="shared" si="0"/>
        <v>43</v>
      </c>
      <c r="F11" s="98">
        <f t="shared" si="1"/>
        <v>45</v>
      </c>
      <c r="G11" s="98">
        <f t="shared" si="1"/>
        <v>45</v>
      </c>
      <c r="H11" s="98">
        <f t="shared" si="1"/>
        <v>54</v>
      </c>
      <c r="I11" s="98">
        <f t="shared" si="1"/>
        <v>29</v>
      </c>
      <c r="J11" s="98">
        <f t="shared" si="1"/>
        <v>8</v>
      </c>
      <c r="K11" s="98">
        <f t="shared" si="1"/>
        <v>5</v>
      </c>
      <c r="L11" s="98">
        <f t="shared" si="1"/>
        <v>40</v>
      </c>
      <c r="M11" s="98">
        <f t="shared" si="1"/>
        <v>5</v>
      </c>
      <c r="N11" s="98">
        <f t="shared" si="1"/>
        <v>5</v>
      </c>
      <c r="O11" s="98">
        <f t="shared" si="1"/>
        <v>5</v>
      </c>
      <c r="P11" s="98">
        <f t="shared" si="1"/>
        <v>5</v>
      </c>
      <c r="Q11" s="98">
        <f t="shared" si="1"/>
        <v>24</v>
      </c>
      <c r="R11" s="98">
        <f t="shared" si="1"/>
        <v>5</v>
      </c>
      <c r="S11" s="98">
        <f t="shared" si="1"/>
        <v>35</v>
      </c>
      <c r="T11" s="98">
        <f t="shared" si="1"/>
        <v>18</v>
      </c>
      <c r="U11" s="98">
        <f t="shared" si="1"/>
        <v>5</v>
      </c>
      <c r="V11" s="98">
        <f t="shared" si="1"/>
        <v>32</v>
      </c>
      <c r="W11" s="98">
        <f t="shared" si="1"/>
        <v>6</v>
      </c>
      <c r="X11" s="98">
        <f t="shared" si="1"/>
        <v>41</v>
      </c>
      <c r="Y11" s="98">
        <f t="shared" si="1"/>
        <v>6</v>
      </c>
      <c r="Z11" s="98">
        <f t="shared" si="2"/>
        <v>11</v>
      </c>
      <c r="AA11" s="153">
        <f t="shared" si="3"/>
        <v>472</v>
      </c>
      <c r="AB11" s="94" t="str">
        <f t="shared" si="4"/>
        <v>Van Aert</v>
      </c>
    </row>
    <row r="12" spans="2:28">
      <c r="B12" s="294" t="s">
        <v>257</v>
      </c>
      <c r="C12" s="292" t="s">
        <v>258</v>
      </c>
      <c r="D12" s="223" t="s">
        <v>106</v>
      </c>
      <c r="E12" s="98">
        <f t="shared" si="0"/>
        <v>29</v>
      </c>
      <c r="F12" s="98">
        <f t="shared" si="1"/>
        <v>12</v>
      </c>
      <c r="G12" s="98">
        <f t="shared" si="1"/>
        <v>6</v>
      </c>
      <c r="H12" s="98">
        <f t="shared" si="1"/>
        <v>6</v>
      </c>
      <c r="I12" s="98">
        <f t="shared" si="1"/>
        <v>0</v>
      </c>
      <c r="J12" s="98">
        <f t="shared" si="1"/>
        <v>0</v>
      </c>
      <c r="K12" s="340">
        <f t="shared" si="1"/>
        <v>0</v>
      </c>
      <c r="L12" s="340">
        <f t="shared" si="1"/>
        <v>0</v>
      </c>
      <c r="M12" s="340">
        <f t="shared" si="1"/>
        <v>0</v>
      </c>
      <c r="N12" s="340">
        <f t="shared" si="1"/>
        <v>0</v>
      </c>
      <c r="O12" s="340">
        <f t="shared" si="1"/>
        <v>0</v>
      </c>
      <c r="P12" s="340">
        <f t="shared" si="1"/>
        <v>0</v>
      </c>
      <c r="Q12" s="340">
        <f t="shared" si="1"/>
        <v>0</v>
      </c>
      <c r="R12" s="340">
        <f t="shared" si="1"/>
        <v>0</v>
      </c>
      <c r="S12" s="340">
        <f t="shared" si="1"/>
        <v>0</v>
      </c>
      <c r="T12" s="340">
        <f t="shared" si="1"/>
        <v>0</v>
      </c>
      <c r="U12" s="340">
        <f t="shared" si="1"/>
        <v>0</v>
      </c>
      <c r="V12" s="340">
        <f t="shared" si="1"/>
        <v>0</v>
      </c>
      <c r="W12" s="340">
        <f t="shared" si="1"/>
        <v>0</v>
      </c>
      <c r="X12" s="340">
        <f t="shared" si="1"/>
        <v>0</v>
      </c>
      <c r="Y12" s="340">
        <f t="shared" si="1"/>
        <v>0</v>
      </c>
      <c r="Z12" s="340">
        <f t="shared" si="2"/>
        <v>0</v>
      </c>
      <c r="AA12" s="153">
        <f t="shared" si="3"/>
        <v>53</v>
      </c>
      <c r="AB12" s="94" t="str">
        <f t="shared" si="4"/>
        <v>Van der Poel</v>
      </c>
    </row>
    <row r="13" spans="2:28">
      <c r="B13" s="294" t="s">
        <v>259</v>
      </c>
      <c r="C13" s="292" t="s">
        <v>260</v>
      </c>
      <c r="D13" s="223" t="s">
        <v>106</v>
      </c>
      <c r="E13" s="98">
        <f t="shared" si="0"/>
        <v>33</v>
      </c>
      <c r="F13" s="98">
        <f t="shared" si="1"/>
        <v>7</v>
      </c>
      <c r="G13" s="98">
        <f t="shared" si="1"/>
        <v>0</v>
      </c>
      <c r="H13" s="98">
        <f t="shared" si="1"/>
        <v>0</v>
      </c>
      <c r="I13" s="98">
        <f t="shared" si="1"/>
        <v>0</v>
      </c>
      <c r="J13" s="98">
        <f t="shared" si="1"/>
        <v>0</v>
      </c>
      <c r="K13" s="98">
        <f t="shared" si="1"/>
        <v>0</v>
      </c>
      <c r="L13" s="98">
        <f t="shared" si="1"/>
        <v>0</v>
      </c>
      <c r="M13" s="98">
        <f t="shared" si="1"/>
        <v>0</v>
      </c>
      <c r="N13" s="98">
        <f t="shared" si="1"/>
        <v>0</v>
      </c>
      <c r="O13" s="98">
        <f t="shared" si="1"/>
        <v>0</v>
      </c>
      <c r="P13" s="98">
        <f t="shared" si="1"/>
        <v>0</v>
      </c>
      <c r="Q13" s="98">
        <f t="shared" si="1"/>
        <v>20</v>
      </c>
      <c r="R13" s="98">
        <f t="shared" si="1"/>
        <v>0</v>
      </c>
      <c r="S13" s="98">
        <f t="shared" si="1"/>
        <v>0</v>
      </c>
      <c r="T13" s="98">
        <f t="shared" si="1"/>
        <v>0</v>
      </c>
      <c r="U13" s="98">
        <f t="shared" si="1"/>
        <v>0</v>
      </c>
      <c r="V13" s="98">
        <f t="shared" si="1"/>
        <v>0</v>
      </c>
      <c r="W13" s="98">
        <f t="shared" si="1"/>
        <v>0</v>
      </c>
      <c r="X13" s="98">
        <f t="shared" si="1"/>
        <v>22</v>
      </c>
      <c r="Y13" s="98">
        <f t="shared" si="1"/>
        <v>0</v>
      </c>
      <c r="Z13" s="98">
        <f t="shared" si="2"/>
        <v>0</v>
      </c>
      <c r="AA13" s="153">
        <f t="shared" si="3"/>
        <v>82</v>
      </c>
      <c r="AB13" s="94" t="str">
        <f t="shared" si="4"/>
        <v>Ganna</v>
      </c>
    </row>
    <row r="14" spans="2:28">
      <c r="B14" s="294" t="s">
        <v>261</v>
      </c>
      <c r="C14" s="292" t="s">
        <v>220</v>
      </c>
      <c r="D14" s="223" t="s">
        <v>106</v>
      </c>
      <c r="E14" s="98">
        <f t="shared" si="0"/>
        <v>0</v>
      </c>
      <c r="F14" s="98">
        <f t="shared" si="1"/>
        <v>0</v>
      </c>
      <c r="G14" s="98">
        <f t="shared" si="1"/>
        <v>0</v>
      </c>
      <c r="H14" s="98">
        <f t="shared" si="1"/>
        <v>7</v>
      </c>
      <c r="I14" s="98">
        <f t="shared" si="1"/>
        <v>0</v>
      </c>
      <c r="J14" s="98">
        <f t="shared" si="1"/>
        <v>0</v>
      </c>
      <c r="K14" s="98">
        <f t="shared" si="1"/>
        <v>0</v>
      </c>
      <c r="L14" s="98">
        <f t="shared" si="1"/>
        <v>0</v>
      </c>
      <c r="M14" s="98">
        <f t="shared" si="1"/>
        <v>0</v>
      </c>
      <c r="N14" s="98">
        <f t="shared" si="1"/>
        <v>0</v>
      </c>
      <c r="O14" s="98">
        <f t="shared" si="1"/>
        <v>0</v>
      </c>
      <c r="P14" s="98">
        <f t="shared" si="1"/>
        <v>0</v>
      </c>
      <c r="Q14" s="98">
        <f t="shared" si="1"/>
        <v>0</v>
      </c>
      <c r="R14" s="98">
        <f t="shared" si="1"/>
        <v>0</v>
      </c>
      <c r="S14" s="98">
        <f t="shared" si="1"/>
        <v>0</v>
      </c>
      <c r="T14" s="98">
        <f t="shared" si="1"/>
        <v>0</v>
      </c>
      <c r="U14" s="98">
        <f t="shared" si="1"/>
        <v>0</v>
      </c>
      <c r="V14" s="98">
        <f t="shared" si="1"/>
        <v>0</v>
      </c>
      <c r="W14" s="98">
        <f t="shared" si="1"/>
        <v>0</v>
      </c>
      <c r="X14" s="98">
        <f t="shared" si="1"/>
        <v>0</v>
      </c>
      <c r="Y14" s="98">
        <f t="shared" si="1"/>
        <v>0</v>
      </c>
      <c r="Z14" s="98">
        <f t="shared" si="2"/>
        <v>0</v>
      </c>
      <c r="AA14" s="153">
        <f t="shared" si="3"/>
        <v>7</v>
      </c>
      <c r="AB14" s="94" t="str">
        <f t="shared" si="4"/>
        <v>Bissegger</v>
      </c>
    </row>
    <row r="15" spans="2:28">
      <c r="B15" s="294" t="s">
        <v>283</v>
      </c>
      <c r="C15" s="292" t="s">
        <v>243</v>
      </c>
      <c r="D15" s="223" t="s">
        <v>160</v>
      </c>
      <c r="E15" s="98">
        <f t="shared" si="0"/>
        <v>0</v>
      </c>
      <c r="F15" s="98">
        <f t="shared" si="1"/>
        <v>0</v>
      </c>
      <c r="G15" s="98">
        <f t="shared" si="1"/>
        <v>0</v>
      </c>
      <c r="H15" s="98">
        <f t="shared" si="1"/>
        <v>0</v>
      </c>
      <c r="I15" s="98">
        <f t="shared" si="1"/>
        <v>0</v>
      </c>
      <c r="J15" s="98">
        <f t="shared" si="1"/>
        <v>0</v>
      </c>
      <c r="K15" s="98">
        <f t="shared" si="1"/>
        <v>9</v>
      </c>
      <c r="L15" s="98">
        <f t="shared" si="1"/>
        <v>7</v>
      </c>
      <c r="M15" s="98">
        <f t="shared" si="1"/>
        <v>15</v>
      </c>
      <c r="N15" s="98">
        <f t="shared" si="1"/>
        <v>0</v>
      </c>
      <c r="O15" s="98">
        <f t="shared" si="1"/>
        <v>0</v>
      </c>
      <c r="P15" s="98">
        <f t="shared" si="1"/>
        <v>0</v>
      </c>
      <c r="Q15" s="98">
        <f t="shared" si="1"/>
        <v>0</v>
      </c>
      <c r="R15" s="98">
        <f t="shared" si="1"/>
        <v>0</v>
      </c>
      <c r="S15" s="98">
        <f t="shared" si="1"/>
        <v>0</v>
      </c>
      <c r="T15" s="98">
        <f t="shared" si="1"/>
        <v>16</v>
      </c>
      <c r="U15" s="98">
        <f t="shared" si="1"/>
        <v>0</v>
      </c>
      <c r="V15" s="98">
        <f t="shared" si="1"/>
        <v>0</v>
      </c>
      <c r="W15" s="98">
        <f t="shared" si="1"/>
        <v>0</v>
      </c>
      <c r="X15" s="98">
        <f t="shared" si="1"/>
        <v>0</v>
      </c>
      <c r="Y15" s="98">
        <f t="shared" si="1"/>
        <v>0</v>
      </c>
      <c r="Z15" s="98">
        <f t="shared" si="2"/>
        <v>0</v>
      </c>
      <c r="AA15" s="153">
        <f t="shared" si="3"/>
        <v>47</v>
      </c>
      <c r="AB15" s="94" t="str">
        <f t="shared" si="4"/>
        <v>Caruso</v>
      </c>
    </row>
    <row r="16" spans="2:28">
      <c r="B16" s="294" t="s">
        <v>143</v>
      </c>
      <c r="C16" s="292" t="s">
        <v>44</v>
      </c>
      <c r="D16" s="223" t="s">
        <v>160</v>
      </c>
      <c r="E16" s="98">
        <f t="shared" si="0"/>
        <v>0</v>
      </c>
      <c r="F16" s="98">
        <f t="shared" si="1"/>
        <v>0</v>
      </c>
      <c r="G16" s="98">
        <f t="shared" si="1"/>
        <v>0</v>
      </c>
      <c r="H16" s="98">
        <f t="shared" si="1"/>
        <v>0</v>
      </c>
      <c r="I16" s="98">
        <f t="shared" si="1"/>
        <v>0</v>
      </c>
      <c r="J16" s="98">
        <f t="shared" si="1"/>
        <v>7</v>
      </c>
      <c r="K16" s="98">
        <f t="shared" si="1"/>
        <v>13</v>
      </c>
      <c r="L16" s="98">
        <f t="shared" si="1"/>
        <v>13</v>
      </c>
      <c r="M16" s="98">
        <f t="shared" si="1"/>
        <v>0</v>
      </c>
      <c r="N16" s="98">
        <f t="shared" si="1"/>
        <v>0</v>
      </c>
      <c r="O16" s="98">
        <f t="shared" si="1"/>
        <v>0</v>
      </c>
      <c r="P16" s="98">
        <f t="shared" si="1"/>
        <v>0</v>
      </c>
      <c r="Q16" s="98">
        <f t="shared" si="1"/>
        <v>0</v>
      </c>
      <c r="R16" s="98">
        <f t="shared" si="1"/>
        <v>0</v>
      </c>
      <c r="S16" s="98">
        <f t="shared" si="1"/>
        <v>0</v>
      </c>
      <c r="T16" s="98">
        <f t="shared" si="1"/>
        <v>0</v>
      </c>
      <c r="U16" s="98">
        <f t="shared" si="1"/>
        <v>0</v>
      </c>
      <c r="V16" s="98">
        <f t="shared" si="1"/>
        <v>0</v>
      </c>
      <c r="W16" s="98">
        <f t="shared" si="1"/>
        <v>0</v>
      </c>
      <c r="X16" s="98">
        <f t="shared" si="1"/>
        <v>0</v>
      </c>
      <c r="Y16" s="98">
        <f t="shared" si="1"/>
        <v>0</v>
      </c>
      <c r="Z16" s="98">
        <f t="shared" si="2"/>
        <v>0</v>
      </c>
      <c r="AA16" s="153">
        <f t="shared" si="3"/>
        <v>33</v>
      </c>
      <c r="AB16" s="94" t="str">
        <f t="shared" si="4"/>
        <v>Martin</v>
      </c>
    </row>
    <row r="17" spans="2:28">
      <c r="B17" s="294" t="s">
        <v>262</v>
      </c>
      <c r="C17" s="292" t="s">
        <v>228</v>
      </c>
      <c r="D17" s="223" t="s">
        <v>160</v>
      </c>
      <c r="E17" s="98">
        <f t="shared" si="0"/>
        <v>23</v>
      </c>
      <c r="F17" s="98">
        <f t="shared" si="1"/>
        <v>4</v>
      </c>
      <c r="G17" s="98">
        <f t="shared" si="1"/>
        <v>5</v>
      </c>
      <c r="H17" s="98">
        <f t="shared" si="1"/>
        <v>5</v>
      </c>
      <c r="I17" s="98">
        <f t="shared" si="1"/>
        <v>13</v>
      </c>
      <c r="J17" s="98">
        <f t="shared" si="1"/>
        <v>27</v>
      </c>
      <c r="K17" s="98">
        <f t="shared" si="1"/>
        <v>42</v>
      </c>
      <c r="L17" s="98">
        <f t="shared" si="1"/>
        <v>30</v>
      </c>
      <c r="M17" s="98">
        <f t="shared" si="1"/>
        <v>29</v>
      </c>
      <c r="N17" s="98">
        <f t="shared" ref="F17:Y19" si="5">INDEX(scorematrix,MATCH($C17,renners,0),MATCH(N$3,etappes,0))</f>
        <v>8</v>
      </c>
      <c r="O17" s="98">
        <f t="shared" si="5"/>
        <v>48</v>
      </c>
      <c r="P17" s="98">
        <f t="shared" si="5"/>
        <v>33</v>
      </c>
      <c r="Q17" s="98">
        <f t="shared" si="5"/>
        <v>20</v>
      </c>
      <c r="R17" s="98">
        <f t="shared" si="5"/>
        <v>12</v>
      </c>
      <c r="S17" s="98">
        <f t="shared" si="5"/>
        <v>10</v>
      </c>
      <c r="T17" s="98">
        <f t="shared" si="5"/>
        <v>21</v>
      </c>
      <c r="U17" s="98">
        <f t="shared" si="5"/>
        <v>40</v>
      </c>
      <c r="V17" s="98">
        <f t="shared" si="5"/>
        <v>50</v>
      </c>
      <c r="W17" s="98">
        <f t="shared" si="5"/>
        <v>28</v>
      </c>
      <c r="X17" s="98">
        <f t="shared" si="5"/>
        <v>45</v>
      </c>
      <c r="Y17" s="98">
        <f t="shared" si="5"/>
        <v>15</v>
      </c>
      <c r="Z17" s="98">
        <f t="shared" si="2"/>
        <v>80</v>
      </c>
      <c r="AA17" s="153">
        <f t="shared" si="3"/>
        <v>588</v>
      </c>
      <c r="AB17" s="94" t="str">
        <f t="shared" si="4"/>
        <v>Vingegaard</v>
      </c>
    </row>
    <row r="18" spans="2:28">
      <c r="B18" s="294" t="s">
        <v>136</v>
      </c>
      <c r="C18" s="292" t="s">
        <v>171</v>
      </c>
      <c r="D18" s="223" t="s">
        <v>160</v>
      </c>
      <c r="E18" s="98">
        <f t="shared" si="0"/>
        <v>0</v>
      </c>
      <c r="F18" s="98">
        <f t="shared" si="5"/>
        <v>0</v>
      </c>
      <c r="G18" s="98">
        <f t="shared" si="5"/>
        <v>0</v>
      </c>
      <c r="H18" s="98">
        <f t="shared" si="5"/>
        <v>0</v>
      </c>
      <c r="I18" s="98">
        <f t="shared" si="5"/>
        <v>0</v>
      </c>
      <c r="J18" s="98">
        <f t="shared" si="5"/>
        <v>21</v>
      </c>
      <c r="K18" s="98">
        <f t="shared" si="5"/>
        <v>16</v>
      </c>
      <c r="L18" s="98">
        <f t="shared" si="5"/>
        <v>1</v>
      </c>
      <c r="M18" s="98">
        <f t="shared" si="5"/>
        <v>0</v>
      </c>
      <c r="N18" s="98">
        <f t="shared" si="5"/>
        <v>0</v>
      </c>
      <c r="O18" s="98">
        <f t="shared" si="5"/>
        <v>0</v>
      </c>
      <c r="P18" s="98">
        <f t="shared" si="5"/>
        <v>0</v>
      </c>
      <c r="Q18" s="98">
        <f t="shared" si="5"/>
        <v>0</v>
      </c>
      <c r="R18" s="98">
        <f t="shared" si="5"/>
        <v>9</v>
      </c>
      <c r="S18" s="98">
        <f t="shared" si="5"/>
        <v>0</v>
      </c>
      <c r="T18" s="98">
        <f t="shared" si="5"/>
        <v>6</v>
      </c>
      <c r="U18" s="98">
        <f t="shared" si="5"/>
        <v>0</v>
      </c>
      <c r="V18" s="98">
        <f t="shared" si="5"/>
        <v>19</v>
      </c>
      <c r="W18" s="98">
        <f t="shared" si="5"/>
        <v>0</v>
      </c>
      <c r="X18" s="98">
        <f t="shared" si="5"/>
        <v>6</v>
      </c>
      <c r="Y18" s="98">
        <f t="shared" si="5"/>
        <v>0</v>
      </c>
      <c r="Z18" s="98">
        <f t="shared" si="2"/>
        <v>0</v>
      </c>
      <c r="AA18" s="153">
        <f t="shared" si="3"/>
        <v>78</v>
      </c>
      <c r="AB18" s="94" t="str">
        <f t="shared" si="4"/>
        <v>Martinez</v>
      </c>
    </row>
    <row r="19" spans="2:28">
      <c r="B19" s="294" t="s">
        <v>251</v>
      </c>
      <c r="C19" s="292" t="s">
        <v>242</v>
      </c>
      <c r="D19" s="223" t="s">
        <v>160</v>
      </c>
      <c r="E19" s="98">
        <f t="shared" si="0"/>
        <v>0</v>
      </c>
      <c r="F19" s="98">
        <f t="shared" si="5"/>
        <v>0</v>
      </c>
      <c r="G19" s="98">
        <f t="shared" si="5"/>
        <v>8</v>
      </c>
      <c r="H19" s="98">
        <f t="shared" si="5"/>
        <v>6</v>
      </c>
      <c r="I19" s="98">
        <f t="shared" si="5"/>
        <v>8</v>
      </c>
      <c r="J19" s="98">
        <f t="shared" si="5"/>
        <v>14</v>
      </c>
      <c r="K19" s="98">
        <f t="shared" si="5"/>
        <v>0</v>
      </c>
      <c r="L19" s="98">
        <f t="shared" si="5"/>
        <v>20</v>
      </c>
      <c r="M19" s="98">
        <f t="shared" si="5"/>
        <v>0</v>
      </c>
      <c r="N19" s="98">
        <f t="shared" si="5"/>
        <v>0</v>
      </c>
      <c r="O19" s="98">
        <f t="shared" si="5"/>
        <v>17</v>
      </c>
      <c r="P19" s="98">
        <f t="shared" si="5"/>
        <v>9</v>
      </c>
      <c r="Q19" s="98">
        <f t="shared" si="5"/>
        <v>1</v>
      </c>
      <c r="R19" s="98">
        <f t="shared" si="5"/>
        <v>0</v>
      </c>
      <c r="S19" s="98">
        <f t="shared" si="5"/>
        <v>10</v>
      </c>
      <c r="T19" s="98">
        <f t="shared" si="5"/>
        <v>23</v>
      </c>
      <c r="U19" s="98">
        <f t="shared" si="5"/>
        <v>21</v>
      </c>
      <c r="V19" s="98">
        <f t="shared" si="5"/>
        <v>21</v>
      </c>
      <c r="W19" s="98">
        <f t="shared" si="5"/>
        <v>18</v>
      </c>
      <c r="X19" s="98">
        <f t="shared" si="5"/>
        <v>14</v>
      </c>
      <c r="Y19" s="98">
        <f t="shared" si="5"/>
        <v>6</v>
      </c>
      <c r="Z19" s="98">
        <f t="shared" si="2"/>
        <v>44</v>
      </c>
      <c r="AA19" s="153">
        <f t="shared" si="3"/>
        <v>240</v>
      </c>
      <c r="AB19" s="94" t="str">
        <f t="shared" si="4"/>
        <v>Vlasov</v>
      </c>
    </row>
    <row r="20" spans="2:28" s="140" customFormat="1" ht="14.4" thickBot="1">
      <c r="B20" s="294" t="s">
        <v>209</v>
      </c>
      <c r="C20" s="292" t="s">
        <v>200</v>
      </c>
      <c r="D20" s="223" t="s">
        <v>160</v>
      </c>
      <c r="E20" s="98">
        <f t="shared" ref="E20:Z20" si="6">INDEX(scorematrix,MATCH($C20,renners,0),MATCH(E$3,etappes,0))</f>
        <v>0</v>
      </c>
      <c r="F20" s="98">
        <f t="shared" si="6"/>
        <v>0</v>
      </c>
      <c r="G20" s="98">
        <f t="shared" si="6"/>
        <v>0</v>
      </c>
      <c r="H20" s="98">
        <f t="shared" si="6"/>
        <v>0</v>
      </c>
      <c r="I20" s="98">
        <f t="shared" si="6"/>
        <v>0</v>
      </c>
      <c r="J20" s="98">
        <f t="shared" si="6"/>
        <v>28</v>
      </c>
      <c r="K20" s="98">
        <f t="shared" si="6"/>
        <v>26</v>
      </c>
      <c r="L20" s="98">
        <f t="shared" si="6"/>
        <v>20</v>
      </c>
      <c r="M20" s="98">
        <f t="shared" si="6"/>
        <v>19</v>
      </c>
      <c r="N20" s="98">
        <f t="shared" si="6"/>
        <v>5</v>
      </c>
      <c r="O20" s="98">
        <f t="shared" si="6"/>
        <v>26</v>
      </c>
      <c r="P20" s="98">
        <f t="shared" si="6"/>
        <v>17</v>
      </c>
      <c r="Q20" s="98">
        <f t="shared" si="6"/>
        <v>4</v>
      </c>
      <c r="R20" s="98">
        <f t="shared" si="6"/>
        <v>3</v>
      </c>
      <c r="S20" s="98">
        <f t="shared" si="6"/>
        <v>3</v>
      </c>
      <c r="T20" s="98">
        <f t="shared" si="6"/>
        <v>14</v>
      </c>
      <c r="U20" s="98">
        <f t="shared" si="6"/>
        <v>25</v>
      </c>
      <c r="V20" s="98">
        <f t="shared" si="6"/>
        <v>29</v>
      </c>
      <c r="W20" s="98">
        <f t="shared" si="6"/>
        <v>17</v>
      </c>
      <c r="X20" s="98">
        <f t="shared" si="6"/>
        <v>7</v>
      </c>
      <c r="Y20" s="98">
        <f t="shared" si="6"/>
        <v>7</v>
      </c>
      <c r="Z20" s="98">
        <f t="shared" si="6"/>
        <v>48</v>
      </c>
      <c r="AA20" s="153">
        <f t="shared" si="3"/>
        <v>298</v>
      </c>
      <c r="AB20" s="94" t="str">
        <f t="shared" si="4"/>
        <v>Gaudu</v>
      </c>
    </row>
    <row r="21" spans="2:28" s="141" customFormat="1">
      <c r="B21" s="291"/>
      <c r="C21" s="288"/>
      <c r="D21" s="148"/>
      <c r="E21" s="150"/>
      <c r="F21" s="150"/>
      <c r="G21" s="150"/>
      <c r="H21" s="150"/>
      <c r="I21" s="150"/>
      <c r="J21" s="150"/>
      <c r="K21" s="150">
        <f>-K12+K24</f>
        <v>30</v>
      </c>
      <c r="L21" s="150">
        <f>-L12+L24-L8+L25</f>
        <v>23</v>
      </c>
      <c r="M21" s="150">
        <f t="shared" ref="M21" si="7">-M12+M24-M8+M25</f>
        <v>27</v>
      </c>
      <c r="N21" s="150">
        <f>-N12+N24-N8+N25-N10+N26</f>
        <v>7</v>
      </c>
      <c r="O21" s="150">
        <f t="shared" ref="O21:Z21" si="8">-O12+O24-O8+O25-O10+O26</f>
        <v>40</v>
      </c>
      <c r="P21" s="150">
        <f t="shared" si="8"/>
        <v>27</v>
      </c>
      <c r="Q21" s="150">
        <f t="shared" si="8"/>
        <v>8</v>
      </c>
      <c r="R21" s="150">
        <f t="shared" si="8"/>
        <v>8</v>
      </c>
      <c r="S21" s="150">
        <f t="shared" si="8"/>
        <v>8</v>
      </c>
      <c r="T21" s="150">
        <f t="shared" si="8"/>
        <v>36</v>
      </c>
      <c r="U21" s="150">
        <f t="shared" si="8"/>
        <v>38</v>
      </c>
      <c r="V21" s="150">
        <f t="shared" si="8"/>
        <v>42</v>
      </c>
      <c r="W21" s="150">
        <f t="shared" si="8"/>
        <v>4</v>
      </c>
      <c r="X21" s="150">
        <f t="shared" si="8"/>
        <v>8</v>
      </c>
      <c r="Y21" s="150">
        <f t="shared" si="8"/>
        <v>-10</v>
      </c>
      <c r="Z21" s="150">
        <f t="shared" si="8"/>
        <v>66</v>
      </c>
      <c r="AA21" s="193">
        <f t="shared" si="3"/>
        <v>362</v>
      </c>
    </row>
    <row r="22" spans="2:28" s="97" customFormat="1">
      <c r="B22" s="287"/>
      <c r="C22" s="289"/>
      <c r="D22" s="296"/>
      <c r="E22" s="309">
        <f t="shared" ref="E22:AA22" si="9">SUM(E4:E21)</f>
        <v>153</v>
      </c>
      <c r="F22" s="309">
        <f t="shared" ref="F22" si="10">SUM(F4:F21)</f>
        <v>217</v>
      </c>
      <c r="G22" s="309">
        <f>SUM(G4:G21)</f>
        <v>218</v>
      </c>
      <c r="H22" s="309">
        <f t="shared" si="9"/>
        <v>172</v>
      </c>
      <c r="I22" s="309">
        <f t="shared" si="9"/>
        <v>100</v>
      </c>
      <c r="J22" s="309">
        <f t="shared" si="9"/>
        <v>116</v>
      </c>
      <c r="K22" s="309">
        <f t="shared" si="9"/>
        <v>147</v>
      </c>
      <c r="L22" s="309">
        <f t="shared" si="9"/>
        <v>160</v>
      </c>
      <c r="M22" s="309">
        <f t="shared" si="9"/>
        <v>101</v>
      </c>
      <c r="N22" s="309">
        <f t="shared" si="9"/>
        <v>29</v>
      </c>
      <c r="O22" s="309">
        <f t="shared" si="9"/>
        <v>140</v>
      </c>
      <c r="P22" s="309">
        <f t="shared" si="9"/>
        <v>95</v>
      </c>
      <c r="Q22" s="309">
        <f t="shared" si="9"/>
        <v>117</v>
      </c>
      <c r="R22" s="309">
        <f t="shared" si="9"/>
        <v>42</v>
      </c>
      <c r="S22" s="309">
        <f t="shared" si="9"/>
        <v>174</v>
      </c>
      <c r="T22" s="309">
        <f t="shared" si="9"/>
        <v>140</v>
      </c>
      <c r="U22" s="309">
        <f t="shared" si="9"/>
        <v>135</v>
      </c>
      <c r="V22" s="309">
        <f t="shared" si="9"/>
        <v>199</v>
      </c>
      <c r="W22" s="309">
        <f t="shared" si="9"/>
        <v>143</v>
      </c>
      <c r="X22" s="309">
        <f t="shared" si="9"/>
        <v>147</v>
      </c>
      <c r="Y22" s="309">
        <f t="shared" si="9"/>
        <v>147</v>
      </c>
      <c r="Z22" s="309">
        <f t="shared" si="9"/>
        <v>257</v>
      </c>
      <c r="AA22" s="190">
        <f t="shared" si="9"/>
        <v>3149</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t="s">
        <v>277</v>
      </c>
      <c r="C24" s="293" t="s">
        <v>75</v>
      </c>
      <c r="D24" s="226"/>
      <c r="E24" s="160">
        <f t="shared" ref="E24:Z26" si="11">INDEX(scorematrix,MATCH($C24,renners,0),MATCH(E$3,etappes,0))</f>
        <v>8</v>
      </c>
      <c r="F24" s="160">
        <f t="shared" si="11"/>
        <v>0</v>
      </c>
      <c r="G24" s="160">
        <f t="shared" si="11"/>
        <v>0</v>
      </c>
      <c r="H24" s="160">
        <f t="shared" si="11"/>
        <v>0</v>
      </c>
      <c r="I24" s="160">
        <f t="shared" si="11"/>
        <v>1</v>
      </c>
      <c r="J24" s="160">
        <f t="shared" si="11"/>
        <v>16</v>
      </c>
      <c r="K24" s="338">
        <f t="shared" si="11"/>
        <v>30</v>
      </c>
      <c r="L24" s="338">
        <f t="shared" si="11"/>
        <v>23</v>
      </c>
      <c r="M24" s="338">
        <f t="shared" si="11"/>
        <v>27</v>
      </c>
      <c r="N24" s="338">
        <f t="shared" si="11"/>
        <v>7</v>
      </c>
      <c r="O24" s="338">
        <f t="shared" si="11"/>
        <v>31</v>
      </c>
      <c r="P24" s="338">
        <f t="shared" si="11"/>
        <v>27</v>
      </c>
      <c r="Q24" s="338">
        <f t="shared" si="11"/>
        <v>8</v>
      </c>
      <c r="R24" s="338">
        <f t="shared" si="11"/>
        <v>8</v>
      </c>
      <c r="S24" s="338">
        <f t="shared" si="11"/>
        <v>8</v>
      </c>
      <c r="T24" s="338">
        <f t="shared" si="11"/>
        <v>17</v>
      </c>
      <c r="U24" s="338">
        <f t="shared" si="11"/>
        <v>32</v>
      </c>
      <c r="V24" s="338">
        <f t="shared" si="11"/>
        <v>32</v>
      </c>
      <c r="W24" s="338">
        <f t="shared" si="11"/>
        <v>20</v>
      </c>
      <c r="X24" s="338">
        <f t="shared" si="11"/>
        <v>8</v>
      </c>
      <c r="Y24" s="338">
        <f t="shared" si="11"/>
        <v>8</v>
      </c>
      <c r="Z24" s="338">
        <f t="shared" si="11"/>
        <v>52</v>
      </c>
      <c r="AA24" s="245">
        <f>SUM(E24:Z24)</f>
        <v>363</v>
      </c>
    </row>
    <row r="25" spans="2:28" s="145" customFormat="1">
      <c r="B25" s="295" t="s">
        <v>252</v>
      </c>
      <c r="C25" s="293" t="s">
        <v>278</v>
      </c>
      <c r="D25" s="226"/>
      <c r="E25" s="160">
        <f t="shared" si="11"/>
        <v>17</v>
      </c>
      <c r="F25" s="160">
        <f t="shared" si="11"/>
        <v>1</v>
      </c>
      <c r="G25" s="160">
        <f t="shared" si="11"/>
        <v>0</v>
      </c>
      <c r="H25" s="160">
        <f t="shared" si="11"/>
        <v>0</v>
      </c>
      <c r="I25" s="160">
        <f t="shared" si="11"/>
        <v>0</v>
      </c>
      <c r="J25" s="160">
        <f t="shared" si="11"/>
        <v>20</v>
      </c>
      <c r="K25" s="160">
        <f t="shared" si="11"/>
        <v>0</v>
      </c>
      <c r="L25" s="338">
        <f t="shared" si="11"/>
        <v>0</v>
      </c>
      <c r="M25" s="338">
        <f t="shared" si="11"/>
        <v>0</v>
      </c>
      <c r="N25" s="338">
        <f t="shared" si="11"/>
        <v>0</v>
      </c>
      <c r="O25" s="338">
        <f t="shared" si="11"/>
        <v>9</v>
      </c>
      <c r="P25" s="338">
        <f t="shared" si="11"/>
        <v>0</v>
      </c>
      <c r="Q25" s="338">
        <f t="shared" si="11"/>
        <v>0</v>
      </c>
      <c r="R25" s="338">
        <f t="shared" si="11"/>
        <v>0</v>
      </c>
      <c r="S25" s="338">
        <f t="shared" si="11"/>
        <v>0</v>
      </c>
      <c r="T25" s="338">
        <f t="shared" si="11"/>
        <v>19</v>
      </c>
      <c r="U25" s="338">
        <f t="shared" si="11"/>
        <v>6</v>
      </c>
      <c r="V25" s="338">
        <f t="shared" si="11"/>
        <v>10</v>
      </c>
      <c r="W25" s="338">
        <f t="shared" si="11"/>
        <v>0</v>
      </c>
      <c r="X25" s="338">
        <f t="shared" si="11"/>
        <v>0</v>
      </c>
      <c r="Y25" s="338">
        <f t="shared" si="11"/>
        <v>0</v>
      </c>
      <c r="Z25" s="338">
        <f t="shared" si="11"/>
        <v>14</v>
      </c>
      <c r="AA25" s="245">
        <f>SUM(E25:Z25)</f>
        <v>96</v>
      </c>
    </row>
    <row r="26" spans="2:28" s="145" customFormat="1">
      <c r="B26" s="295" t="s">
        <v>272</v>
      </c>
      <c r="C26" s="293" t="s">
        <v>213</v>
      </c>
      <c r="D26" s="226"/>
      <c r="E26" s="160">
        <f t="shared" si="11"/>
        <v>0</v>
      </c>
      <c r="F26" s="160">
        <f t="shared" si="11"/>
        <v>0</v>
      </c>
      <c r="G26" s="160">
        <f t="shared" si="11"/>
        <v>0</v>
      </c>
      <c r="H26" s="160">
        <f t="shared" si="11"/>
        <v>0</v>
      </c>
      <c r="I26" s="160">
        <f t="shared" si="11"/>
        <v>0</v>
      </c>
      <c r="J26" s="160">
        <f t="shared" si="11"/>
        <v>0</v>
      </c>
      <c r="K26" s="160">
        <f t="shared" si="11"/>
        <v>0</v>
      </c>
      <c r="L26" s="160">
        <f t="shared" si="11"/>
        <v>0</v>
      </c>
      <c r="M26" s="160">
        <f t="shared" si="11"/>
        <v>0</v>
      </c>
      <c r="N26" s="338">
        <f t="shared" si="11"/>
        <v>0</v>
      </c>
      <c r="O26" s="338">
        <f t="shared" si="11"/>
        <v>0</v>
      </c>
      <c r="P26" s="338">
        <f t="shared" si="11"/>
        <v>0</v>
      </c>
      <c r="Q26" s="338">
        <f t="shared" si="11"/>
        <v>0</v>
      </c>
      <c r="R26" s="338">
        <f t="shared" si="11"/>
        <v>0</v>
      </c>
      <c r="S26" s="338">
        <f t="shared" si="11"/>
        <v>0</v>
      </c>
      <c r="T26" s="338">
        <f t="shared" si="11"/>
        <v>0</v>
      </c>
      <c r="U26" s="338">
        <f t="shared" si="11"/>
        <v>0</v>
      </c>
      <c r="V26" s="338">
        <f t="shared" si="11"/>
        <v>0</v>
      </c>
      <c r="W26" s="338">
        <f t="shared" si="11"/>
        <v>0</v>
      </c>
      <c r="X26" s="338">
        <f t="shared" si="11"/>
        <v>0</v>
      </c>
      <c r="Y26" s="338">
        <f t="shared" si="11"/>
        <v>0</v>
      </c>
      <c r="Z26" s="338">
        <f t="shared" si="11"/>
        <v>0</v>
      </c>
      <c r="AA26" s="245">
        <f>SUM(E26:Z26)</f>
        <v>0</v>
      </c>
    </row>
    <row r="28" spans="2:28">
      <c r="C28" s="246" t="s">
        <v>160</v>
      </c>
      <c r="D28" s="247">
        <f>COUNTIF($D$4:$D$21,C28)</f>
        <v>6</v>
      </c>
    </row>
    <row r="29" spans="2:28">
      <c r="C29" s="248" t="s">
        <v>10</v>
      </c>
      <c r="D29" s="247">
        <f>COUNTIF($D$4:$D$21,C29)</f>
        <v>6</v>
      </c>
    </row>
    <row r="30" spans="2:28">
      <c r="C30" s="248" t="s">
        <v>106</v>
      </c>
      <c r="D30" s="247">
        <f>COUNTIF($D$4:$D$21,C30)</f>
        <v>5</v>
      </c>
    </row>
  </sheetData>
  <phoneticPr fontId="0" type="noConversion"/>
  <dataValidations disablePrompts="1" count="1">
    <dataValidation type="list" allowBlank="1" showInputMessage="1" showErrorMessage="1" prompt="selecteer type renner:" sqref="D24:D26 D4:D20" xr:uid="{252164F9-2CC9-4435-A54D-5CAF610222D2}">
      <formula1>type_renner</formula1>
    </dataValidation>
  </dataValidation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2">
    <tabColor indexed="12"/>
  </sheetPr>
  <dimension ref="B1:AB30"/>
  <sheetViews>
    <sheetView showZeros="0" workbookViewId="0">
      <selection activeCell="Y21" sqref="Y21"/>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343</v>
      </c>
      <c r="D1" s="220"/>
    </row>
    <row r="2" spans="2:28">
      <c r="B2" s="146"/>
      <c r="C2" s="250"/>
      <c r="D2" s="147"/>
      <c r="H2" s="112"/>
    </row>
    <row r="3" spans="2:28" s="110" customFormat="1" ht="14.4" thickBot="1">
      <c r="B3" s="251"/>
      <c r="C3" s="252" t="s">
        <v>344</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158</v>
      </c>
      <c r="C4" s="292" t="s">
        <v>156</v>
      </c>
      <c r="D4" s="223" t="s">
        <v>106</v>
      </c>
      <c r="E4" s="98">
        <f t="shared" ref="E4:T13" si="0">INDEX(scorematrix,MATCH($C4,renners,0),MATCH(E$3,etappes,0))</f>
        <v>43</v>
      </c>
      <c r="F4" s="98">
        <f t="shared" si="0"/>
        <v>45</v>
      </c>
      <c r="G4" s="98">
        <f t="shared" si="0"/>
        <v>45</v>
      </c>
      <c r="H4" s="98">
        <f t="shared" si="0"/>
        <v>54</v>
      </c>
      <c r="I4" s="98">
        <f t="shared" si="0"/>
        <v>29</v>
      </c>
      <c r="J4" s="98">
        <f t="shared" si="0"/>
        <v>8</v>
      </c>
      <c r="K4" s="98">
        <f t="shared" si="0"/>
        <v>5</v>
      </c>
      <c r="L4" s="98">
        <f t="shared" si="0"/>
        <v>40</v>
      </c>
      <c r="M4" s="98">
        <f t="shared" si="0"/>
        <v>5</v>
      </c>
      <c r="N4" s="98">
        <f t="shared" si="0"/>
        <v>5</v>
      </c>
      <c r="O4" s="98">
        <f t="shared" si="0"/>
        <v>5</v>
      </c>
      <c r="P4" s="98">
        <f t="shared" si="0"/>
        <v>5</v>
      </c>
      <c r="Q4" s="98">
        <f t="shared" si="0"/>
        <v>24</v>
      </c>
      <c r="R4" s="98">
        <f t="shared" si="0"/>
        <v>5</v>
      </c>
      <c r="S4" s="98">
        <f t="shared" si="0"/>
        <v>35</v>
      </c>
      <c r="T4" s="98">
        <f t="shared" si="0"/>
        <v>18</v>
      </c>
      <c r="U4" s="98">
        <f t="shared" ref="F4:Y18" si="1">INDEX(scorematrix,MATCH($C4,renners,0),MATCH(U$3,etappes,0))</f>
        <v>5</v>
      </c>
      <c r="V4" s="98">
        <f t="shared" si="1"/>
        <v>32</v>
      </c>
      <c r="W4" s="98">
        <f t="shared" si="1"/>
        <v>6</v>
      </c>
      <c r="X4" s="98">
        <f t="shared" si="1"/>
        <v>41</v>
      </c>
      <c r="Y4" s="98">
        <f t="shared" si="1"/>
        <v>6</v>
      </c>
      <c r="Z4" s="98">
        <f t="shared" ref="Z4:Z17" si="2">INDEX(scorematrix,MATCH($C4,renners,0),MATCH(Z$3,etappes,0))</f>
        <v>11</v>
      </c>
      <c r="AA4" s="153">
        <f t="shared" ref="AA4:AA21" si="3">SUM(E4:Z4)</f>
        <v>472</v>
      </c>
      <c r="AB4" s="94" t="str">
        <f t="shared" ref="AB4:AB18" si="4">C4</f>
        <v>van Aert</v>
      </c>
    </row>
    <row r="5" spans="2:28">
      <c r="B5" s="294" t="s">
        <v>338</v>
      </c>
      <c r="C5" s="292" t="s">
        <v>303</v>
      </c>
      <c r="D5" s="223" t="s">
        <v>106</v>
      </c>
      <c r="E5" s="98">
        <f t="shared" si="0"/>
        <v>0</v>
      </c>
      <c r="F5" s="98">
        <f t="shared" si="1"/>
        <v>0</v>
      </c>
      <c r="G5" s="98">
        <f t="shared" si="1"/>
        <v>0</v>
      </c>
      <c r="H5" s="98">
        <f t="shared" si="1"/>
        <v>0</v>
      </c>
      <c r="I5" s="98">
        <f t="shared" si="1"/>
        <v>0</v>
      </c>
      <c r="J5" s="98">
        <f t="shared" si="1"/>
        <v>0</v>
      </c>
      <c r="K5" s="98">
        <f t="shared" si="1"/>
        <v>0</v>
      </c>
      <c r="L5" s="98">
        <f t="shared" si="1"/>
        <v>0</v>
      </c>
      <c r="M5" s="98">
        <f t="shared" si="1"/>
        <v>0</v>
      </c>
      <c r="N5" s="98">
        <f t="shared" si="1"/>
        <v>0</v>
      </c>
      <c r="O5" s="98">
        <f t="shared" si="1"/>
        <v>0</v>
      </c>
      <c r="P5" s="98">
        <f t="shared" si="1"/>
        <v>0</v>
      </c>
      <c r="Q5" s="98">
        <f t="shared" si="1"/>
        <v>0</v>
      </c>
      <c r="R5" s="98">
        <f t="shared" si="1"/>
        <v>0</v>
      </c>
      <c r="S5" s="98">
        <f t="shared" si="1"/>
        <v>0</v>
      </c>
      <c r="T5" s="98">
        <f t="shared" si="1"/>
        <v>0</v>
      </c>
      <c r="U5" s="98">
        <f t="shared" si="1"/>
        <v>0</v>
      </c>
      <c r="V5" s="98">
        <f t="shared" si="1"/>
        <v>0</v>
      </c>
      <c r="W5" s="98">
        <f t="shared" si="1"/>
        <v>0</v>
      </c>
      <c r="X5" s="98">
        <f t="shared" si="1"/>
        <v>0</v>
      </c>
      <c r="Y5" s="98">
        <f t="shared" si="1"/>
        <v>0</v>
      </c>
      <c r="Z5" s="98">
        <f t="shared" si="2"/>
        <v>0</v>
      </c>
      <c r="AA5" s="153">
        <f t="shared" si="3"/>
        <v>0</v>
      </c>
      <c r="AB5" s="94" t="str">
        <f t="shared" si="4"/>
        <v>Mohoric</v>
      </c>
    </row>
    <row r="6" spans="2:28">
      <c r="B6" s="294" t="s">
        <v>227</v>
      </c>
      <c r="C6" s="292" t="s">
        <v>228</v>
      </c>
      <c r="D6" s="223" t="s">
        <v>160</v>
      </c>
      <c r="E6" s="98">
        <f t="shared" si="0"/>
        <v>23</v>
      </c>
      <c r="F6" s="98">
        <f t="shared" si="1"/>
        <v>4</v>
      </c>
      <c r="G6" s="98">
        <f t="shared" si="1"/>
        <v>5</v>
      </c>
      <c r="H6" s="98">
        <f t="shared" si="1"/>
        <v>5</v>
      </c>
      <c r="I6" s="98">
        <f t="shared" si="1"/>
        <v>13</v>
      </c>
      <c r="J6" s="98">
        <f t="shared" si="1"/>
        <v>27</v>
      </c>
      <c r="K6" s="98">
        <f t="shared" si="1"/>
        <v>42</v>
      </c>
      <c r="L6" s="98">
        <f t="shared" si="1"/>
        <v>30</v>
      </c>
      <c r="M6" s="98">
        <f t="shared" si="1"/>
        <v>29</v>
      </c>
      <c r="N6" s="98">
        <f t="shared" si="1"/>
        <v>8</v>
      </c>
      <c r="O6" s="98">
        <f t="shared" si="1"/>
        <v>48</v>
      </c>
      <c r="P6" s="98">
        <f t="shared" si="1"/>
        <v>33</v>
      </c>
      <c r="Q6" s="98">
        <f t="shared" si="1"/>
        <v>20</v>
      </c>
      <c r="R6" s="98">
        <f t="shared" si="1"/>
        <v>12</v>
      </c>
      <c r="S6" s="98">
        <f t="shared" si="1"/>
        <v>10</v>
      </c>
      <c r="T6" s="98">
        <f t="shared" si="1"/>
        <v>21</v>
      </c>
      <c r="U6" s="98">
        <f t="shared" si="1"/>
        <v>40</v>
      </c>
      <c r="V6" s="98">
        <f t="shared" si="1"/>
        <v>50</v>
      </c>
      <c r="W6" s="98">
        <f t="shared" si="1"/>
        <v>28</v>
      </c>
      <c r="X6" s="98">
        <f t="shared" si="1"/>
        <v>45</v>
      </c>
      <c r="Y6" s="98">
        <f t="shared" si="1"/>
        <v>15</v>
      </c>
      <c r="Z6" s="98">
        <f t="shared" si="2"/>
        <v>80</v>
      </c>
      <c r="AA6" s="153">
        <f t="shared" si="3"/>
        <v>588</v>
      </c>
      <c r="AB6" s="94" t="str">
        <f t="shared" si="4"/>
        <v>Vingegaard</v>
      </c>
    </row>
    <row r="7" spans="2:28">
      <c r="B7" s="294" t="s">
        <v>257</v>
      </c>
      <c r="C7" s="292" t="s">
        <v>258</v>
      </c>
      <c r="D7" s="223" t="s">
        <v>106</v>
      </c>
      <c r="E7" s="98">
        <f t="shared" si="0"/>
        <v>29</v>
      </c>
      <c r="F7" s="98">
        <f t="shared" si="1"/>
        <v>12</v>
      </c>
      <c r="G7" s="98">
        <f t="shared" si="1"/>
        <v>6</v>
      </c>
      <c r="H7" s="98">
        <f t="shared" si="1"/>
        <v>6</v>
      </c>
      <c r="I7" s="98">
        <f t="shared" si="1"/>
        <v>0</v>
      </c>
      <c r="J7" s="98">
        <f t="shared" si="1"/>
        <v>0</v>
      </c>
      <c r="K7" s="340">
        <f t="shared" si="1"/>
        <v>0</v>
      </c>
      <c r="L7" s="340">
        <f t="shared" si="1"/>
        <v>0</v>
      </c>
      <c r="M7" s="340">
        <f t="shared" si="1"/>
        <v>0</v>
      </c>
      <c r="N7" s="340">
        <f t="shared" si="1"/>
        <v>0</v>
      </c>
      <c r="O7" s="340">
        <f t="shared" si="1"/>
        <v>0</v>
      </c>
      <c r="P7" s="340">
        <f t="shared" si="1"/>
        <v>0</v>
      </c>
      <c r="Q7" s="340">
        <f t="shared" si="1"/>
        <v>0</v>
      </c>
      <c r="R7" s="340">
        <f t="shared" si="1"/>
        <v>0</v>
      </c>
      <c r="S7" s="340">
        <f t="shared" si="1"/>
        <v>0</v>
      </c>
      <c r="T7" s="340">
        <f t="shared" si="1"/>
        <v>0</v>
      </c>
      <c r="U7" s="340">
        <f t="shared" si="1"/>
        <v>0</v>
      </c>
      <c r="V7" s="340">
        <f t="shared" si="1"/>
        <v>0</v>
      </c>
      <c r="W7" s="340">
        <f t="shared" si="1"/>
        <v>0</v>
      </c>
      <c r="X7" s="340">
        <f t="shared" si="1"/>
        <v>0</v>
      </c>
      <c r="Y7" s="340">
        <f t="shared" si="1"/>
        <v>0</v>
      </c>
      <c r="Z7" s="340">
        <f t="shared" si="2"/>
        <v>0</v>
      </c>
      <c r="AA7" s="153">
        <f t="shared" si="3"/>
        <v>53</v>
      </c>
      <c r="AB7" s="94" t="str">
        <f t="shared" si="4"/>
        <v>Van der Poel</v>
      </c>
    </row>
    <row r="8" spans="2:28">
      <c r="B8" s="294" t="s">
        <v>251</v>
      </c>
      <c r="C8" s="292" t="s">
        <v>242</v>
      </c>
      <c r="D8" s="223" t="s">
        <v>160</v>
      </c>
      <c r="E8" s="98">
        <f t="shared" si="0"/>
        <v>0</v>
      </c>
      <c r="F8" s="98">
        <f t="shared" si="1"/>
        <v>0</v>
      </c>
      <c r="G8" s="98">
        <f t="shared" si="1"/>
        <v>8</v>
      </c>
      <c r="H8" s="98">
        <f t="shared" si="1"/>
        <v>6</v>
      </c>
      <c r="I8" s="98">
        <f t="shared" si="1"/>
        <v>8</v>
      </c>
      <c r="J8" s="98">
        <f t="shared" si="1"/>
        <v>14</v>
      </c>
      <c r="K8" s="98">
        <f t="shared" si="1"/>
        <v>0</v>
      </c>
      <c r="L8" s="98">
        <f t="shared" si="1"/>
        <v>20</v>
      </c>
      <c r="M8" s="98">
        <f t="shared" si="1"/>
        <v>0</v>
      </c>
      <c r="N8" s="98">
        <f t="shared" si="1"/>
        <v>0</v>
      </c>
      <c r="O8" s="98">
        <f t="shared" si="1"/>
        <v>17</v>
      </c>
      <c r="P8" s="98">
        <f t="shared" si="1"/>
        <v>9</v>
      </c>
      <c r="Q8" s="98">
        <f t="shared" si="1"/>
        <v>1</v>
      </c>
      <c r="R8" s="98">
        <f t="shared" si="1"/>
        <v>0</v>
      </c>
      <c r="S8" s="98">
        <f t="shared" si="1"/>
        <v>10</v>
      </c>
      <c r="T8" s="98">
        <f t="shared" si="1"/>
        <v>23</v>
      </c>
      <c r="U8" s="98">
        <f t="shared" si="1"/>
        <v>21</v>
      </c>
      <c r="V8" s="98">
        <f t="shared" si="1"/>
        <v>21</v>
      </c>
      <c r="W8" s="98">
        <f t="shared" si="1"/>
        <v>18</v>
      </c>
      <c r="X8" s="98">
        <f t="shared" si="1"/>
        <v>14</v>
      </c>
      <c r="Y8" s="98">
        <f t="shared" si="1"/>
        <v>6</v>
      </c>
      <c r="Z8" s="98">
        <f t="shared" si="2"/>
        <v>44</v>
      </c>
      <c r="AA8" s="153">
        <f t="shared" si="3"/>
        <v>240</v>
      </c>
      <c r="AB8" s="94" t="str">
        <f t="shared" si="4"/>
        <v>Vlasov</v>
      </c>
    </row>
    <row r="9" spans="2:28">
      <c r="B9" s="294" t="s">
        <v>172</v>
      </c>
      <c r="C9" s="292" t="s">
        <v>233</v>
      </c>
      <c r="D9" s="223" t="s">
        <v>10</v>
      </c>
      <c r="E9" s="98">
        <f t="shared" si="0"/>
        <v>0</v>
      </c>
      <c r="F9" s="98">
        <f t="shared" si="1"/>
        <v>22</v>
      </c>
      <c r="G9" s="98">
        <f t="shared" si="1"/>
        <v>26</v>
      </c>
      <c r="H9" s="98">
        <f t="shared" si="1"/>
        <v>31</v>
      </c>
      <c r="I9" s="98">
        <f t="shared" si="1"/>
        <v>22</v>
      </c>
      <c r="J9" s="98">
        <f t="shared" si="1"/>
        <v>6</v>
      </c>
      <c r="K9" s="98">
        <f t="shared" si="1"/>
        <v>2</v>
      </c>
      <c r="L9" s="98">
        <f t="shared" si="1"/>
        <v>2</v>
      </c>
      <c r="M9" s="98">
        <f t="shared" si="1"/>
        <v>2</v>
      </c>
      <c r="N9" s="98">
        <f t="shared" si="1"/>
        <v>0</v>
      </c>
      <c r="O9" s="98">
        <f t="shared" si="1"/>
        <v>0</v>
      </c>
      <c r="P9" s="98">
        <f t="shared" si="1"/>
        <v>1</v>
      </c>
      <c r="Q9" s="98">
        <f t="shared" si="1"/>
        <v>0</v>
      </c>
      <c r="R9" s="98">
        <f t="shared" si="1"/>
        <v>0</v>
      </c>
      <c r="S9" s="98">
        <f t="shared" si="1"/>
        <v>35</v>
      </c>
      <c r="T9" s="98">
        <f t="shared" si="1"/>
        <v>3</v>
      </c>
      <c r="U9" s="98">
        <f t="shared" si="1"/>
        <v>3</v>
      </c>
      <c r="V9" s="98">
        <f t="shared" si="1"/>
        <v>3</v>
      </c>
      <c r="W9" s="98">
        <f t="shared" si="1"/>
        <v>34</v>
      </c>
      <c r="X9" s="98">
        <f t="shared" si="1"/>
        <v>3</v>
      </c>
      <c r="Y9" s="98">
        <f t="shared" si="1"/>
        <v>39</v>
      </c>
      <c r="Z9" s="98">
        <f t="shared" si="2"/>
        <v>7</v>
      </c>
      <c r="AA9" s="153">
        <f t="shared" si="3"/>
        <v>241</v>
      </c>
      <c r="AB9" s="94" t="str">
        <f t="shared" si="4"/>
        <v>Philipsen</v>
      </c>
    </row>
    <row r="10" spans="2:28">
      <c r="B10" s="294" t="s">
        <v>249</v>
      </c>
      <c r="C10" s="292" t="s">
        <v>239</v>
      </c>
      <c r="D10" s="223" t="s">
        <v>10</v>
      </c>
      <c r="E10" s="98">
        <f t="shared" si="0"/>
        <v>0</v>
      </c>
      <c r="F10" s="98">
        <f t="shared" si="1"/>
        <v>39</v>
      </c>
      <c r="G10" s="98">
        <f t="shared" si="1"/>
        <v>26</v>
      </c>
      <c r="H10" s="98">
        <f t="shared" si="1"/>
        <v>17</v>
      </c>
      <c r="I10" s="98">
        <f t="shared" si="1"/>
        <v>21</v>
      </c>
      <c r="J10" s="98">
        <f t="shared" si="1"/>
        <v>4</v>
      </c>
      <c r="K10" s="98">
        <f t="shared" si="1"/>
        <v>4</v>
      </c>
      <c r="L10" s="98">
        <f t="shared" si="1"/>
        <v>4</v>
      </c>
      <c r="M10" s="98">
        <f t="shared" si="1"/>
        <v>4</v>
      </c>
      <c r="N10" s="98">
        <f t="shared" si="1"/>
        <v>4</v>
      </c>
      <c r="O10" s="98">
        <f t="shared" si="1"/>
        <v>4</v>
      </c>
      <c r="P10" s="98">
        <f t="shared" si="1"/>
        <v>3</v>
      </c>
      <c r="Q10" s="98">
        <f t="shared" si="1"/>
        <v>3</v>
      </c>
      <c r="R10" s="98">
        <f t="shared" si="1"/>
        <v>3</v>
      </c>
      <c r="S10" s="98">
        <f t="shared" si="1"/>
        <v>1</v>
      </c>
      <c r="T10" s="98">
        <f t="shared" si="1"/>
        <v>1</v>
      </c>
      <c r="U10" s="98">
        <f t="shared" si="1"/>
        <v>1</v>
      </c>
      <c r="V10" s="98">
        <f t="shared" si="1"/>
        <v>1</v>
      </c>
      <c r="W10" s="98">
        <f t="shared" si="1"/>
        <v>0</v>
      </c>
      <c r="X10" s="98">
        <f t="shared" si="1"/>
        <v>0</v>
      </c>
      <c r="Y10" s="98">
        <f t="shared" si="1"/>
        <v>14</v>
      </c>
      <c r="Z10" s="98">
        <f t="shared" si="2"/>
        <v>1</v>
      </c>
      <c r="AA10" s="153">
        <f t="shared" si="3"/>
        <v>155</v>
      </c>
      <c r="AB10" s="94" t="str">
        <f t="shared" si="4"/>
        <v>Jakobsen</v>
      </c>
    </row>
    <row r="11" spans="2:28">
      <c r="B11" s="294" t="s">
        <v>153</v>
      </c>
      <c r="C11" s="292" t="s">
        <v>154</v>
      </c>
      <c r="D11" s="223" t="s">
        <v>160</v>
      </c>
      <c r="E11" s="98">
        <f t="shared" si="0"/>
        <v>0</v>
      </c>
      <c r="F11" s="98">
        <f t="shared" si="1"/>
        <v>0</v>
      </c>
      <c r="G11" s="98">
        <f t="shared" si="1"/>
        <v>0</v>
      </c>
      <c r="H11" s="98">
        <f t="shared" si="1"/>
        <v>0</v>
      </c>
      <c r="I11" s="98">
        <f t="shared" si="1"/>
        <v>0</v>
      </c>
      <c r="J11" s="98">
        <f t="shared" si="1"/>
        <v>15</v>
      </c>
      <c r="K11" s="98">
        <f t="shared" si="1"/>
        <v>21</v>
      </c>
      <c r="L11" s="98">
        <f t="shared" si="1"/>
        <v>12</v>
      </c>
      <c r="M11" s="98">
        <f t="shared" si="1"/>
        <v>20</v>
      </c>
      <c r="N11" s="98">
        <f t="shared" si="1"/>
        <v>2</v>
      </c>
      <c r="O11" s="98">
        <f t="shared" si="1"/>
        <v>12</v>
      </c>
      <c r="P11" s="98">
        <f t="shared" si="1"/>
        <v>20</v>
      </c>
      <c r="Q11" s="98">
        <f t="shared" si="1"/>
        <v>2</v>
      </c>
      <c r="R11" s="98">
        <f t="shared" si="1"/>
        <v>1</v>
      </c>
      <c r="S11" s="98">
        <f t="shared" si="1"/>
        <v>1</v>
      </c>
      <c r="T11" s="98">
        <f t="shared" si="1"/>
        <v>0</v>
      </c>
      <c r="U11" s="98">
        <f t="shared" si="1"/>
        <v>15</v>
      </c>
      <c r="V11" s="98">
        <f t="shared" si="1"/>
        <v>7</v>
      </c>
      <c r="W11" s="98">
        <f t="shared" si="1"/>
        <v>0</v>
      </c>
      <c r="X11" s="98">
        <f t="shared" si="1"/>
        <v>0</v>
      </c>
      <c r="Y11" s="98">
        <f t="shared" si="1"/>
        <v>0</v>
      </c>
      <c r="Z11" s="98">
        <f t="shared" si="2"/>
        <v>0</v>
      </c>
      <c r="AA11" s="153">
        <f t="shared" si="3"/>
        <v>128</v>
      </c>
      <c r="AB11" s="94" t="str">
        <f t="shared" si="4"/>
        <v>Mas</v>
      </c>
    </row>
    <row r="12" spans="2:28">
      <c r="B12" s="294" t="s">
        <v>305</v>
      </c>
      <c r="C12" s="292" t="s">
        <v>91</v>
      </c>
      <c r="D12" s="223" t="s">
        <v>10</v>
      </c>
      <c r="E12" s="98">
        <f t="shared" si="0"/>
        <v>0</v>
      </c>
      <c r="F12" s="98">
        <f t="shared" si="1"/>
        <v>15</v>
      </c>
      <c r="G12" s="98">
        <f t="shared" si="1"/>
        <v>15</v>
      </c>
      <c r="H12" s="98">
        <f t="shared" si="1"/>
        <v>24</v>
      </c>
      <c r="I12" s="98">
        <f t="shared" si="1"/>
        <v>0</v>
      </c>
      <c r="J12" s="98">
        <f t="shared" si="1"/>
        <v>0</v>
      </c>
      <c r="K12" s="98">
        <f t="shared" si="1"/>
        <v>0</v>
      </c>
      <c r="L12" s="98">
        <f t="shared" si="1"/>
        <v>0</v>
      </c>
      <c r="M12" s="98">
        <f t="shared" si="1"/>
        <v>0</v>
      </c>
      <c r="N12" s="98">
        <f t="shared" si="1"/>
        <v>0</v>
      </c>
      <c r="O12" s="98">
        <f t="shared" si="1"/>
        <v>0</v>
      </c>
      <c r="P12" s="98">
        <f t="shared" si="1"/>
        <v>0</v>
      </c>
      <c r="Q12" s="98">
        <f t="shared" si="1"/>
        <v>12</v>
      </c>
      <c r="R12" s="98">
        <f t="shared" si="1"/>
        <v>0</v>
      </c>
      <c r="S12" s="98">
        <f t="shared" si="1"/>
        <v>13</v>
      </c>
      <c r="T12" s="98">
        <f t="shared" si="1"/>
        <v>0</v>
      </c>
      <c r="U12" s="98">
        <f t="shared" si="1"/>
        <v>0</v>
      </c>
      <c r="V12" s="98">
        <f t="shared" si="1"/>
        <v>0</v>
      </c>
      <c r="W12" s="98">
        <f t="shared" si="1"/>
        <v>11</v>
      </c>
      <c r="X12" s="98">
        <f t="shared" si="1"/>
        <v>0</v>
      </c>
      <c r="Y12" s="98">
        <f t="shared" si="1"/>
        <v>26</v>
      </c>
      <c r="Z12" s="98">
        <f t="shared" si="2"/>
        <v>0</v>
      </c>
      <c r="AA12" s="153">
        <f t="shared" si="3"/>
        <v>116</v>
      </c>
      <c r="AB12" s="94" t="str">
        <f t="shared" si="4"/>
        <v>Kristoff</v>
      </c>
    </row>
    <row r="13" spans="2:28">
      <c r="B13" s="294" t="s">
        <v>345</v>
      </c>
      <c r="C13" s="292" t="s">
        <v>346</v>
      </c>
      <c r="D13" s="223" t="s">
        <v>106</v>
      </c>
      <c r="E13" s="98">
        <f t="shared" si="0"/>
        <v>0</v>
      </c>
      <c r="F13" s="98">
        <f t="shared" si="1"/>
        <v>0</v>
      </c>
      <c r="G13" s="98">
        <f t="shared" si="1"/>
        <v>0</v>
      </c>
      <c r="H13" s="98">
        <f t="shared" si="1"/>
        <v>0</v>
      </c>
      <c r="I13" s="98">
        <f t="shared" si="1"/>
        <v>0</v>
      </c>
      <c r="J13" s="98">
        <f t="shared" si="1"/>
        <v>0</v>
      </c>
      <c r="K13" s="98">
        <f t="shared" si="1"/>
        <v>0</v>
      </c>
      <c r="L13" s="98">
        <f t="shared" si="1"/>
        <v>0</v>
      </c>
      <c r="M13" s="98">
        <f t="shared" si="1"/>
        <v>0</v>
      </c>
      <c r="N13" s="98">
        <f t="shared" si="1"/>
        <v>0</v>
      </c>
      <c r="O13" s="98">
        <f t="shared" si="1"/>
        <v>0</v>
      </c>
      <c r="P13" s="98">
        <f t="shared" si="1"/>
        <v>0</v>
      </c>
      <c r="Q13" s="98">
        <f t="shared" si="1"/>
        <v>0</v>
      </c>
      <c r="R13" s="98">
        <f t="shared" si="1"/>
        <v>0</v>
      </c>
      <c r="S13" s="98">
        <f t="shared" si="1"/>
        <v>0</v>
      </c>
      <c r="T13" s="98">
        <f t="shared" si="1"/>
        <v>0</v>
      </c>
      <c r="U13" s="98">
        <f t="shared" si="1"/>
        <v>0</v>
      </c>
      <c r="V13" s="98">
        <f t="shared" si="1"/>
        <v>0</v>
      </c>
      <c r="W13" s="98">
        <f t="shared" si="1"/>
        <v>0</v>
      </c>
      <c r="X13" s="98">
        <f t="shared" si="1"/>
        <v>0</v>
      </c>
      <c r="Y13" s="98">
        <f t="shared" si="1"/>
        <v>0</v>
      </c>
      <c r="Z13" s="98">
        <f t="shared" si="2"/>
        <v>0</v>
      </c>
      <c r="AA13" s="153">
        <f t="shared" si="3"/>
        <v>0</v>
      </c>
      <c r="AB13" s="94" t="str">
        <f t="shared" si="4"/>
        <v>Cosnefroy</v>
      </c>
    </row>
    <row r="14" spans="2:28">
      <c r="B14" s="294" t="s">
        <v>272</v>
      </c>
      <c r="C14" s="292" t="s">
        <v>213</v>
      </c>
      <c r="D14" s="223" t="s">
        <v>160</v>
      </c>
      <c r="E14" s="98">
        <f t="shared" ref="E14:T20" si="5">INDEX(scorematrix,MATCH($C14,renners,0),MATCH(E$3,etappes,0))</f>
        <v>0</v>
      </c>
      <c r="F14" s="98">
        <f t="shared" si="5"/>
        <v>0</v>
      </c>
      <c r="G14" s="98">
        <f t="shared" si="5"/>
        <v>0</v>
      </c>
      <c r="H14" s="98">
        <f t="shared" si="5"/>
        <v>0</v>
      </c>
      <c r="I14" s="98">
        <f t="shared" si="5"/>
        <v>0</v>
      </c>
      <c r="J14" s="98">
        <f t="shared" si="5"/>
        <v>0</v>
      </c>
      <c r="K14" s="98">
        <f t="shared" si="5"/>
        <v>0</v>
      </c>
      <c r="L14" s="98">
        <f t="shared" si="5"/>
        <v>0</v>
      </c>
      <c r="M14" s="98">
        <f t="shared" si="5"/>
        <v>0</v>
      </c>
      <c r="N14" s="98">
        <f t="shared" si="5"/>
        <v>0</v>
      </c>
      <c r="O14" s="98">
        <f t="shared" si="5"/>
        <v>0</v>
      </c>
      <c r="P14" s="98">
        <f t="shared" si="5"/>
        <v>0</v>
      </c>
      <c r="Q14" s="98">
        <f t="shared" si="5"/>
        <v>0</v>
      </c>
      <c r="R14" s="98">
        <f t="shared" si="5"/>
        <v>0</v>
      </c>
      <c r="S14" s="98">
        <f t="shared" si="5"/>
        <v>0</v>
      </c>
      <c r="T14" s="98">
        <f t="shared" si="5"/>
        <v>0</v>
      </c>
      <c r="U14" s="98">
        <f t="shared" si="1"/>
        <v>0</v>
      </c>
      <c r="V14" s="98">
        <f t="shared" si="1"/>
        <v>0</v>
      </c>
      <c r="W14" s="98">
        <f t="shared" si="1"/>
        <v>0</v>
      </c>
      <c r="X14" s="98">
        <f t="shared" si="1"/>
        <v>0</v>
      </c>
      <c r="Y14" s="98">
        <f t="shared" si="1"/>
        <v>0</v>
      </c>
      <c r="Z14" s="98">
        <f t="shared" si="2"/>
        <v>0</v>
      </c>
      <c r="AA14" s="153">
        <f t="shared" si="3"/>
        <v>0</v>
      </c>
      <c r="AB14" s="94" t="str">
        <f t="shared" si="4"/>
        <v>O'Connor</v>
      </c>
    </row>
    <row r="15" spans="2:28">
      <c r="B15" s="294" t="s">
        <v>203</v>
      </c>
      <c r="C15" s="292" t="s">
        <v>202</v>
      </c>
      <c r="D15" s="223" t="s">
        <v>10</v>
      </c>
      <c r="E15" s="98">
        <f t="shared" si="5"/>
        <v>25</v>
      </c>
      <c r="F15" s="98">
        <f t="shared" si="1"/>
        <v>35</v>
      </c>
      <c r="G15" s="98">
        <f t="shared" si="1"/>
        <v>21</v>
      </c>
      <c r="H15" s="98">
        <f t="shared" si="1"/>
        <v>21</v>
      </c>
      <c r="I15" s="98">
        <f t="shared" si="1"/>
        <v>5</v>
      </c>
      <c r="J15" s="98">
        <f t="shared" si="1"/>
        <v>0</v>
      </c>
      <c r="K15" s="98">
        <f t="shared" si="1"/>
        <v>0</v>
      </c>
      <c r="L15" s="98">
        <f t="shared" si="1"/>
        <v>0</v>
      </c>
      <c r="M15" s="98">
        <f t="shared" si="1"/>
        <v>0</v>
      </c>
      <c r="N15" s="98">
        <f t="shared" si="1"/>
        <v>0</v>
      </c>
      <c r="O15" s="98">
        <f t="shared" si="1"/>
        <v>0</v>
      </c>
      <c r="P15" s="98">
        <f t="shared" si="1"/>
        <v>0</v>
      </c>
      <c r="Q15" s="98">
        <f t="shared" si="1"/>
        <v>37</v>
      </c>
      <c r="R15" s="98">
        <f t="shared" si="1"/>
        <v>2</v>
      </c>
      <c r="S15" s="98">
        <f t="shared" si="1"/>
        <v>28</v>
      </c>
      <c r="T15" s="98">
        <f t="shared" si="1"/>
        <v>2</v>
      </c>
      <c r="U15" s="98">
        <f t="shared" si="1"/>
        <v>2</v>
      </c>
      <c r="V15" s="98">
        <f t="shared" si="1"/>
        <v>2</v>
      </c>
      <c r="W15" s="98">
        <f t="shared" si="1"/>
        <v>1</v>
      </c>
      <c r="X15" s="98">
        <f t="shared" si="1"/>
        <v>1</v>
      </c>
      <c r="Y15" s="98">
        <f t="shared" si="1"/>
        <v>0</v>
      </c>
      <c r="Z15" s="98">
        <f t="shared" si="2"/>
        <v>0</v>
      </c>
      <c r="AA15" s="153">
        <f t="shared" si="3"/>
        <v>182</v>
      </c>
      <c r="AB15" s="94" t="str">
        <f t="shared" si="4"/>
        <v>Pedersen</v>
      </c>
    </row>
    <row r="16" spans="2:28">
      <c r="B16" s="294" t="s">
        <v>207</v>
      </c>
      <c r="C16" s="292" t="s">
        <v>112</v>
      </c>
      <c r="D16" s="223" t="s">
        <v>10</v>
      </c>
      <c r="E16" s="98">
        <f t="shared" si="5"/>
        <v>9</v>
      </c>
      <c r="F16" s="98">
        <f t="shared" si="1"/>
        <v>0</v>
      </c>
      <c r="G16" s="98">
        <f t="shared" si="1"/>
        <v>0</v>
      </c>
      <c r="H16" s="98">
        <f t="shared" si="1"/>
        <v>17</v>
      </c>
      <c r="I16" s="98">
        <f t="shared" si="1"/>
        <v>0</v>
      </c>
      <c r="J16" s="98">
        <f t="shared" si="1"/>
        <v>30</v>
      </c>
      <c r="K16" s="98">
        <f t="shared" si="1"/>
        <v>0</v>
      </c>
      <c r="L16" s="98">
        <f t="shared" si="1"/>
        <v>30</v>
      </c>
      <c r="M16" s="98">
        <f t="shared" si="1"/>
        <v>0</v>
      </c>
      <c r="N16" s="98">
        <f t="shared" si="1"/>
        <v>0</v>
      </c>
      <c r="O16" s="98">
        <f t="shared" si="1"/>
        <v>0</v>
      </c>
      <c r="P16" s="98">
        <f t="shared" si="1"/>
        <v>0</v>
      </c>
      <c r="Q16" s="98">
        <f t="shared" si="1"/>
        <v>0</v>
      </c>
      <c r="R16" s="98">
        <f t="shared" si="1"/>
        <v>35</v>
      </c>
      <c r="S16" s="98">
        <f t="shared" si="1"/>
        <v>0</v>
      </c>
      <c r="T16" s="98">
        <f t="shared" si="1"/>
        <v>0</v>
      </c>
      <c r="U16" s="98">
        <f t="shared" si="1"/>
        <v>0</v>
      </c>
      <c r="V16" s="98">
        <f t="shared" si="1"/>
        <v>0</v>
      </c>
      <c r="W16" s="98">
        <f t="shared" si="1"/>
        <v>0</v>
      </c>
      <c r="X16" s="98">
        <f t="shared" si="1"/>
        <v>0</v>
      </c>
      <c r="Y16" s="98">
        <f t="shared" si="1"/>
        <v>0</v>
      </c>
      <c r="Z16" s="98">
        <f t="shared" si="2"/>
        <v>0</v>
      </c>
      <c r="AA16" s="153">
        <f t="shared" si="3"/>
        <v>121</v>
      </c>
      <c r="AB16" s="94" t="str">
        <f t="shared" si="4"/>
        <v>Matthews</v>
      </c>
    </row>
    <row r="17" spans="2:28">
      <c r="B17" s="294" t="s">
        <v>347</v>
      </c>
      <c r="C17" s="292" t="s">
        <v>348</v>
      </c>
      <c r="D17" s="223" t="s">
        <v>10</v>
      </c>
      <c r="E17" s="98">
        <f t="shared" si="5"/>
        <v>0</v>
      </c>
      <c r="F17" s="98">
        <f t="shared" si="1"/>
        <v>16</v>
      </c>
      <c r="G17" s="98">
        <f t="shared" si="1"/>
        <v>18</v>
      </c>
      <c r="H17" s="98">
        <f t="shared" si="1"/>
        <v>18</v>
      </c>
      <c r="I17" s="98">
        <f t="shared" si="1"/>
        <v>6</v>
      </c>
      <c r="J17" s="98">
        <f t="shared" si="1"/>
        <v>0</v>
      </c>
      <c r="K17" s="98">
        <f t="shared" si="1"/>
        <v>0</v>
      </c>
      <c r="L17" s="98">
        <f t="shared" si="1"/>
        <v>0</v>
      </c>
      <c r="M17" s="98">
        <f t="shared" si="1"/>
        <v>0</v>
      </c>
      <c r="N17" s="98">
        <f t="shared" si="1"/>
        <v>0</v>
      </c>
      <c r="O17" s="98">
        <f t="shared" si="1"/>
        <v>0</v>
      </c>
      <c r="P17" s="98">
        <f t="shared" si="1"/>
        <v>0</v>
      </c>
      <c r="Q17" s="98">
        <f t="shared" si="1"/>
        <v>0</v>
      </c>
      <c r="R17" s="98">
        <f t="shared" si="1"/>
        <v>0</v>
      </c>
      <c r="S17" s="98">
        <f t="shared" si="1"/>
        <v>11</v>
      </c>
      <c r="T17" s="98">
        <f t="shared" si="1"/>
        <v>0</v>
      </c>
      <c r="U17" s="98">
        <f t="shared" si="1"/>
        <v>0</v>
      </c>
      <c r="V17" s="98">
        <f t="shared" si="1"/>
        <v>0</v>
      </c>
      <c r="W17" s="98">
        <f t="shared" si="1"/>
        <v>18</v>
      </c>
      <c r="X17" s="98">
        <f t="shared" si="1"/>
        <v>0</v>
      </c>
      <c r="Y17" s="98">
        <f t="shared" si="1"/>
        <v>17</v>
      </c>
      <c r="Z17" s="98">
        <f t="shared" si="2"/>
        <v>0</v>
      </c>
      <c r="AA17" s="153">
        <f t="shared" si="3"/>
        <v>104</v>
      </c>
      <c r="AB17" s="94" t="str">
        <f t="shared" si="4"/>
        <v>Hofstetter</v>
      </c>
    </row>
    <row r="18" spans="2:28">
      <c r="B18" s="294" t="s">
        <v>143</v>
      </c>
      <c r="C18" s="292" t="s">
        <v>44</v>
      </c>
      <c r="D18" s="223" t="s">
        <v>160</v>
      </c>
      <c r="E18" s="98">
        <f t="shared" si="5"/>
        <v>0</v>
      </c>
      <c r="F18" s="98">
        <f t="shared" si="1"/>
        <v>0</v>
      </c>
      <c r="G18" s="98">
        <f t="shared" si="1"/>
        <v>0</v>
      </c>
      <c r="H18" s="98">
        <f t="shared" si="1"/>
        <v>0</v>
      </c>
      <c r="I18" s="98">
        <f t="shared" si="1"/>
        <v>0</v>
      </c>
      <c r="J18" s="98">
        <f t="shared" si="1"/>
        <v>7</v>
      </c>
      <c r="K18" s="98">
        <f t="shared" ref="F18:Z20" si="6">INDEX(scorematrix,MATCH($C18,renners,0),MATCH(K$3,etappes,0))</f>
        <v>13</v>
      </c>
      <c r="L18" s="98">
        <f t="shared" si="6"/>
        <v>13</v>
      </c>
      <c r="M18" s="98">
        <f t="shared" si="6"/>
        <v>0</v>
      </c>
      <c r="N18" s="340">
        <f t="shared" si="6"/>
        <v>0</v>
      </c>
      <c r="O18" s="340">
        <f t="shared" si="6"/>
        <v>0</v>
      </c>
      <c r="P18" s="340">
        <f t="shared" si="6"/>
        <v>0</v>
      </c>
      <c r="Q18" s="340">
        <f t="shared" si="6"/>
        <v>0</v>
      </c>
      <c r="R18" s="340">
        <f t="shared" si="6"/>
        <v>0</v>
      </c>
      <c r="S18" s="340">
        <f t="shared" si="6"/>
        <v>0</v>
      </c>
      <c r="T18" s="340">
        <f t="shared" si="6"/>
        <v>0</v>
      </c>
      <c r="U18" s="340">
        <f t="shared" si="6"/>
        <v>0</v>
      </c>
      <c r="V18" s="340">
        <f t="shared" si="6"/>
        <v>0</v>
      </c>
      <c r="W18" s="340">
        <f t="shared" si="6"/>
        <v>0</v>
      </c>
      <c r="X18" s="340">
        <f t="shared" si="6"/>
        <v>0</v>
      </c>
      <c r="Y18" s="340">
        <f t="shared" si="6"/>
        <v>0</v>
      </c>
      <c r="Z18" s="340">
        <f t="shared" si="6"/>
        <v>0</v>
      </c>
      <c r="AA18" s="153">
        <f t="shared" si="3"/>
        <v>33</v>
      </c>
      <c r="AB18" s="94" t="str">
        <f t="shared" si="4"/>
        <v>Martin</v>
      </c>
    </row>
    <row r="19" spans="2:28">
      <c r="B19" s="294" t="s">
        <v>255</v>
      </c>
      <c r="C19" s="292" t="s">
        <v>216</v>
      </c>
      <c r="D19" s="223" t="s">
        <v>106</v>
      </c>
      <c r="E19" s="98">
        <f t="shared" si="5"/>
        <v>0</v>
      </c>
      <c r="F19" s="98">
        <f t="shared" si="6"/>
        <v>0</v>
      </c>
      <c r="G19" s="98">
        <f t="shared" si="6"/>
        <v>0</v>
      </c>
      <c r="H19" s="98">
        <f t="shared" si="6"/>
        <v>0</v>
      </c>
      <c r="I19" s="98">
        <f t="shared" si="6"/>
        <v>0</v>
      </c>
      <c r="J19" s="98">
        <f t="shared" si="6"/>
        <v>0</v>
      </c>
      <c r="K19" s="340">
        <f t="shared" si="6"/>
        <v>0</v>
      </c>
      <c r="L19" s="340">
        <f t="shared" si="6"/>
        <v>0</v>
      </c>
      <c r="M19" s="340">
        <f t="shared" si="6"/>
        <v>0</v>
      </c>
      <c r="N19" s="340">
        <f t="shared" si="6"/>
        <v>0</v>
      </c>
      <c r="O19" s="340">
        <f t="shared" si="6"/>
        <v>0</v>
      </c>
      <c r="P19" s="340">
        <f t="shared" si="6"/>
        <v>0</v>
      </c>
      <c r="Q19" s="340">
        <f t="shared" si="6"/>
        <v>0</v>
      </c>
      <c r="R19" s="340">
        <f t="shared" si="6"/>
        <v>0</v>
      </c>
      <c r="S19" s="340">
        <f t="shared" si="6"/>
        <v>0</v>
      </c>
      <c r="T19" s="340">
        <f t="shared" si="6"/>
        <v>0</v>
      </c>
      <c r="U19" s="340">
        <f t="shared" si="6"/>
        <v>0</v>
      </c>
      <c r="V19" s="340">
        <f t="shared" si="6"/>
        <v>0</v>
      </c>
      <c r="W19" s="340">
        <f t="shared" si="6"/>
        <v>0</v>
      </c>
      <c r="X19" s="340">
        <f t="shared" si="6"/>
        <v>0</v>
      </c>
      <c r="Y19" s="340">
        <f t="shared" si="6"/>
        <v>0</v>
      </c>
      <c r="Z19" s="340">
        <f t="shared" si="6"/>
        <v>0</v>
      </c>
      <c r="AA19" s="153">
        <f t="shared" si="3"/>
        <v>0</v>
      </c>
      <c r="AB19" s="94" t="str">
        <f>C19</f>
        <v>Asgreen</v>
      </c>
    </row>
    <row r="20" spans="2:28" s="140" customFormat="1" ht="14.4" thickBot="1">
      <c r="B20" s="294" t="s">
        <v>254</v>
      </c>
      <c r="C20" s="292" t="s">
        <v>70</v>
      </c>
      <c r="D20" s="223" t="s">
        <v>10</v>
      </c>
      <c r="E20" s="98">
        <f t="shared" si="5"/>
        <v>0</v>
      </c>
      <c r="F20" s="98">
        <f t="shared" si="6"/>
        <v>22</v>
      </c>
      <c r="G20" s="98">
        <f t="shared" si="6"/>
        <v>26</v>
      </c>
      <c r="H20" s="98">
        <f t="shared" si="6"/>
        <v>25</v>
      </c>
      <c r="I20" s="98">
        <f t="shared" si="6"/>
        <v>2</v>
      </c>
      <c r="J20" s="98">
        <f t="shared" si="6"/>
        <v>1</v>
      </c>
      <c r="K20" s="98">
        <f t="shared" si="6"/>
        <v>0</v>
      </c>
      <c r="L20" s="98">
        <f t="shared" si="6"/>
        <v>0</v>
      </c>
      <c r="M20" s="98">
        <f t="shared" si="6"/>
        <v>0</v>
      </c>
      <c r="N20" s="98">
        <f t="shared" si="6"/>
        <v>0</v>
      </c>
      <c r="O20" s="98">
        <f t="shared" si="6"/>
        <v>0</v>
      </c>
      <c r="P20" s="98">
        <f t="shared" si="6"/>
        <v>0</v>
      </c>
      <c r="Q20" s="98">
        <f t="shared" si="6"/>
        <v>0</v>
      </c>
      <c r="R20" s="98">
        <f t="shared" si="6"/>
        <v>0</v>
      </c>
      <c r="S20" s="98">
        <f t="shared" si="6"/>
        <v>24</v>
      </c>
      <c r="T20" s="98">
        <f t="shared" si="6"/>
        <v>0</v>
      </c>
      <c r="U20" s="98">
        <f t="shared" si="6"/>
        <v>0</v>
      </c>
      <c r="V20" s="98">
        <f t="shared" si="6"/>
        <v>0</v>
      </c>
      <c r="W20" s="98">
        <f t="shared" si="6"/>
        <v>0</v>
      </c>
      <c r="X20" s="98">
        <f t="shared" si="6"/>
        <v>0</v>
      </c>
      <c r="Y20" s="98">
        <f t="shared" si="6"/>
        <v>22</v>
      </c>
      <c r="Z20" s="98">
        <f t="shared" si="6"/>
        <v>0</v>
      </c>
      <c r="AA20" s="153">
        <f t="shared" si="3"/>
        <v>122</v>
      </c>
      <c r="AB20" s="94" t="str">
        <f>C20</f>
        <v>Sagan</v>
      </c>
    </row>
    <row r="21" spans="2:28" s="141" customFormat="1">
      <c r="B21" s="291"/>
      <c r="C21" s="288"/>
      <c r="D21" s="148"/>
      <c r="E21" s="150"/>
      <c r="F21" s="150"/>
      <c r="G21" s="150"/>
      <c r="H21" s="150"/>
      <c r="I21" s="150"/>
      <c r="J21" s="150"/>
      <c r="K21" s="150">
        <f>-K19-K7+K24+K25</f>
        <v>11</v>
      </c>
      <c r="L21" s="150">
        <f t="shared" ref="L21:M21" si="7">-L19-L7+L24+L25</f>
        <v>11</v>
      </c>
      <c r="M21" s="150">
        <f t="shared" si="7"/>
        <v>17</v>
      </c>
      <c r="N21" s="150">
        <f>-N19-N7+N24+N25+N26-N18</f>
        <v>0</v>
      </c>
      <c r="O21" s="150">
        <f t="shared" ref="O21:Z21" si="8">-O19-O7+O24+O25+O26-O18</f>
        <v>36</v>
      </c>
      <c r="P21" s="150">
        <f t="shared" si="8"/>
        <v>17</v>
      </c>
      <c r="Q21" s="150">
        <f t="shared" si="8"/>
        <v>5</v>
      </c>
      <c r="R21" s="150">
        <f t="shared" si="8"/>
        <v>16</v>
      </c>
      <c r="S21" s="150">
        <f t="shared" si="8"/>
        <v>5</v>
      </c>
      <c r="T21" s="150">
        <f t="shared" si="8"/>
        <v>30</v>
      </c>
      <c r="U21" s="150">
        <f t="shared" si="8"/>
        <v>23</v>
      </c>
      <c r="V21" s="150">
        <f t="shared" si="8"/>
        <v>19</v>
      </c>
      <c r="W21" s="150">
        <f t="shared" si="8"/>
        <v>6</v>
      </c>
      <c r="X21" s="150">
        <f t="shared" si="8"/>
        <v>5</v>
      </c>
      <c r="Y21" s="150">
        <f t="shared" si="8"/>
        <v>16</v>
      </c>
      <c r="Z21" s="150">
        <f t="shared" si="8"/>
        <v>40</v>
      </c>
      <c r="AA21" s="193">
        <f t="shared" si="3"/>
        <v>257</v>
      </c>
    </row>
    <row r="22" spans="2:28" s="97" customFormat="1">
      <c r="B22" s="287"/>
      <c r="C22" s="289"/>
      <c r="D22" s="296"/>
      <c r="E22" s="309">
        <f t="shared" ref="E22:Z22" si="9">SUM(E4:E21)</f>
        <v>129</v>
      </c>
      <c r="F22" s="309">
        <f t="shared" si="9"/>
        <v>210</v>
      </c>
      <c r="G22" s="309">
        <f>SUM(G4:G21)</f>
        <v>196</v>
      </c>
      <c r="H22" s="309">
        <f t="shared" si="9"/>
        <v>224</v>
      </c>
      <c r="I22" s="309">
        <f t="shared" si="9"/>
        <v>106</v>
      </c>
      <c r="J22" s="309">
        <f t="shared" si="9"/>
        <v>112</v>
      </c>
      <c r="K22" s="309">
        <f t="shared" si="9"/>
        <v>98</v>
      </c>
      <c r="L22" s="309">
        <f t="shared" si="9"/>
        <v>162</v>
      </c>
      <c r="M22" s="309">
        <f t="shared" si="9"/>
        <v>77</v>
      </c>
      <c r="N22" s="309">
        <f t="shared" si="9"/>
        <v>19</v>
      </c>
      <c r="O22" s="309">
        <f t="shared" si="9"/>
        <v>122</v>
      </c>
      <c r="P22" s="309">
        <f t="shared" si="9"/>
        <v>88</v>
      </c>
      <c r="Q22" s="309">
        <f t="shared" si="9"/>
        <v>104</v>
      </c>
      <c r="R22" s="309">
        <f t="shared" si="9"/>
        <v>74</v>
      </c>
      <c r="S22" s="309">
        <f t="shared" si="9"/>
        <v>173</v>
      </c>
      <c r="T22" s="309">
        <f t="shared" si="9"/>
        <v>98</v>
      </c>
      <c r="U22" s="309">
        <f t="shared" si="9"/>
        <v>110</v>
      </c>
      <c r="V22" s="309">
        <f t="shared" si="9"/>
        <v>135</v>
      </c>
      <c r="W22" s="309">
        <f t="shared" si="9"/>
        <v>122</v>
      </c>
      <c r="X22" s="309">
        <f t="shared" si="9"/>
        <v>109</v>
      </c>
      <c r="Y22" s="309">
        <f t="shared" si="9"/>
        <v>161</v>
      </c>
      <c r="Z22" s="309">
        <f t="shared" si="9"/>
        <v>183</v>
      </c>
      <c r="AA22" s="190">
        <f>SUM(AA4:AA21)</f>
        <v>2812</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c r="C24" s="293" t="s">
        <v>349</v>
      </c>
      <c r="D24" s="226"/>
      <c r="E24" s="160">
        <f t="shared" ref="E24:Z26" si="10">INDEX(scorematrix,MATCH($C24,renners,0),MATCH(E$3,etappes,0))</f>
        <v>0</v>
      </c>
      <c r="F24" s="160">
        <f t="shared" si="10"/>
        <v>0</v>
      </c>
      <c r="G24" s="160">
        <f t="shared" si="10"/>
        <v>0</v>
      </c>
      <c r="H24" s="160">
        <f t="shared" si="10"/>
        <v>0</v>
      </c>
      <c r="I24" s="160">
        <f t="shared" si="10"/>
        <v>0</v>
      </c>
      <c r="J24" s="160">
        <f t="shared" si="10"/>
        <v>0</v>
      </c>
      <c r="K24" s="338">
        <f t="shared" si="10"/>
        <v>0</v>
      </c>
      <c r="L24" s="338">
        <f t="shared" si="10"/>
        <v>0</v>
      </c>
      <c r="M24" s="338">
        <f t="shared" si="10"/>
        <v>0</v>
      </c>
      <c r="N24" s="338">
        <f t="shared" si="10"/>
        <v>0</v>
      </c>
      <c r="O24" s="338">
        <f t="shared" si="10"/>
        <v>0</v>
      </c>
      <c r="P24" s="338">
        <f t="shared" si="10"/>
        <v>0</v>
      </c>
      <c r="Q24" s="338">
        <f t="shared" si="10"/>
        <v>0</v>
      </c>
      <c r="R24" s="338">
        <f t="shared" si="10"/>
        <v>11</v>
      </c>
      <c r="S24" s="338">
        <f t="shared" si="10"/>
        <v>0</v>
      </c>
      <c r="T24" s="338">
        <f t="shared" si="10"/>
        <v>0</v>
      </c>
      <c r="U24" s="338">
        <f t="shared" si="10"/>
        <v>0</v>
      </c>
      <c r="V24" s="338">
        <f t="shared" si="10"/>
        <v>0</v>
      </c>
      <c r="W24" s="338">
        <f t="shared" si="10"/>
        <v>0</v>
      </c>
      <c r="X24" s="338">
        <f t="shared" si="10"/>
        <v>0</v>
      </c>
      <c r="Y24" s="338">
        <f t="shared" si="10"/>
        <v>0</v>
      </c>
      <c r="Z24" s="338">
        <f t="shared" si="10"/>
        <v>0</v>
      </c>
      <c r="AA24" s="245">
        <f>SUM(E24:Z24)</f>
        <v>11</v>
      </c>
    </row>
    <row r="25" spans="2:28" s="145" customFormat="1">
      <c r="B25" s="295" t="s">
        <v>350</v>
      </c>
      <c r="C25" s="293" t="s">
        <v>127</v>
      </c>
      <c r="D25" s="226"/>
      <c r="E25" s="160">
        <f t="shared" si="10"/>
        <v>0</v>
      </c>
      <c r="F25" s="160">
        <f t="shared" si="10"/>
        <v>0</v>
      </c>
      <c r="G25" s="160">
        <f t="shared" si="10"/>
        <v>0</v>
      </c>
      <c r="H25" s="160">
        <f t="shared" si="10"/>
        <v>0</v>
      </c>
      <c r="I25" s="160">
        <f t="shared" si="10"/>
        <v>12</v>
      </c>
      <c r="J25" s="160">
        <f t="shared" si="10"/>
        <v>22</v>
      </c>
      <c r="K25" s="338">
        <f t="shared" si="10"/>
        <v>11</v>
      </c>
      <c r="L25" s="338">
        <f t="shared" si="10"/>
        <v>11</v>
      </c>
      <c r="M25" s="338">
        <f t="shared" si="10"/>
        <v>17</v>
      </c>
      <c r="N25" s="338">
        <f t="shared" si="10"/>
        <v>0</v>
      </c>
      <c r="O25" s="338">
        <f t="shared" si="10"/>
        <v>36</v>
      </c>
      <c r="P25" s="338">
        <f t="shared" si="10"/>
        <v>17</v>
      </c>
      <c r="Q25" s="338">
        <f t="shared" si="10"/>
        <v>5</v>
      </c>
      <c r="R25" s="338">
        <f t="shared" si="10"/>
        <v>5</v>
      </c>
      <c r="S25" s="338">
        <f t="shared" si="10"/>
        <v>5</v>
      </c>
      <c r="T25" s="338">
        <f t="shared" si="10"/>
        <v>14</v>
      </c>
      <c r="U25" s="338">
        <f t="shared" si="10"/>
        <v>23</v>
      </c>
      <c r="V25" s="338">
        <f t="shared" si="10"/>
        <v>19</v>
      </c>
      <c r="W25" s="338">
        <f t="shared" si="10"/>
        <v>6</v>
      </c>
      <c r="X25" s="338">
        <f t="shared" si="10"/>
        <v>5</v>
      </c>
      <c r="Y25" s="338">
        <f t="shared" si="10"/>
        <v>16</v>
      </c>
      <c r="Z25" s="338">
        <f t="shared" si="10"/>
        <v>40</v>
      </c>
      <c r="AA25" s="245">
        <f>SUM(E25:Z25)</f>
        <v>264</v>
      </c>
    </row>
    <row r="26" spans="2:28" s="145" customFormat="1">
      <c r="B26" s="295" t="s">
        <v>283</v>
      </c>
      <c r="C26" s="293" t="s">
        <v>243</v>
      </c>
      <c r="D26" s="226"/>
      <c r="E26" s="160">
        <f t="shared" si="10"/>
        <v>0</v>
      </c>
      <c r="F26" s="160">
        <f t="shared" si="10"/>
        <v>0</v>
      </c>
      <c r="G26" s="160">
        <f t="shared" si="10"/>
        <v>0</v>
      </c>
      <c r="H26" s="160">
        <f t="shared" si="10"/>
        <v>0</v>
      </c>
      <c r="I26" s="160">
        <f t="shared" si="10"/>
        <v>0</v>
      </c>
      <c r="J26" s="160">
        <f t="shared" si="10"/>
        <v>0</v>
      </c>
      <c r="K26" s="160">
        <f t="shared" si="10"/>
        <v>9</v>
      </c>
      <c r="L26" s="160">
        <f t="shared" si="10"/>
        <v>7</v>
      </c>
      <c r="M26" s="160">
        <f t="shared" si="10"/>
        <v>15</v>
      </c>
      <c r="N26" s="338">
        <f t="shared" si="10"/>
        <v>0</v>
      </c>
      <c r="O26" s="338">
        <f t="shared" si="10"/>
        <v>0</v>
      </c>
      <c r="P26" s="338">
        <f t="shared" si="10"/>
        <v>0</v>
      </c>
      <c r="Q26" s="338">
        <f t="shared" si="10"/>
        <v>0</v>
      </c>
      <c r="R26" s="338">
        <f t="shared" si="10"/>
        <v>0</v>
      </c>
      <c r="S26" s="338">
        <f t="shared" si="10"/>
        <v>0</v>
      </c>
      <c r="T26" s="338">
        <f t="shared" si="10"/>
        <v>16</v>
      </c>
      <c r="U26" s="338">
        <f t="shared" si="10"/>
        <v>0</v>
      </c>
      <c r="V26" s="338">
        <f t="shared" si="10"/>
        <v>0</v>
      </c>
      <c r="W26" s="338">
        <f t="shared" si="10"/>
        <v>0</v>
      </c>
      <c r="X26" s="338">
        <f t="shared" si="10"/>
        <v>0</v>
      </c>
      <c r="Y26" s="338">
        <f t="shared" si="10"/>
        <v>0</v>
      </c>
      <c r="Z26" s="338">
        <f t="shared" si="10"/>
        <v>0</v>
      </c>
      <c r="AA26" s="245">
        <f>SUM(E26:Z26)</f>
        <v>47</v>
      </c>
    </row>
    <row r="28" spans="2:28">
      <c r="C28" s="246" t="s">
        <v>160</v>
      </c>
      <c r="D28" s="247">
        <f>COUNTIF($D$4:$D$21,C28)</f>
        <v>5</v>
      </c>
    </row>
    <row r="29" spans="2:28">
      <c r="C29" s="248" t="s">
        <v>10</v>
      </c>
      <c r="D29" s="247">
        <f>COUNTIF($D$4:$D$21,C29)</f>
        <v>7</v>
      </c>
    </row>
    <row r="30" spans="2:28">
      <c r="C30" s="248" t="s">
        <v>106</v>
      </c>
      <c r="D30" s="247">
        <f>COUNTIF($D$4:$D$21,C30)</f>
        <v>5</v>
      </c>
    </row>
  </sheetData>
  <sheetProtection selectLockedCells="1"/>
  <sortState xmlns:xlrd2="http://schemas.microsoft.com/office/spreadsheetml/2017/richdata2" ref="C4:D20">
    <sortCondition ref="D4:D20"/>
    <sortCondition ref="C4:C20"/>
  </sortState>
  <dataValidations count="1">
    <dataValidation type="list" allowBlank="1" showInputMessage="1" showErrorMessage="1" prompt="selecteer type renner:" sqref="D4:D20" xr:uid="{00000000-0002-0000-1000-000000000000}">
      <formula1>type_renner</formula1>
    </dataValidation>
  </dataValidation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6">
    <tabColor indexed="12"/>
  </sheetPr>
  <dimension ref="B1:AB30"/>
  <sheetViews>
    <sheetView showZeros="0" workbookViewId="0">
      <selection activeCell="R10" sqref="R10"/>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167" t="s">
        <v>166</v>
      </c>
      <c r="D1" s="220"/>
    </row>
    <row r="2" spans="2:28">
      <c r="B2" s="146"/>
      <c r="C2" s="250"/>
      <c r="D2" s="147"/>
      <c r="H2" s="112"/>
    </row>
    <row r="3" spans="2:28" s="110" customFormat="1" ht="14.4" thickBot="1">
      <c r="B3" s="251"/>
      <c r="C3" s="316" t="s">
        <v>326</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c r="C4" s="292" t="s">
        <v>216</v>
      </c>
      <c r="D4" s="223"/>
      <c r="E4" s="98">
        <f t="shared" ref="E4:R19" si="0">INDEX(scorematrix,MATCH($C4,renners,0),MATCH(E$3,etappes,0))</f>
        <v>0</v>
      </c>
      <c r="F4" s="98">
        <f t="shared" si="0"/>
        <v>0</v>
      </c>
      <c r="G4" s="98">
        <f t="shared" si="0"/>
        <v>0</v>
      </c>
      <c r="H4" s="98">
        <f t="shared" si="0"/>
        <v>0</v>
      </c>
      <c r="I4" s="98">
        <f t="shared" si="0"/>
        <v>0</v>
      </c>
      <c r="J4" s="98">
        <f t="shared" si="0"/>
        <v>0</v>
      </c>
      <c r="K4" s="98">
        <f t="shared" si="0"/>
        <v>0</v>
      </c>
      <c r="L4" s="98">
        <f t="shared" si="0"/>
        <v>0</v>
      </c>
      <c r="M4" s="98">
        <f t="shared" si="0"/>
        <v>0</v>
      </c>
      <c r="N4" s="340">
        <f t="shared" si="0"/>
        <v>0</v>
      </c>
      <c r="O4" s="340">
        <f t="shared" si="0"/>
        <v>0</v>
      </c>
      <c r="P4" s="340">
        <f t="shared" si="0"/>
        <v>0</v>
      </c>
      <c r="Q4" s="340">
        <f t="shared" si="0"/>
        <v>0</v>
      </c>
      <c r="R4" s="340">
        <f t="shared" si="0"/>
        <v>0</v>
      </c>
      <c r="S4" s="340">
        <f t="shared" ref="F4:Y17" si="1">INDEX(scorematrix,MATCH($C4,renners,0),MATCH(S$3,etappes,0))</f>
        <v>0</v>
      </c>
      <c r="T4" s="340">
        <f t="shared" si="1"/>
        <v>0</v>
      </c>
      <c r="U4" s="340">
        <f t="shared" si="1"/>
        <v>0</v>
      </c>
      <c r="V4" s="340">
        <f t="shared" si="1"/>
        <v>0</v>
      </c>
      <c r="W4" s="340">
        <f t="shared" si="1"/>
        <v>0</v>
      </c>
      <c r="X4" s="340">
        <f t="shared" si="1"/>
        <v>0</v>
      </c>
      <c r="Y4" s="340">
        <f t="shared" si="1"/>
        <v>0</v>
      </c>
      <c r="Z4" s="340">
        <f t="shared" ref="Z4:Z19" si="2">INDEX(scorematrix,MATCH($C4,renners,0),MATCH(Z$3,etappes,0))</f>
        <v>0</v>
      </c>
      <c r="AA4" s="153">
        <f t="shared" ref="AA4:AA21" si="3">SUM(E4:Z4)</f>
        <v>0</v>
      </c>
      <c r="AB4" s="94" t="str">
        <f t="shared" ref="AB4:AB20" si="4">C4</f>
        <v>Asgreen</v>
      </c>
    </row>
    <row r="5" spans="2:28">
      <c r="B5" s="294"/>
      <c r="C5" s="292" t="s">
        <v>200</v>
      </c>
      <c r="D5" s="223" t="s">
        <v>160</v>
      </c>
      <c r="E5" s="98">
        <f t="shared" si="0"/>
        <v>0</v>
      </c>
      <c r="F5" s="98">
        <f t="shared" si="1"/>
        <v>0</v>
      </c>
      <c r="G5" s="98">
        <f t="shared" si="1"/>
        <v>0</v>
      </c>
      <c r="H5" s="98">
        <f t="shared" si="1"/>
        <v>0</v>
      </c>
      <c r="I5" s="98">
        <f t="shared" si="1"/>
        <v>0</v>
      </c>
      <c r="J5" s="98">
        <f t="shared" si="1"/>
        <v>28</v>
      </c>
      <c r="K5" s="98">
        <f t="shared" si="1"/>
        <v>26</v>
      </c>
      <c r="L5" s="98">
        <f t="shared" si="1"/>
        <v>20</v>
      </c>
      <c r="M5" s="98">
        <f t="shared" si="1"/>
        <v>19</v>
      </c>
      <c r="N5" s="98">
        <f t="shared" si="1"/>
        <v>5</v>
      </c>
      <c r="O5" s="98">
        <f t="shared" si="1"/>
        <v>26</v>
      </c>
      <c r="P5" s="98">
        <f t="shared" si="1"/>
        <v>17</v>
      </c>
      <c r="Q5" s="98">
        <f t="shared" si="1"/>
        <v>4</v>
      </c>
      <c r="R5" s="98">
        <f t="shared" si="1"/>
        <v>3</v>
      </c>
      <c r="S5" s="98">
        <f t="shared" si="1"/>
        <v>3</v>
      </c>
      <c r="T5" s="98">
        <f t="shared" si="1"/>
        <v>14</v>
      </c>
      <c r="U5" s="98">
        <f t="shared" si="1"/>
        <v>25</v>
      </c>
      <c r="V5" s="98">
        <f t="shared" si="1"/>
        <v>29</v>
      </c>
      <c r="W5" s="98">
        <f t="shared" si="1"/>
        <v>17</v>
      </c>
      <c r="X5" s="98">
        <f t="shared" si="1"/>
        <v>7</v>
      </c>
      <c r="Y5" s="98">
        <f t="shared" si="1"/>
        <v>7</v>
      </c>
      <c r="Z5" s="98">
        <f t="shared" si="2"/>
        <v>48</v>
      </c>
      <c r="AA5" s="153">
        <f t="shared" si="3"/>
        <v>298</v>
      </c>
      <c r="AB5" s="94" t="str">
        <f t="shared" si="4"/>
        <v>Gaudu</v>
      </c>
    </row>
    <row r="6" spans="2:28">
      <c r="B6" s="294"/>
      <c r="C6" s="292" t="s">
        <v>226</v>
      </c>
      <c r="D6" s="223"/>
      <c r="E6" s="98">
        <f t="shared" si="0"/>
        <v>0</v>
      </c>
      <c r="F6" s="98">
        <f t="shared" si="1"/>
        <v>0</v>
      </c>
      <c r="G6" s="98">
        <f t="shared" si="1"/>
        <v>9</v>
      </c>
      <c r="H6" s="98">
        <f t="shared" si="1"/>
        <v>0</v>
      </c>
      <c r="I6" s="98">
        <f t="shared" si="1"/>
        <v>11</v>
      </c>
      <c r="J6" s="98">
        <f t="shared" si="1"/>
        <v>0</v>
      </c>
      <c r="K6" s="98">
        <f t="shared" si="1"/>
        <v>0</v>
      </c>
      <c r="L6" s="98">
        <f t="shared" si="1"/>
        <v>0</v>
      </c>
      <c r="M6" s="98">
        <f t="shared" si="1"/>
        <v>0</v>
      </c>
      <c r="N6" s="98">
        <f t="shared" si="1"/>
        <v>0</v>
      </c>
      <c r="O6" s="98">
        <f t="shared" si="1"/>
        <v>0</v>
      </c>
      <c r="P6" s="98">
        <f t="shared" si="1"/>
        <v>0</v>
      </c>
      <c r="Q6" s="98">
        <f t="shared" si="1"/>
        <v>0</v>
      </c>
      <c r="R6" s="98">
        <f t="shared" si="1"/>
        <v>22</v>
      </c>
      <c r="S6" s="98">
        <f t="shared" si="1"/>
        <v>0</v>
      </c>
      <c r="T6" s="98">
        <f t="shared" si="1"/>
        <v>0</v>
      </c>
      <c r="U6" s="98">
        <f t="shared" si="1"/>
        <v>8</v>
      </c>
      <c r="V6" s="98">
        <f t="shared" si="1"/>
        <v>0</v>
      </c>
      <c r="W6" s="98">
        <f t="shared" si="1"/>
        <v>0</v>
      </c>
      <c r="X6" s="98">
        <f t="shared" si="1"/>
        <v>0</v>
      </c>
      <c r="Y6" s="98">
        <f t="shared" si="1"/>
        <v>0</v>
      </c>
      <c r="Z6" s="98">
        <f t="shared" si="2"/>
        <v>20</v>
      </c>
      <c r="AA6" s="153">
        <f t="shared" si="3"/>
        <v>70</v>
      </c>
      <c r="AB6" s="94" t="str">
        <f t="shared" si="4"/>
        <v>Konrad</v>
      </c>
    </row>
    <row r="7" spans="2:28">
      <c r="B7" s="294"/>
      <c r="C7" s="292" t="s">
        <v>231</v>
      </c>
      <c r="D7" s="223"/>
      <c r="E7" s="98">
        <f t="shared" si="0"/>
        <v>12</v>
      </c>
      <c r="F7" s="98">
        <f t="shared" si="1"/>
        <v>0</v>
      </c>
      <c r="G7" s="98">
        <f t="shared" si="1"/>
        <v>2</v>
      </c>
      <c r="H7" s="98">
        <f t="shared" si="1"/>
        <v>2</v>
      </c>
      <c r="I7" s="98">
        <f t="shared" si="1"/>
        <v>0</v>
      </c>
      <c r="J7" s="98">
        <f t="shared" si="1"/>
        <v>0</v>
      </c>
      <c r="K7" s="98">
        <f t="shared" si="1"/>
        <v>0</v>
      </c>
      <c r="L7" s="98">
        <f t="shared" si="1"/>
        <v>0</v>
      </c>
      <c r="M7" s="98">
        <f t="shared" si="1"/>
        <v>0</v>
      </c>
      <c r="N7" s="98">
        <f t="shared" si="1"/>
        <v>0</v>
      </c>
      <c r="O7" s="98">
        <f t="shared" si="1"/>
        <v>0</v>
      </c>
      <c r="P7" s="98">
        <f t="shared" si="1"/>
        <v>0</v>
      </c>
      <c r="Q7" s="98">
        <f t="shared" si="1"/>
        <v>24</v>
      </c>
      <c r="R7" s="98">
        <f t="shared" si="1"/>
        <v>0</v>
      </c>
      <c r="S7" s="98">
        <f t="shared" si="1"/>
        <v>0</v>
      </c>
      <c r="T7" s="98">
        <f t="shared" si="1"/>
        <v>0</v>
      </c>
      <c r="U7" s="98">
        <f t="shared" si="1"/>
        <v>0</v>
      </c>
      <c r="V7" s="98">
        <f t="shared" si="1"/>
        <v>0</v>
      </c>
      <c r="W7" s="98">
        <f t="shared" si="1"/>
        <v>0</v>
      </c>
      <c r="X7" s="98">
        <f t="shared" si="1"/>
        <v>15</v>
      </c>
      <c r="Y7" s="98">
        <f t="shared" si="1"/>
        <v>10</v>
      </c>
      <c r="Z7" s="98">
        <f t="shared" si="2"/>
        <v>0</v>
      </c>
      <c r="AA7" s="153">
        <f t="shared" si="3"/>
        <v>65</v>
      </c>
      <c r="AB7" s="94" t="str">
        <f t="shared" si="4"/>
        <v>Küng</v>
      </c>
    </row>
    <row r="8" spans="2:28">
      <c r="B8" s="294"/>
      <c r="C8" s="292" t="s">
        <v>154</v>
      </c>
      <c r="D8" s="223" t="s">
        <v>160</v>
      </c>
      <c r="E8" s="98">
        <f t="shared" si="0"/>
        <v>0</v>
      </c>
      <c r="F8" s="98">
        <f t="shared" si="1"/>
        <v>0</v>
      </c>
      <c r="G8" s="98">
        <f t="shared" si="1"/>
        <v>0</v>
      </c>
      <c r="H8" s="98">
        <f t="shared" si="1"/>
        <v>0</v>
      </c>
      <c r="I8" s="98">
        <f t="shared" si="1"/>
        <v>0</v>
      </c>
      <c r="J8" s="98">
        <f t="shared" si="1"/>
        <v>15</v>
      </c>
      <c r="K8" s="98">
        <f t="shared" si="1"/>
        <v>21</v>
      </c>
      <c r="L8" s="98">
        <f t="shared" si="1"/>
        <v>12</v>
      </c>
      <c r="M8" s="98">
        <f t="shared" si="1"/>
        <v>20</v>
      </c>
      <c r="N8" s="98">
        <f t="shared" si="1"/>
        <v>2</v>
      </c>
      <c r="O8" s="98">
        <f t="shared" si="1"/>
        <v>12</v>
      </c>
      <c r="P8" s="98">
        <f t="shared" si="1"/>
        <v>20</v>
      </c>
      <c r="Q8" s="98">
        <f t="shared" si="1"/>
        <v>2</v>
      </c>
      <c r="R8" s="98">
        <f t="shared" si="1"/>
        <v>1</v>
      </c>
      <c r="S8" s="98">
        <f t="shared" si="1"/>
        <v>1</v>
      </c>
      <c r="T8" s="98">
        <f t="shared" si="1"/>
        <v>0</v>
      </c>
      <c r="U8" s="98">
        <f t="shared" si="1"/>
        <v>15</v>
      </c>
      <c r="V8" s="98">
        <f t="shared" si="1"/>
        <v>7</v>
      </c>
      <c r="W8" s="98">
        <f t="shared" si="1"/>
        <v>0</v>
      </c>
      <c r="X8" s="98">
        <f t="shared" si="1"/>
        <v>0</v>
      </c>
      <c r="Y8" s="98">
        <f t="shared" si="1"/>
        <v>0</v>
      </c>
      <c r="Z8" s="98">
        <f t="shared" si="2"/>
        <v>0</v>
      </c>
      <c r="AA8" s="153">
        <f t="shared" si="3"/>
        <v>128</v>
      </c>
      <c r="AB8" s="94" t="str">
        <f t="shared" si="4"/>
        <v>Mas</v>
      </c>
    </row>
    <row r="9" spans="2:28">
      <c r="B9" s="294"/>
      <c r="C9" s="292" t="s">
        <v>112</v>
      </c>
      <c r="D9" s="223" t="s">
        <v>10</v>
      </c>
      <c r="E9" s="98">
        <f t="shared" si="0"/>
        <v>9</v>
      </c>
      <c r="F9" s="98">
        <f t="shared" si="1"/>
        <v>0</v>
      </c>
      <c r="G9" s="98">
        <f t="shared" si="1"/>
        <v>0</v>
      </c>
      <c r="H9" s="98">
        <f t="shared" si="1"/>
        <v>17</v>
      </c>
      <c r="I9" s="98">
        <f t="shared" si="1"/>
        <v>0</v>
      </c>
      <c r="J9" s="98">
        <f t="shared" si="1"/>
        <v>30</v>
      </c>
      <c r="K9" s="98">
        <f t="shared" si="1"/>
        <v>0</v>
      </c>
      <c r="L9" s="98">
        <f t="shared" si="1"/>
        <v>30</v>
      </c>
      <c r="M9" s="98">
        <f t="shared" si="1"/>
        <v>0</v>
      </c>
      <c r="N9" s="98">
        <f t="shared" si="1"/>
        <v>0</v>
      </c>
      <c r="O9" s="98">
        <f t="shared" si="1"/>
        <v>0</v>
      </c>
      <c r="P9" s="98">
        <f t="shared" si="1"/>
        <v>0</v>
      </c>
      <c r="Q9" s="98">
        <f t="shared" si="1"/>
        <v>0</v>
      </c>
      <c r="R9" s="98">
        <f t="shared" si="1"/>
        <v>35</v>
      </c>
      <c r="S9" s="98">
        <f t="shared" si="1"/>
        <v>0</v>
      </c>
      <c r="T9" s="98">
        <f t="shared" si="1"/>
        <v>0</v>
      </c>
      <c r="U9" s="98">
        <f t="shared" si="1"/>
        <v>0</v>
      </c>
      <c r="V9" s="98">
        <f t="shared" si="1"/>
        <v>0</v>
      </c>
      <c r="W9" s="98">
        <f t="shared" si="1"/>
        <v>0</v>
      </c>
      <c r="X9" s="98">
        <f t="shared" si="1"/>
        <v>0</v>
      </c>
      <c r="Y9" s="98">
        <f t="shared" si="1"/>
        <v>0</v>
      </c>
      <c r="Z9" s="98">
        <f t="shared" si="2"/>
        <v>0</v>
      </c>
      <c r="AA9" s="153">
        <f t="shared" si="3"/>
        <v>121</v>
      </c>
      <c r="AB9" s="94" t="str">
        <f t="shared" si="4"/>
        <v>Matthews</v>
      </c>
    </row>
    <row r="10" spans="2:28">
      <c r="B10" s="294"/>
      <c r="C10" s="292" t="s">
        <v>213</v>
      </c>
      <c r="D10" s="223" t="s">
        <v>160</v>
      </c>
      <c r="E10" s="98">
        <f t="shared" si="0"/>
        <v>0</v>
      </c>
      <c r="F10" s="98">
        <f t="shared" si="1"/>
        <v>0</v>
      </c>
      <c r="G10" s="98">
        <f t="shared" si="1"/>
        <v>0</v>
      </c>
      <c r="H10" s="98">
        <f t="shared" si="1"/>
        <v>0</v>
      </c>
      <c r="I10" s="98">
        <f t="shared" si="1"/>
        <v>0</v>
      </c>
      <c r="J10" s="98">
        <f t="shared" si="1"/>
        <v>0</v>
      </c>
      <c r="K10" s="98">
        <f t="shared" si="1"/>
        <v>0</v>
      </c>
      <c r="L10" s="98">
        <f t="shared" si="1"/>
        <v>0</v>
      </c>
      <c r="M10" s="98">
        <f t="shared" si="1"/>
        <v>0</v>
      </c>
      <c r="N10" s="98">
        <f t="shared" si="1"/>
        <v>0</v>
      </c>
      <c r="O10" s="98">
        <f t="shared" si="1"/>
        <v>0</v>
      </c>
      <c r="P10" s="98">
        <f t="shared" si="1"/>
        <v>0</v>
      </c>
      <c r="Q10" s="98">
        <f t="shared" si="1"/>
        <v>0</v>
      </c>
      <c r="R10" s="98">
        <f t="shared" si="1"/>
        <v>0</v>
      </c>
      <c r="S10" s="98">
        <f t="shared" si="1"/>
        <v>0</v>
      </c>
      <c r="T10" s="98">
        <f t="shared" si="1"/>
        <v>0</v>
      </c>
      <c r="U10" s="98">
        <f t="shared" si="1"/>
        <v>0</v>
      </c>
      <c r="V10" s="98">
        <f t="shared" si="1"/>
        <v>0</v>
      </c>
      <c r="W10" s="98">
        <f t="shared" si="1"/>
        <v>0</v>
      </c>
      <c r="X10" s="98">
        <f t="shared" si="1"/>
        <v>0</v>
      </c>
      <c r="Y10" s="98">
        <f t="shared" si="1"/>
        <v>0</v>
      </c>
      <c r="Z10" s="98">
        <f t="shared" si="2"/>
        <v>0</v>
      </c>
      <c r="AA10" s="153">
        <f t="shared" si="3"/>
        <v>0</v>
      </c>
      <c r="AB10" s="94" t="str">
        <f t="shared" si="4"/>
        <v>O'Connor</v>
      </c>
    </row>
    <row r="11" spans="2:28">
      <c r="B11" s="294"/>
      <c r="C11" s="292" t="s">
        <v>233</v>
      </c>
      <c r="D11" s="223" t="s">
        <v>10</v>
      </c>
      <c r="E11" s="98">
        <f t="shared" si="0"/>
        <v>0</v>
      </c>
      <c r="F11" s="98">
        <f t="shared" si="1"/>
        <v>22</v>
      </c>
      <c r="G11" s="98">
        <f t="shared" si="1"/>
        <v>26</v>
      </c>
      <c r="H11" s="98">
        <f t="shared" si="1"/>
        <v>31</v>
      </c>
      <c r="I11" s="98">
        <f t="shared" si="1"/>
        <v>22</v>
      </c>
      <c r="J11" s="98">
        <f t="shared" si="1"/>
        <v>6</v>
      </c>
      <c r="K11" s="98">
        <f t="shared" si="1"/>
        <v>2</v>
      </c>
      <c r="L11" s="98">
        <f t="shared" si="1"/>
        <v>2</v>
      </c>
      <c r="M11" s="98">
        <f t="shared" si="1"/>
        <v>2</v>
      </c>
      <c r="N11" s="98">
        <f t="shared" si="1"/>
        <v>0</v>
      </c>
      <c r="O11" s="98">
        <f t="shared" si="1"/>
        <v>0</v>
      </c>
      <c r="P11" s="98">
        <f t="shared" si="1"/>
        <v>1</v>
      </c>
      <c r="Q11" s="98">
        <f t="shared" si="1"/>
        <v>0</v>
      </c>
      <c r="R11" s="98">
        <f t="shared" si="1"/>
        <v>0</v>
      </c>
      <c r="S11" s="98">
        <f t="shared" si="1"/>
        <v>35</v>
      </c>
      <c r="T11" s="98">
        <f t="shared" si="1"/>
        <v>3</v>
      </c>
      <c r="U11" s="98">
        <f t="shared" si="1"/>
        <v>3</v>
      </c>
      <c r="V11" s="98">
        <f t="shared" si="1"/>
        <v>3</v>
      </c>
      <c r="W11" s="98">
        <f t="shared" si="1"/>
        <v>34</v>
      </c>
      <c r="X11" s="98">
        <f t="shared" si="1"/>
        <v>3</v>
      </c>
      <c r="Y11" s="98">
        <f t="shared" si="1"/>
        <v>39</v>
      </c>
      <c r="Z11" s="98">
        <f t="shared" si="2"/>
        <v>7</v>
      </c>
      <c r="AA11" s="153">
        <f t="shared" si="3"/>
        <v>241</v>
      </c>
      <c r="AB11" s="94" t="str">
        <f t="shared" si="4"/>
        <v>Philipsen</v>
      </c>
    </row>
    <row r="12" spans="2:28">
      <c r="B12" s="294"/>
      <c r="C12" s="292" t="s">
        <v>118</v>
      </c>
      <c r="D12" s="223" t="s">
        <v>160</v>
      </c>
      <c r="E12" s="98">
        <f t="shared" si="0"/>
        <v>0</v>
      </c>
      <c r="F12" s="98">
        <f t="shared" si="1"/>
        <v>0</v>
      </c>
      <c r="G12" s="98">
        <f t="shared" si="1"/>
        <v>0</v>
      </c>
      <c r="H12" s="98">
        <f t="shared" si="1"/>
        <v>0</v>
      </c>
      <c r="I12" s="98">
        <f t="shared" si="1"/>
        <v>0</v>
      </c>
      <c r="J12" s="98">
        <f t="shared" si="1"/>
        <v>8</v>
      </c>
      <c r="K12" s="98">
        <f t="shared" si="1"/>
        <v>14</v>
      </c>
      <c r="L12" s="98">
        <f t="shared" si="1"/>
        <v>0</v>
      </c>
      <c r="M12" s="98">
        <f t="shared" si="1"/>
        <v>0</v>
      </c>
      <c r="N12" s="98">
        <f t="shared" si="1"/>
        <v>0</v>
      </c>
      <c r="O12" s="98">
        <f t="shared" si="1"/>
        <v>0</v>
      </c>
      <c r="P12" s="98">
        <f t="shared" si="1"/>
        <v>0</v>
      </c>
      <c r="Q12" s="98">
        <f t="shared" si="1"/>
        <v>0</v>
      </c>
      <c r="R12" s="98">
        <f t="shared" si="1"/>
        <v>15</v>
      </c>
      <c r="S12" s="98">
        <f t="shared" si="1"/>
        <v>0</v>
      </c>
      <c r="T12" s="98">
        <f t="shared" si="1"/>
        <v>0</v>
      </c>
      <c r="U12" s="98">
        <f t="shared" si="1"/>
        <v>0</v>
      </c>
      <c r="V12" s="98">
        <f t="shared" si="1"/>
        <v>0</v>
      </c>
      <c r="W12" s="98">
        <f t="shared" si="1"/>
        <v>0</v>
      </c>
      <c r="X12" s="98">
        <f t="shared" si="1"/>
        <v>0</v>
      </c>
      <c r="Y12" s="98">
        <f t="shared" si="1"/>
        <v>0</v>
      </c>
      <c r="Z12" s="98">
        <f t="shared" si="2"/>
        <v>0</v>
      </c>
      <c r="AA12" s="153">
        <f t="shared" si="3"/>
        <v>37</v>
      </c>
      <c r="AB12" s="94" t="str">
        <f t="shared" si="4"/>
        <v>Uran</v>
      </c>
    </row>
    <row r="13" spans="2:28">
      <c r="B13" s="294"/>
      <c r="C13" s="292" t="s">
        <v>156</v>
      </c>
      <c r="D13" s="223"/>
      <c r="E13" s="98">
        <f t="shared" si="0"/>
        <v>43</v>
      </c>
      <c r="F13" s="98">
        <f t="shared" si="1"/>
        <v>45</v>
      </c>
      <c r="G13" s="98">
        <f t="shared" si="1"/>
        <v>45</v>
      </c>
      <c r="H13" s="98">
        <f t="shared" si="1"/>
        <v>54</v>
      </c>
      <c r="I13" s="98">
        <f t="shared" si="1"/>
        <v>29</v>
      </c>
      <c r="J13" s="98">
        <f t="shared" si="1"/>
        <v>8</v>
      </c>
      <c r="K13" s="98">
        <f t="shared" si="1"/>
        <v>5</v>
      </c>
      <c r="L13" s="98">
        <f t="shared" si="1"/>
        <v>40</v>
      </c>
      <c r="M13" s="98">
        <f t="shared" si="1"/>
        <v>5</v>
      </c>
      <c r="N13" s="98">
        <f t="shared" si="1"/>
        <v>5</v>
      </c>
      <c r="O13" s="98">
        <f t="shared" si="1"/>
        <v>5</v>
      </c>
      <c r="P13" s="98">
        <f t="shared" si="1"/>
        <v>5</v>
      </c>
      <c r="Q13" s="98">
        <f t="shared" si="1"/>
        <v>24</v>
      </c>
      <c r="R13" s="98">
        <f t="shared" si="1"/>
        <v>5</v>
      </c>
      <c r="S13" s="98">
        <f t="shared" si="1"/>
        <v>35</v>
      </c>
      <c r="T13" s="98">
        <f t="shared" si="1"/>
        <v>18</v>
      </c>
      <c r="U13" s="98">
        <f t="shared" si="1"/>
        <v>5</v>
      </c>
      <c r="V13" s="98">
        <f t="shared" si="1"/>
        <v>32</v>
      </c>
      <c r="W13" s="98">
        <f t="shared" si="1"/>
        <v>6</v>
      </c>
      <c r="X13" s="98">
        <f t="shared" si="1"/>
        <v>41</v>
      </c>
      <c r="Y13" s="98">
        <f t="shared" si="1"/>
        <v>6</v>
      </c>
      <c r="Z13" s="98">
        <f t="shared" si="2"/>
        <v>11</v>
      </c>
      <c r="AA13" s="153">
        <f t="shared" si="3"/>
        <v>472</v>
      </c>
      <c r="AB13" s="94" t="str">
        <f t="shared" si="4"/>
        <v>van Aert</v>
      </c>
    </row>
    <row r="14" spans="2:28">
      <c r="B14" s="294"/>
      <c r="C14" s="292" t="s">
        <v>195</v>
      </c>
      <c r="D14" s="223"/>
      <c r="E14" s="98">
        <f t="shared" si="0"/>
        <v>29</v>
      </c>
      <c r="F14" s="98">
        <f t="shared" si="1"/>
        <v>12</v>
      </c>
      <c r="G14" s="98">
        <f t="shared" si="1"/>
        <v>6</v>
      </c>
      <c r="H14" s="98">
        <f t="shared" si="1"/>
        <v>6</v>
      </c>
      <c r="I14" s="98">
        <f t="shared" si="1"/>
        <v>0</v>
      </c>
      <c r="J14" s="98">
        <f t="shared" si="1"/>
        <v>0</v>
      </c>
      <c r="K14" s="98">
        <f t="shared" si="1"/>
        <v>0</v>
      </c>
      <c r="L14" s="98">
        <f t="shared" si="1"/>
        <v>0</v>
      </c>
      <c r="M14" s="98">
        <f t="shared" si="1"/>
        <v>0</v>
      </c>
      <c r="N14" s="98">
        <f t="shared" si="1"/>
        <v>0</v>
      </c>
      <c r="O14" s="98">
        <f t="shared" si="1"/>
        <v>0</v>
      </c>
      <c r="P14" s="98">
        <f t="shared" si="1"/>
        <v>0</v>
      </c>
      <c r="Q14" s="98">
        <f t="shared" si="1"/>
        <v>0</v>
      </c>
      <c r="R14" s="98">
        <f t="shared" si="1"/>
        <v>0</v>
      </c>
      <c r="S14" s="98">
        <f t="shared" si="1"/>
        <v>0</v>
      </c>
      <c r="T14" s="98">
        <f t="shared" si="1"/>
        <v>0</v>
      </c>
      <c r="U14" s="98">
        <f t="shared" si="1"/>
        <v>0</v>
      </c>
      <c r="V14" s="98">
        <f t="shared" si="1"/>
        <v>0</v>
      </c>
      <c r="W14" s="98">
        <f t="shared" si="1"/>
        <v>0</v>
      </c>
      <c r="X14" s="98">
        <f t="shared" si="1"/>
        <v>0</v>
      </c>
      <c r="Y14" s="98">
        <f t="shared" si="1"/>
        <v>0</v>
      </c>
      <c r="Z14" s="98">
        <f t="shared" si="2"/>
        <v>0</v>
      </c>
      <c r="AA14" s="153">
        <f t="shared" si="3"/>
        <v>53</v>
      </c>
      <c r="AB14" s="94" t="str">
        <f t="shared" si="4"/>
        <v>van der Poel</v>
      </c>
    </row>
    <row r="15" spans="2:28">
      <c r="B15" s="294"/>
      <c r="C15" s="292" t="s">
        <v>228</v>
      </c>
      <c r="D15" s="223" t="s">
        <v>160</v>
      </c>
      <c r="E15" s="98">
        <f t="shared" si="0"/>
        <v>23</v>
      </c>
      <c r="F15" s="98">
        <f t="shared" si="1"/>
        <v>4</v>
      </c>
      <c r="G15" s="98">
        <f t="shared" si="1"/>
        <v>5</v>
      </c>
      <c r="H15" s="98">
        <f t="shared" si="1"/>
        <v>5</v>
      </c>
      <c r="I15" s="98">
        <f t="shared" si="1"/>
        <v>13</v>
      </c>
      <c r="J15" s="98">
        <f t="shared" si="1"/>
        <v>27</v>
      </c>
      <c r="K15" s="98">
        <f t="shared" si="1"/>
        <v>42</v>
      </c>
      <c r="L15" s="98">
        <f t="shared" si="1"/>
        <v>30</v>
      </c>
      <c r="M15" s="98">
        <f t="shared" si="1"/>
        <v>29</v>
      </c>
      <c r="N15" s="98">
        <f t="shared" si="1"/>
        <v>8</v>
      </c>
      <c r="O15" s="98">
        <f t="shared" si="1"/>
        <v>48</v>
      </c>
      <c r="P15" s="98">
        <f t="shared" si="1"/>
        <v>33</v>
      </c>
      <c r="Q15" s="98">
        <f t="shared" si="1"/>
        <v>20</v>
      </c>
      <c r="R15" s="98">
        <f t="shared" si="1"/>
        <v>12</v>
      </c>
      <c r="S15" s="98">
        <f t="shared" si="1"/>
        <v>10</v>
      </c>
      <c r="T15" s="98">
        <f t="shared" si="1"/>
        <v>21</v>
      </c>
      <c r="U15" s="98">
        <f t="shared" si="1"/>
        <v>40</v>
      </c>
      <c r="V15" s="98">
        <f t="shared" si="1"/>
        <v>50</v>
      </c>
      <c r="W15" s="98">
        <f t="shared" si="1"/>
        <v>28</v>
      </c>
      <c r="X15" s="98">
        <f t="shared" si="1"/>
        <v>45</v>
      </c>
      <c r="Y15" s="98">
        <f t="shared" si="1"/>
        <v>15</v>
      </c>
      <c r="Z15" s="98">
        <f t="shared" si="2"/>
        <v>80</v>
      </c>
      <c r="AA15" s="153">
        <f t="shared" si="3"/>
        <v>588</v>
      </c>
      <c r="AB15" s="94" t="str">
        <f t="shared" si="4"/>
        <v>Vingegaard</v>
      </c>
    </row>
    <row r="16" spans="2:28">
      <c r="B16" s="294">
        <v>183</v>
      </c>
      <c r="C16" s="292" t="s">
        <v>323</v>
      </c>
      <c r="D16" s="223"/>
      <c r="E16" s="98">
        <f t="shared" si="0"/>
        <v>0</v>
      </c>
      <c r="F16" s="98">
        <f t="shared" si="1"/>
        <v>0</v>
      </c>
      <c r="G16" s="98">
        <f t="shared" si="1"/>
        <v>0</v>
      </c>
      <c r="H16" s="98">
        <f t="shared" si="1"/>
        <v>0</v>
      </c>
      <c r="I16" s="98">
        <f t="shared" si="1"/>
        <v>0</v>
      </c>
      <c r="J16" s="98">
        <f t="shared" si="1"/>
        <v>0</v>
      </c>
      <c r="K16" s="98">
        <f t="shared" si="1"/>
        <v>0</v>
      </c>
      <c r="L16" s="98">
        <f t="shared" si="1"/>
        <v>0</v>
      </c>
      <c r="M16" s="98">
        <f t="shared" si="1"/>
        <v>0</v>
      </c>
      <c r="N16" s="340">
        <f t="shared" si="1"/>
        <v>0</v>
      </c>
      <c r="O16" s="340">
        <f t="shared" si="1"/>
        <v>0</v>
      </c>
      <c r="P16" s="340">
        <f t="shared" si="1"/>
        <v>0</v>
      </c>
      <c r="Q16" s="340">
        <f t="shared" si="1"/>
        <v>0</v>
      </c>
      <c r="R16" s="340">
        <f t="shared" si="1"/>
        <v>0</v>
      </c>
      <c r="S16" s="340">
        <f t="shared" si="1"/>
        <v>0</v>
      </c>
      <c r="T16" s="340">
        <f t="shared" si="1"/>
        <v>0</v>
      </c>
      <c r="U16" s="340">
        <f t="shared" si="1"/>
        <v>0</v>
      </c>
      <c r="V16" s="340">
        <f t="shared" si="1"/>
        <v>0</v>
      </c>
      <c r="W16" s="340">
        <f t="shared" si="1"/>
        <v>0</v>
      </c>
      <c r="X16" s="340">
        <f t="shared" si="1"/>
        <v>0</v>
      </c>
      <c r="Y16" s="340">
        <f t="shared" si="1"/>
        <v>0</v>
      </c>
      <c r="Z16" s="340">
        <f t="shared" si="2"/>
        <v>0</v>
      </c>
      <c r="AA16" s="153">
        <f t="shared" si="3"/>
        <v>0</v>
      </c>
      <c r="AB16" s="94" t="str">
        <f t="shared" si="4"/>
        <v>Bodnar</v>
      </c>
    </row>
    <row r="17" spans="2:28">
      <c r="B17" s="294"/>
      <c r="C17" s="292" t="s">
        <v>239</v>
      </c>
      <c r="D17" s="223" t="s">
        <v>10</v>
      </c>
      <c r="E17" s="98">
        <f t="shared" si="0"/>
        <v>0</v>
      </c>
      <c r="F17" s="98">
        <f t="shared" si="1"/>
        <v>39</v>
      </c>
      <c r="G17" s="98">
        <f t="shared" si="1"/>
        <v>26</v>
      </c>
      <c r="H17" s="98">
        <f t="shared" si="1"/>
        <v>17</v>
      </c>
      <c r="I17" s="98">
        <f t="shared" si="1"/>
        <v>21</v>
      </c>
      <c r="J17" s="98">
        <f t="shared" si="1"/>
        <v>4</v>
      </c>
      <c r="K17" s="98">
        <f t="shared" si="1"/>
        <v>4</v>
      </c>
      <c r="L17" s="98">
        <f t="shared" si="1"/>
        <v>4</v>
      </c>
      <c r="M17" s="98">
        <f t="shared" si="1"/>
        <v>4</v>
      </c>
      <c r="N17" s="98">
        <f t="shared" ref="F17:Y19" si="5">INDEX(scorematrix,MATCH($C17,renners,0),MATCH(N$3,etappes,0))</f>
        <v>4</v>
      </c>
      <c r="O17" s="98">
        <f t="shared" si="5"/>
        <v>4</v>
      </c>
      <c r="P17" s="98">
        <f t="shared" si="5"/>
        <v>3</v>
      </c>
      <c r="Q17" s="98">
        <f t="shared" si="5"/>
        <v>3</v>
      </c>
      <c r="R17" s="98">
        <f t="shared" si="5"/>
        <v>3</v>
      </c>
      <c r="S17" s="98">
        <f t="shared" si="5"/>
        <v>1</v>
      </c>
      <c r="T17" s="98">
        <f t="shared" si="5"/>
        <v>1</v>
      </c>
      <c r="U17" s="98">
        <f t="shared" si="5"/>
        <v>1</v>
      </c>
      <c r="V17" s="98">
        <f t="shared" si="5"/>
        <v>1</v>
      </c>
      <c r="W17" s="98">
        <f t="shared" si="5"/>
        <v>0</v>
      </c>
      <c r="X17" s="98">
        <f t="shared" si="5"/>
        <v>0</v>
      </c>
      <c r="Y17" s="98">
        <f t="shared" si="5"/>
        <v>14</v>
      </c>
      <c r="Z17" s="98">
        <f t="shared" si="2"/>
        <v>1</v>
      </c>
      <c r="AA17" s="153">
        <f t="shared" si="3"/>
        <v>155</v>
      </c>
      <c r="AB17" s="94" t="str">
        <f t="shared" si="4"/>
        <v>Jakobsen</v>
      </c>
    </row>
    <row r="18" spans="2:28">
      <c r="B18" s="294" t="s">
        <v>94</v>
      </c>
      <c r="C18" s="292" t="s">
        <v>75</v>
      </c>
      <c r="D18" s="223" t="s">
        <v>160</v>
      </c>
      <c r="E18" s="98">
        <f t="shared" si="0"/>
        <v>8</v>
      </c>
      <c r="F18" s="98">
        <f t="shared" si="5"/>
        <v>0</v>
      </c>
      <c r="G18" s="98">
        <f t="shared" si="5"/>
        <v>0</v>
      </c>
      <c r="H18" s="98">
        <f t="shared" si="5"/>
        <v>0</v>
      </c>
      <c r="I18" s="98">
        <f t="shared" si="5"/>
        <v>1</v>
      </c>
      <c r="J18" s="98">
        <f t="shared" si="5"/>
        <v>16</v>
      </c>
      <c r="K18" s="98">
        <f t="shared" si="5"/>
        <v>30</v>
      </c>
      <c r="L18" s="98">
        <f t="shared" si="5"/>
        <v>23</v>
      </c>
      <c r="M18" s="98">
        <f t="shared" si="5"/>
        <v>27</v>
      </c>
      <c r="N18" s="98">
        <f t="shared" si="5"/>
        <v>7</v>
      </c>
      <c r="O18" s="98">
        <f t="shared" si="5"/>
        <v>31</v>
      </c>
      <c r="P18" s="98">
        <f t="shared" si="5"/>
        <v>27</v>
      </c>
      <c r="Q18" s="98">
        <f t="shared" si="5"/>
        <v>8</v>
      </c>
      <c r="R18" s="98">
        <f t="shared" si="5"/>
        <v>8</v>
      </c>
      <c r="S18" s="98">
        <f t="shared" si="5"/>
        <v>8</v>
      </c>
      <c r="T18" s="98">
        <f t="shared" si="5"/>
        <v>17</v>
      </c>
      <c r="U18" s="98">
        <f t="shared" si="5"/>
        <v>32</v>
      </c>
      <c r="V18" s="98">
        <f t="shared" si="5"/>
        <v>32</v>
      </c>
      <c r="W18" s="98">
        <f t="shared" si="5"/>
        <v>20</v>
      </c>
      <c r="X18" s="98">
        <f t="shared" si="5"/>
        <v>8</v>
      </c>
      <c r="Y18" s="98">
        <f t="shared" si="5"/>
        <v>8</v>
      </c>
      <c r="Z18" s="98">
        <f t="shared" si="2"/>
        <v>52</v>
      </c>
      <c r="AA18" s="153">
        <f t="shared" si="3"/>
        <v>363</v>
      </c>
      <c r="AB18" s="94" t="str">
        <f t="shared" si="4"/>
        <v>Thomas</v>
      </c>
    </row>
    <row r="19" spans="2:28">
      <c r="B19" s="294"/>
      <c r="C19" s="292" t="s">
        <v>151</v>
      </c>
      <c r="D19" s="223" t="s">
        <v>10</v>
      </c>
      <c r="E19" s="98">
        <f t="shared" si="0"/>
        <v>0</v>
      </c>
      <c r="F19" s="98">
        <f t="shared" si="5"/>
        <v>13</v>
      </c>
      <c r="G19" s="98">
        <f t="shared" si="5"/>
        <v>17</v>
      </c>
      <c r="H19" s="98">
        <f t="shared" si="5"/>
        <v>0</v>
      </c>
      <c r="I19" s="98">
        <f t="shared" si="5"/>
        <v>0</v>
      </c>
      <c r="J19" s="98">
        <f t="shared" si="5"/>
        <v>0</v>
      </c>
      <c r="K19" s="98">
        <f t="shared" si="5"/>
        <v>0</v>
      </c>
      <c r="L19" s="98">
        <f t="shared" si="5"/>
        <v>0</v>
      </c>
      <c r="M19" s="98">
        <f t="shared" si="5"/>
        <v>0</v>
      </c>
      <c r="N19" s="98">
        <f t="shared" si="5"/>
        <v>0</v>
      </c>
      <c r="O19" s="98">
        <f t="shared" si="5"/>
        <v>0</v>
      </c>
      <c r="P19" s="98">
        <f t="shared" si="5"/>
        <v>0</v>
      </c>
      <c r="Q19" s="98">
        <f t="shared" si="5"/>
        <v>0</v>
      </c>
      <c r="R19" s="98">
        <f t="shared" si="5"/>
        <v>0</v>
      </c>
      <c r="S19" s="98">
        <f t="shared" si="5"/>
        <v>0</v>
      </c>
      <c r="T19" s="98">
        <f t="shared" si="5"/>
        <v>0</v>
      </c>
      <c r="U19" s="98">
        <f t="shared" si="5"/>
        <v>0</v>
      </c>
      <c r="V19" s="98">
        <f t="shared" si="5"/>
        <v>0</v>
      </c>
      <c r="W19" s="98">
        <f t="shared" si="5"/>
        <v>16</v>
      </c>
      <c r="X19" s="98">
        <f t="shared" si="5"/>
        <v>0</v>
      </c>
      <c r="Y19" s="98">
        <f t="shared" si="5"/>
        <v>18</v>
      </c>
      <c r="Z19" s="98">
        <f t="shared" si="2"/>
        <v>0</v>
      </c>
      <c r="AA19" s="153">
        <f t="shared" si="3"/>
        <v>64</v>
      </c>
      <c r="AB19" s="94" t="str">
        <f t="shared" si="4"/>
        <v>Ewan</v>
      </c>
    </row>
    <row r="20" spans="2:28" s="140" customFormat="1" ht="14.4" thickBot="1">
      <c r="B20" s="294"/>
      <c r="C20" s="292" t="s">
        <v>324</v>
      </c>
      <c r="D20" s="223"/>
      <c r="E20" s="98">
        <f t="shared" ref="E20:Z20" si="6">INDEX(scorematrix,MATCH($C20,renners,0),MATCH(E$3,etappes,0))</f>
        <v>0</v>
      </c>
      <c r="F20" s="98">
        <f t="shared" si="6"/>
        <v>0</v>
      </c>
      <c r="G20" s="98">
        <f t="shared" si="6"/>
        <v>0</v>
      </c>
      <c r="H20" s="98">
        <f t="shared" si="6"/>
        <v>0</v>
      </c>
      <c r="I20" s="98">
        <f t="shared" si="6"/>
        <v>13</v>
      </c>
      <c r="J20" s="98">
        <f t="shared" si="6"/>
        <v>0</v>
      </c>
      <c r="K20" s="98">
        <f t="shared" si="6"/>
        <v>0</v>
      </c>
      <c r="L20" s="98">
        <f t="shared" si="6"/>
        <v>0</v>
      </c>
      <c r="M20" s="98">
        <f t="shared" si="6"/>
        <v>0</v>
      </c>
      <c r="N20" s="98">
        <f t="shared" si="6"/>
        <v>0</v>
      </c>
      <c r="O20" s="98">
        <f t="shared" si="6"/>
        <v>0</v>
      </c>
      <c r="P20" s="98">
        <f t="shared" si="6"/>
        <v>0</v>
      </c>
      <c r="Q20" s="98">
        <f t="shared" si="6"/>
        <v>0</v>
      </c>
      <c r="R20" s="98">
        <f t="shared" si="6"/>
        <v>0</v>
      </c>
      <c r="S20" s="98">
        <f t="shared" si="6"/>
        <v>0</v>
      </c>
      <c r="T20" s="98">
        <f t="shared" si="6"/>
        <v>0</v>
      </c>
      <c r="U20" s="98">
        <f t="shared" si="6"/>
        <v>0</v>
      </c>
      <c r="V20" s="98">
        <f t="shared" si="6"/>
        <v>0</v>
      </c>
      <c r="W20" s="98">
        <f t="shared" si="6"/>
        <v>0</v>
      </c>
      <c r="X20" s="98">
        <f t="shared" si="6"/>
        <v>0</v>
      </c>
      <c r="Y20" s="98">
        <f t="shared" si="6"/>
        <v>0</v>
      </c>
      <c r="Z20" s="98">
        <f t="shared" si="6"/>
        <v>0</v>
      </c>
      <c r="AA20" s="153">
        <f t="shared" si="3"/>
        <v>13</v>
      </c>
      <c r="AB20" s="94" t="str">
        <f t="shared" si="4"/>
        <v>Schachmann</v>
      </c>
    </row>
    <row r="21" spans="2:28" s="141" customFormat="1">
      <c r="B21" s="291"/>
      <c r="C21" s="288"/>
      <c r="D21" s="148"/>
      <c r="E21" s="150"/>
      <c r="F21" s="150"/>
      <c r="G21" s="150"/>
      <c r="H21" s="150"/>
      <c r="I21" s="150"/>
      <c r="J21" s="150"/>
      <c r="K21" s="150"/>
      <c r="L21" s="150"/>
      <c r="M21" s="150"/>
      <c r="N21" s="150">
        <f>N24+N25-N16-N4</f>
        <v>0</v>
      </c>
      <c r="O21" s="150">
        <f t="shared" ref="O21:Z21" si="7">O24+O25-O16-O4</f>
        <v>20</v>
      </c>
      <c r="P21" s="150">
        <f t="shared" si="7"/>
        <v>10</v>
      </c>
      <c r="Q21" s="150">
        <f t="shared" si="7"/>
        <v>0</v>
      </c>
      <c r="R21" s="150">
        <f t="shared" si="7"/>
        <v>0</v>
      </c>
      <c r="S21" s="150">
        <f t="shared" si="7"/>
        <v>0</v>
      </c>
      <c r="T21" s="150">
        <f t="shared" si="7"/>
        <v>0</v>
      </c>
      <c r="U21" s="150">
        <f t="shared" si="7"/>
        <v>22</v>
      </c>
      <c r="V21" s="150">
        <f t="shared" si="7"/>
        <v>22</v>
      </c>
      <c r="W21" s="150">
        <f t="shared" si="7"/>
        <v>2</v>
      </c>
      <c r="X21" s="150">
        <f t="shared" si="7"/>
        <v>2</v>
      </c>
      <c r="Y21" s="150">
        <f t="shared" si="7"/>
        <v>11</v>
      </c>
      <c r="Z21" s="150">
        <f t="shared" si="7"/>
        <v>34</v>
      </c>
      <c r="AA21" s="193">
        <f t="shared" si="3"/>
        <v>123</v>
      </c>
    </row>
    <row r="22" spans="2:28" s="97" customFormat="1">
      <c r="B22" s="287"/>
      <c r="C22" s="289"/>
      <c r="D22" s="296"/>
      <c r="E22" s="309">
        <f t="shared" ref="E22:AA22" si="8">SUM(E4:E21)</f>
        <v>124</v>
      </c>
      <c r="F22" s="309">
        <f t="shared" si="8"/>
        <v>135</v>
      </c>
      <c r="G22" s="309">
        <f t="shared" si="8"/>
        <v>136</v>
      </c>
      <c r="H22" s="309">
        <f t="shared" si="8"/>
        <v>132</v>
      </c>
      <c r="I22" s="309">
        <f t="shared" si="8"/>
        <v>110</v>
      </c>
      <c r="J22" s="309">
        <f t="shared" si="8"/>
        <v>142</v>
      </c>
      <c r="K22" s="309">
        <f t="shared" si="8"/>
        <v>144</v>
      </c>
      <c r="L22" s="309">
        <f t="shared" si="8"/>
        <v>161</v>
      </c>
      <c r="M22" s="309">
        <f t="shared" si="8"/>
        <v>106</v>
      </c>
      <c r="N22" s="309">
        <f t="shared" si="8"/>
        <v>31</v>
      </c>
      <c r="O22" s="309">
        <f t="shared" si="8"/>
        <v>146</v>
      </c>
      <c r="P22" s="309">
        <f t="shared" si="8"/>
        <v>116</v>
      </c>
      <c r="Q22" s="309">
        <f t="shared" si="8"/>
        <v>85</v>
      </c>
      <c r="R22" s="309">
        <f t="shared" si="8"/>
        <v>104</v>
      </c>
      <c r="S22" s="309">
        <f t="shared" si="8"/>
        <v>93</v>
      </c>
      <c r="T22" s="309">
        <f t="shared" si="8"/>
        <v>74</v>
      </c>
      <c r="U22" s="309">
        <f t="shared" si="8"/>
        <v>151</v>
      </c>
      <c r="V22" s="309">
        <f t="shared" si="8"/>
        <v>176</v>
      </c>
      <c r="W22" s="309">
        <f t="shared" si="8"/>
        <v>123</v>
      </c>
      <c r="X22" s="309">
        <f t="shared" si="8"/>
        <v>121</v>
      </c>
      <c r="Y22" s="309">
        <f t="shared" si="8"/>
        <v>128</v>
      </c>
      <c r="Z22" s="309">
        <f t="shared" si="8"/>
        <v>253</v>
      </c>
      <c r="AA22" s="190">
        <f t="shared" si="8"/>
        <v>2791</v>
      </c>
    </row>
    <row r="23" spans="2:28" s="143" customFormat="1">
      <c r="B23" s="290" t="s">
        <v>210</v>
      </c>
      <c r="C23" s="290" t="s">
        <v>210</v>
      </c>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c r="C24" s="293" t="s">
        <v>165</v>
      </c>
      <c r="D24" s="226"/>
      <c r="E24" s="98">
        <f t="shared" ref="E24:T26" si="9">INDEX(scorematrix,MATCH($C24,renners,0),MATCH(E$3,etappes,0))</f>
        <v>0</v>
      </c>
      <c r="F24" s="98">
        <f t="shared" si="9"/>
        <v>0</v>
      </c>
      <c r="G24" s="98">
        <f t="shared" si="9"/>
        <v>0</v>
      </c>
      <c r="H24" s="98">
        <f t="shared" si="9"/>
        <v>0</v>
      </c>
      <c r="I24" s="98">
        <f t="shared" si="9"/>
        <v>0</v>
      </c>
      <c r="J24" s="98">
        <f t="shared" si="9"/>
        <v>9</v>
      </c>
      <c r="K24" s="98">
        <f t="shared" si="9"/>
        <v>0</v>
      </c>
      <c r="L24" s="98">
        <f t="shared" si="9"/>
        <v>0</v>
      </c>
      <c r="M24" s="98">
        <f t="shared" si="9"/>
        <v>10</v>
      </c>
      <c r="N24" s="345">
        <f t="shared" si="9"/>
        <v>0</v>
      </c>
      <c r="O24" s="345">
        <f t="shared" si="9"/>
        <v>20</v>
      </c>
      <c r="P24" s="345">
        <f t="shared" si="9"/>
        <v>10</v>
      </c>
      <c r="Q24" s="345">
        <f t="shared" si="9"/>
        <v>0</v>
      </c>
      <c r="R24" s="345">
        <f t="shared" si="9"/>
        <v>0</v>
      </c>
      <c r="S24" s="345">
        <f t="shared" si="9"/>
        <v>0</v>
      </c>
      <c r="T24" s="345">
        <f t="shared" si="9"/>
        <v>0</v>
      </c>
      <c r="U24" s="345">
        <f t="shared" ref="U24:Z26" si="10">INDEX(scorematrix,MATCH($C24,renners,0),MATCH(U$3,etappes,0))</f>
        <v>22</v>
      </c>
      <c r="V24" s="345">
        <f t="shared" si="10"/>
        <v>22</v>
      </c>
      <c r="W24" s="345">
        <f t="shared" si="10"/>
        <v>2</v>
      </c>
      <c r="X24" s="345">
        <f t="shared" si="10"/>
        <v>2</v>
      </c>
      <c r="Y24" s="345">
        <f t="shared" si="10"/>
        <v>11</v>
      </c>
      <c r="Z24" s="345">
        <f t="shared" si="10"/>
        <v>34</v>
      </c>
      <c r="AA24" s="245">
        <f t="shared" ref="AA24:AA26" si="11">SUM(E24:Z24)</f>
        <v>142</v>
      </c>
    </row>
    <row r="25" spans="2:28" s="145" customFormat="1">
      <c r="B25" s="295">
        <v>148</v>
      </c>
      <c r="C25" s="293" t="s">
        <v>325</v>
      </c>
      <c r="D25" s="226"/>
      <c r="E25" s="98">
        <f t="shared" si="9"/>
        <v>0</v>
      </c>
      <c r="F25" s="98">
        <f t="shared" si="9"/>
        <v>0</v>
      </c>
      <c r="G25" s="98">
        <f t="shared" si="9"/>
        <v>0</v>
      </c>
      <c r="H25" s="98">
        <f t="shared" si="9"/>
        <v>0</v>
      </c>
      <c r="I25" s="98">
        <f t="shared" si="9"/>
        <v>0</v>
      </c>
      <c r="J25" s="98">
        <f t="shared" si="9"/>
        <v>0</v>
      </c>
      <c r="K25" s="98">
        <f t="shared" si="9"/>
        <v>0</v>
      </c>
      <c r="L25" s="98">
        <f t="shared" si="9"/>
        <v>0</v>
      </c>
      <c r="M25" s="98">
        <f t="shared" si="9"/>
        <v>0</v>
      </c>
      <c r="N25" s="345">
        <f t="shared" si="9"/>
        <v>0</v>
      </c>
      <c r="O25" s="345">
        <f t="shared" si="9"/>
        <v>0</v>
      </c>
      <c r="P25" s="345">
        <f t="shared" si="9"/>
        <v>0</v>
      </c>
      <c r="Q25" s="345">
        <f t="shared" si="9"/>
        <v>0</v>
      </c>
      <c r="R25" s="345">
        <f t="shared" si="9"/>
        <v>0</v>
      </c>
      <c r="S25" s="345">
        <f t="shared" si="9"/>
        <v>0</v>
      </c>
      <c r="T25" s="345">
        <f t="shared" si="9"/>
        <v>0</v>
      </c>
      <c r="U25" s="345">
        <f t="shared" si="10"/>
        <v>0</v>
      </c>
      <c r="V25" s="345">
        <f t="shared" si="10"/>
        <v>0</v>
      </c>
      <c r="W25" s="345">
        <f t="shared" si="10"/>
        <v>0</v>
      </c>
      <c r="X25" s="345">
        <f t="shared" si="10"/>
        <v>0</v>
      </c>
      <c r="Y25" s="345">
        <f t="shared" si="10"/>
        <v>0</v>
      </c>
      <c r="Z25" s="345">
        <f t="shared" si="10"/>
        <v>0</v>
      </c>
      <c r="AA25" s="245">
        <f t="shared" si="11"/>
        <v>0</v>
      </c>
    </row>
    <row r="26" spans="2:28" s="145" customFormat="1">
      <c r="B26" s="295" t="s">
        <v>359</v>
      </c>
      <c r="C26" s="293" t="s">
        <v>44</v>
      </c>
      <c r="D26" s="226"/>
      <c r="E26" s="98">
        <f t="shared" si="9"/>
        <v>0</v>
      </c>
      <c r="F26" s="98">
        <f t="shared" si="9"/>
        <v>0</v>
      </c>
      <c r="G26" s="98">
        <f t="shared" si="9"/>
        <v>0</v>
      </c>
      <c r="H26" s="98">
        <f t="shared" si="9"/>
        <v>0</v>
      </c>
      <c r="I26" s="98">
        <f t="shared" si="9"/>
        <v>0</v>
      </c>
      <c r="J26" s="98">
        <f t="shared" si="9"/>
        <v>7</v>
      </c>
      <c r="K26" s="98">
        <f t="shared" si="9"/>
        <v>13</v>
      </c>
      <c r="L26" s="98">
        <f t="shared" si="9"/>
        <v>13</v>
      </c>
      <c r="M26" s="98">
        <f t="shared" si="9"/>
        <v>0</v>
      </c>
      <c r="N26" s="340">
        <f t="shared" si="9"/>
        <v>0</v>
      </c>
      <c r="O26" s="340">
        <f t="shared" si="9"/>
        <v>0</v>
      </c>
      <c r="P26" s="340">
        <f t="shared" si="9"/>
        <v>0</v>
      </c>
      <c r="Q26" s="340">
        <f t="shared" si="9"/>
        <v>0</v>
      </c>
      <c r="R26" s="340">
        <f t="shared" si="9"/>
        <v>0</v>
      </c>
      <c r="S26" s="340">
        <f t="shared" si="9"/>
        <v>0</v>
      </c>
      <c r="T26" s="340">
        <f t="shared" si="9"/>
        <v>0</v>
      </c>
      <c r="U26" s="340">
        <f t="shared" si="10"/>
        <v>0</v>
      </c>
      <c r="V26" s="340">
        <f t="shared" si="10"/>
        <v>0</v>
      </c>
      <c r="W26" s="340">
        <f t="shared" si="10"/>
        <v>0</v>
      </c>
      <c r="X26" s="340">
        <f t="shared" si="10"/>
        <v>0</v>
      </c>
      <c r="Y26" s="340">
        <f t="shared" si="10"/>
        <v>0</v>
      </c>
      <c r="Z26" s="340">
        <f t="shared" si="10"/>
        <v>0</v>
      </c>
      <c r="AA26" s="245">
        <f t="shared" si="11"/>
        <v>33</v>
      </c>
    </row>
    <row r="28" spans="2:28">
      <c r="C28" s="246" t="s">
        <v>160</v>
      </c>
      <c r="D28" s="247">
        <f>COUNTIF($D$4:$D$21,C28)</f>
        <v>6</v>
      </c>
    </row>
    <row r="29" spans="2:28">
      <c r="C29" s="248" t="s">
        <v>10</v>
      </c>
      <c r="D29" s="247">
        <f>COUNTIF($D$4:$D$21,C29)</f>
        <v>4</v>
      </c>
    </row>
    <row r="30" spans="2:28">
      <c r="C30" s="248" t="s">
        <v>106</v>
      </c>
      <c r="D30" s="247">
        <f>17-D29-D28</f>
        <v>7</v>
      </c>
    </row>
  </sheetData>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2">
    <tabColor indexed="39"/>
  </sheetPr>
  <dimension ref="B1:AB30"/>
  <sheetViews>
    <sheetView showZeros="0" zoomScaleNormal="100" workbookViewId="0">
      <selection activeCell="AA21" sqref="AA21"/>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76</v>
      </c>
      <c r="D1" s="220"/>
    </row>
    <row r="2" spans="2:28">
      <c r="B2" s="146"/>
      <c r="C2" s="250"/>
      <c r="D2" s="147"/>
      <c r="H2" s="112"/>
    </row>
    <row r="3" spans="2:28" s="110" customFormat="1" ht="14.4" thickBot="1">
      <c r="B3" s="251"/>
      <c r="C3" s="252" t="s">
        <v>45</v>
      </c>
      <c r="D3" s="221" t="s">
        <v>108</v>
      </c>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263</v>
      </c>
      <c r="C4" s="292" t="s">
        <v>233</v>
      </c>
      <c r="D4" s="223" t="s">
        <v>10</v>
      </c>
      <c r="E4" s="98">
        <f t="shared" ref="E4:T13" si="0">INDEX(scorematrix,MATCH($C4,renners,0),MATCH(E$3,etappes,0))</f>
        <v>0</v>
      </c>
      <c r="F4" s="98">
        <f t="shared" si="0"/>
        <v>22</v>
      </c>
      <c r="G4" s="98">
        <f t="shared" si="0"/>
        <v>26</v>
      </c>
      <c r="H4" s="98">
        <f t="shared" si="0"/>
        <v>31</v>
      </c>
      <c r="I4" s="98">
        <f t="shared" si="0"/>
        <v>22</v>
      </c>
      <c r="J4" s="98">
        <f t="shared" si="0"/>
        <v>6</v>
      </c>
      <c r="K4" s="98">
        <f t="shared" si="0"/>
        <v>2</v>
      </c>
      <c r="L4" s="98">
        <f t="shared" si="0"/>
        <v>2</v>
      </c>
      <c r="M4" s="98">
        <f t="shared" si="0"/>
        <v>2</v>
      </c>
      <c r="N4" s="98">
        <f t="shared" si="0"/>
        <v>0</v>
      </c>
      <c r="O4" s="98">
        <f t="shared" si="0"/>
        <v>0</v>
      </c>
      <c r="P4" s="98">
        <f t="shared" si="0"/>
        <v>1</v>
      </c>
      <c r="Q4" s="98">
        <f t="shared" si="0"/>
        <v>0</v>
      </c>
      <c r="R4" s="98">
        <f t="shared" si="0"/>
        <v>0</v>
      </c>
      <c r="S4" s="98">
        <f t="shared" si="0"/>
        <v>35</v>
      </c>
      <c r="T4" s="98">
        <f t="shared" si="0"/>
        <v>3</v>
      </c>
      <c r="U4" s="98">
        <f t="shared" ref="F4:Y18" si="1">INDEX(scorematrix,MATCH($C4,renners,0),MATCH(U$3,etappes,0))</f>
        <v>3</v>
      </c>
      <c r="V4" s="98">
        <f t="shared" si="1"/>
        <v>3</v>
      </c>
      <c r="W4" s="98">
        <f t="shared" si="1"/>
        <v>34</v>
      </c>
      <c r="X4" s="98">
        <f t="shared" si="1"/>
        <v>3</v>
      </c>
      <c r="Y4" s="98">
        <f t="shared" si="1"/>
        <v>39</v>
      </c>
      <c r="Z4" s="98">
        <f t="shared" ref="Z4:Z19" si="2">INDEX(scorematrix,MATCH($C4,renners,0),MATCH(Z$3,etappes,0))</f>
        <v>7</v>
      </c>
      <c r="AA4" s="153">
        <f t="shared" ref="AA4:AA21" si="3">SUM(E4:Z4)</f>
        <v>241</v>
      </c>
      <c r="AB4" s="94" t="str">
        <f t="shared" ref="AB4:AB20" si="4">C4</f>
        <v>Philipsen</v>
      </c>
    </row>
    <row r="5" spans="2:28">
      <c r="B5" s="294" t="s">
        <v>264</v>
      </c>
      <c r="C5" s="292" t="s">
        <v>202</v>
      </c>
      <c r="D5" s="223" t="s">
        <v>10</v>
      </c>
      <c r="E5" s="98">
        <f t="shared" si="0"/>
        <v>25</v>
      </c>
      <c r="F5" s="98">
        <f t="shared" si="1"/>
        <v>35</v>
      </c>
      <c r="G5" s="98">
        <f t="shared" si="1"/>
        <v>21</v>
      </c>
      <c r="H5" s="98">
        <f t="shared" si="1"/>
        <v>21</v>
      </c>
      <c r="I5" s="98">
        <f t="shared" si="1"/>
        <v>5</v>
      </c>
      <c r="J5" s="98">
        <f t="shared" si="1"/>
        <v>0</v>
      </c>
      <c r="K5" s="98">
        <f t="shared" si="1"/>
        <v>0</v>
      </c>
      <c r="L5" s="98">
        <f t="shared" si="1"/>
        <v>0</v>
      </c>
      <c r="M5" s="98">
        <f t="shared" si="1"/>
        <v>0</v>
      </c>
      <c r="N5" s="98">
        <f t="shared" si="1"/>
        <v>0</v>
      </c>
      <c r="O5" s="98">
        <f t="shared" si="1"/>
        <v>0</v>
      </c>
      <c r="P5" s="98">
        <f t="shared" si="1"/>
        <v>0</v>
      </c>
      <c r="Q5" s="98">
        <f t="shared" si="1"/>
        <v>37</v>
      </c>
      <c r="R5" s="98">
        <f t="shared" si="1"/>
        <v>2</v>
      </c>
      <c r="S5" s="98">
        <f t="shared" si="1"/>
        <v>28</v>
      </c>
      <c r="T5" s="98">
        <f t="shared" si="1"/>
        <v>2</v>
      </c>
      <c r="U5" s="98">
        <f t="shared" si="1"/>
        <v>2</v>
      </c>
      <c r="V5" s="98">
        <f t="shared" si="1"/>
        <v>2</v>
      </c>
      <c r="W5" s="98">
        <f t="shared" si="1"/>
        <v>1</v>
      </c>
      <c r="X5" s="98">
        <f t="shared" si="1"/>
        <v>1</v>
      </c>
      <c r="Y5" s="98">
        <f t="shared" si="1"/>
        <v>0</v>
      </c>
      <c r="Z5" s="98">
        <f t="shared" si="2"/>
        <v>0</v>
      </c>
      <c r="AA5" s="153">
        <f t="shared" si="3"/>
        <v>182</v>
      </c>
      <c r="AB5" s="94" t="str">
        <f t="shared" si="4"/>
        <v>Pedersen</v>
      </c>
    </row>
    <row r="6" spans="2:28">
      <c r="B6" s="294" t="s">
        <v>249</v>
      </c>
      <c r="C6" s="292" t="s">
        <v>239</v>
      </c>
      <c r="D6" s="223" t="s">
        <v>10</v>
      </c>
      <c r="E6" s="98">
        <f t="shared" si="0"/>
        <v>0</v>
      </c>
      <c r="F6" s="98">
        <f t="shared" si="1"/>
        <v>39</v>
      </c>
      <c r="G6" s="98">
        <f t="shared" si="1"/>
        <v>26</v>
      </c>
      <c r="H6" s="98">
        <f t="shared" si="1"/>
        <v>17</v>
      </c>
      <c r="I6" s="98">
        <f t="shared" si="1"/>
        <v>21</v>
      </c>
      <c r="J6" s="98">
        <f t="shared" si="1"/>
        <v>4</v>
      </c>
      <c r="K6" s="98">
        <f t="shared" si="1"/>
        <v>4</v>
      </c>
      <c r="L6" s="98">
        <f t="shared" si="1"/>
        <v>4</v>
      </c>
      <c r="M6" s="98">
        <f t="shared" si="1"/>
        <v>4</v>
      </c>
      <c r="N6" s="98">
        <f t="shared" si="1"/>
        <v>4</v>
      </c>
      <c r="O6" s="98">
        <f t="shared" si="1"/>
        <v>4</v>
      </c>
      <c r="P6" s="98">
        <f t="shared" si="1"/>
        <v>3</v>
      </c>
      <c r="Q6" s="98">
        <f t="shared" si="1"/>
        <v>3</v>
      </c>
      <c r="R6" s="98">
        <f t="shared" si="1"/>
        <v>3</v>
      </c>
      <c r="S6" s="98">
        <f t="shared" si="1"/>
        <v>1</v>
      </c>
      <c r="T6" s="98">
        <f t="shared" si="1"/>
        <v>1</v>
      </c>
      <c r="U6" s="98">
        <f t="shared" si="1"/>
        <v>1</v>
      </c>
      <c r="V6" s="98">
        <f t="shared" si="1"/>
        <v>1</v>
      </c>
      <c r="W6" s="98">
        <f t="shared" si="1"/>
        <v>0</v>
      </c>
      <c r="X6" s="98">
        <f t="shared" si="1"/>
        <v>0</v>
      </c>
      <c r="Y6" s="98">
        <f t="shared" si="1"/>
        <v>14</v>
      </c>
      <c r="Z6" s="98">
        <f t="shared" si="2"/>
        <v>1</v>
      </c>
      <c r="AA6" s="153">
        <f t="shared" si="3"/>
        <v>155</v>
      </c>
      <c r="AB6" s="94" t="str">
        <f t="shared" si="4"/>
        <v>Jakobsen</v>
      </c>
    </row>
    <row r="7" spans="2:28">
      <c r="B7" s="294" t="s">
        <v>265</v>
      </c>
      <c r="C7" s="292" t="s">
        <v>151</v>
      </c>
      <c r="D7" s="223" t="s">
        <v>10</v>
      </c>
      <c r="E7" s="98">
        <f t="shared" si="0"/>
        <v>0</v>
      </c>
      <c r="F7" s="98">
        <f t="shared" si="1"/>
        <v>13</v>
      </c>
      <c r="G7" s="98">
        <f t="shared" si="1"/>
        <v>17</v>
      </c>
      <c r="H7" s="98">
        <f t="shared" si="1"/>
        <v>0</v>
      </c>
      <c r="I7" s="98">
        <f t="shared" si="1"/>
        <v>0</v>
      </c>
      <c r="J7" s="98">
        <f t="shared" si="1"/>
        <v>0</v>
      </c>
      <c r="K7" s="340">
        <f t="shared" si="1"/>
        <v>0</v>
      </c>
      <c r="L7" s="340">
        <f t="shared" si="1"/>
        <v>0</v>
      </c>
      <c r="M7" s="340">
        <f t="shared" si="1"/>
        <v>0</v>
      </c>
      <c r="N7" s="340">
        <f t="shared" si="1"/>
        <v>0</v>
      </c>
      <c r="O7" s="340">
        <f t="shared" si="1"/>
        <v>0</v>
      </c>
      <c r="P7" s="340">
        <f t="shared" si="1"/>
        <v>0</v>
      </c>
      <c r="Q7" s="340">
        <f t="shared" si="1"/>
        <v>0</v>
      </c>
      <c r="R7" s="340">
        <f t="shared" si="1"/>
        <v>0</v>
      </c>
      <c r="S7" s="340">
        <f t="shared" si="1"/>
        <v>0</v>
      </c>
      <c r="T7" s="340">
        <f t="shared" si="1"/>
        <v>0</v>
      </c>
      <c r="U7" s="340">
        <f t="shared" si="1"/>
        <v>0</v>
      </c>
      <c r="V7" s="340">
        <f t="shared" si="1"/>
        <v>0</v>
      </c>
      <c r="W7" s="340">
        <f t="shared" si="1"/>
        <v>16</v>
      </c>
      <c r="X7" s="340">
        <f t="shared" si="1"/>
        <v>0</v>
      </c>
      <c r="Y7" s="340">
        <f t="shared" si="1"/>
        <v>18</v>
      </c>
      <c r="Z7" s="340">
        <f t="shared" si="2"/>
        <v>0</v>
      </c>
      <c r="AA7" s="153">
        <f t="shared" si="3"/>
        <v>64</v>
      </c>
      <c r="AB7" s="94" t="str">
        <f t="shared" si="4"/>
        <v>Ewan</v>
      </c>
    </row>
    <row r="8" spans="2:28">
      <c r="B8" s="294" t="s">
        <v>266</v>
      </c>
      <c r="C8" s="292" t="s">
        <v>279</v>
      </c>
      <c r="D8" s="223" t="s">
        <v>160</v>
      </c>
      <c r="E8" s="98">
        <f t="shared" si="0"/>
        <v>0</v>
      </c>
      <c r="F8" s="98">
        <f t="shared" si="1"/>
        <v>0</v>
      </c>
      <c r="G8" s="98">
        <f t="shared" si="1"/>
        <v>0</v>
      </c>
      <c r="H8" s="98">
        <f t="shared" si="1"/>
        <v>0</v>
      </c>
      <c r="I8" s="98">
        <f t="shared" si="1"/>
        <v>0</v>
      </c>
      <c r="J8" s="98">
        <f t="shared" si="1"/>
        <v>0</v>
      </c>
      <c r="K8" s="98">
        <f t="shared" si="1"/>
        <v>0</v>
      </c>
      <c r="L8" s="98">
        <f t="shared" si="1"/>
        <v>0</v>
      </c>
      <c r="M8" s="98">
        <f t="shared" si="1"/>
        <v>0</v>
      </c>
      <c r="N8" s="98">
        <f t="shared" si="1"/>
        <v>0</v>
      </c>
      <c r="O8" s="98">
        <f t="shared" si="1"/>
        <v>0</v>
      </c>
      <c r="P8" s="98">
        <f t="shared" si="1"/>
        <v>18</v>
      </c>
      <c r="Q8" s="98">
        <f t="shared" si="1"/>
        <v>2</v>
      </c>
      <c r="R8" s="98">
        <f t="shared" si="1"/>
        <v>1</v>
      </c>
      <c r="S8" s="98">
        <f t="shared" si="1"/>
        <v>1</v>
      </c>
      <c r="T8" s="98">
        <f t="shared" si="1"/>
        <v>1</v>
      </c>
      <c r="U8" s="98">
        <f t="shared" si="1"/>
        <v>14</v>
      </c>
      <c r="V8" s="98">
        <f t="shared" si="1"/>
        <v>3</v>
      </c>
      <c r="W8" s="98">
        <f t="shared" si="1"/>
        <v>3</v>
      </c>
      <c r="X8" s="98">
        <f t="shared" si="1"/>
        <v>3</v>
      </c>
      <c r="Y8" s="98">
        <f t="shared" si="1"/>
        <v>3</v>
      </c>
      <c r="Z8" s="98">
        <f t="shared" si="2"/>
        <v>5</v>
      </c>
      <c r="AA8" s="153">
        <f t="shared" si="3"/>
        <v>54</v>
      </c>
      <c r="AB8" s="94" t="str">
        <f t="shared" si="4"/>
        <v>Ciccone</v>
      </c>
    </row>
    <row r="9" spans="2:28">
      <c r="B9" s="294" t="s">
        <v>267</v>
      </c>
      <c r="C9" s="292" t="s">
        <v>280</v>
      </c>
      <c r="D9" s="223" t="s">
        <v>160</v>
      </c>
      <c r="E9" s="98">
        <f t="shared" si="0"/>
        <v>0</v>
      </c>
      <c r="F9" s="98">
        <f t="shared" si="1"/>
        <v>0</v>
      </c>
      <c r="G9" s="98">
        <f t="shared" si="1"/>
        <v>0</v>
      </c>
      <c r="H9" s="98">
        <f t="shared" si="1"/>
        <v>0</v>
      </c>
      <c r="I9" s="98">
        <f t="shared" si="1"/>
        <v>0</v>
      </c>
      <c r="J9" s="98">
        <f t="shared" si="1"/>
        <v>0</v>
      </c>
      <c r="K9" s="98">
        <f t="shared" si="1"/>
        <v>0</v>
      </c>
      <c r="L9" s="98">
        <f t="shared" si="1"/>
        <v>0</v>
      </c>
      <c r="M9" s="98">
        <f t="shared" si="1"/>
        <v>26</v>
      </c>
      <c r="N9" s="98">
        <f t="shared" si="1"/>
        <v>0</v>
      </c>
      <c r="O9" s="98">
        <f t="shared" si="1"/>
        <v>0</v>
      </c>
      <c r="P9" s="98">
        <f t="shared" si="1"/>
        <v>0</v>
      </c>
      <c r="Q9" s="98">
        <f t="shared" si="1"/>
        <v>0</v>
      </c>
      <c r="R9" s="98">
        <f t="shared" si="1"/>
        <v>0</v>
      </c>
      <c r="S9" s="98">
        <f t="shared" si="1"/>
        <v>0</v>
      </c>
      <c r="T9" s="98">
        <f t="shared" si="1"/>
        <v>0</v>
      </c>
      <c r="U9" s="98">
        <f t="shared" si="1"/>
        <v>0</v>
      </c>
      <c r="V9" s="98">
        <f t="shared" si="1"/>
        <v>0</v>
      </c>
      <c r="W9" s="98">
        <f t="shared" si="1"/>
        <v>0</v>
      </c>
      <c r="X9" s="98">
        <f t="shared" si="1"/>
        <v>0</v>
      </c>
      <c r="Y9" s="98">
        <f t="shared" si="1"/>
        <v>0</v>
      </c>
      <c r="Z9" s="98">
        <f t="shared" si="2"/>
        <v>0</v>
      </c>
      <c r="AA9" s="153">
        <f t="shared" si="3"/>
        <v>26</v>
      </c>
      <c r="AB9" s="94" t="str">
        <f t="shared" si="4"/>
        <v>Verona</v>
      </c>
    </row>
    <row r="10" spans="2:28">
      <c r="B10" s="294" t="s">
        <v>268</v>
      </c>
      <c r="C10" s="292" t="s">
        <v>182</v>
      </c>
      <c r="D10" s="223" t="s">
        <v>160</v>
      </c>
      <c r="E10" s="98">
        <f t="shared" si="0"/>
        <v>7</v>
      </c>
      <c r="F10" s="98">
        <f t="shared" si="1"/>
        <v>0</v>
      </c>
      <c r="G10" s="98">
        <f t="shared" si="1"/>
        <v>0</v>
      </c>
      <c r="H10" s="98">
        <f t="shared" si="1"/>
        <v>0</v>
      </c>
      <c r="I10" s="98">
        <f t="shared" si="1"/>
        <v>0</v>
      </c>
      <c r="J10" s="98">
        <f t="shared" si="1"/>
        <v>0</v>
      </c>
      <c r="K10" s="98">
        <f t="shared" si="1"/>
        <v>25</v>
      </c>
      <c r="L10" s="98">
        <f t="shared" si="1"/>
        <v>1</v>
      </c>
      <c r="M10" s="98">
        <f t="shared" si="1"/>
        <v>0</v>
      </c>
      <c r="N10" s="98">
        <f t="shared" si="1"/>
        <v>25</v>
      </c>
      <c r="O10" s="98">
        <f t="shared" si="1"/>
        <v>0</v>
      </c>
      <c r="P10" s="98">
        <f t="shared" si="1"/>
        <v>0</v>
      </c>
      <c r="Q10" s="98">
        <f t="shared" si="1"/>
        <v>0</v>
      </c>
      <c r="R10" s="98">
        <f t="shared" si="1"/>
        <v>18</v>
      </c>
      <c r="S10" s="98">
        <f t="shared" si="1"/>
        <v>0</v>
      </c>
      <c r="T10" s="98">
        <f t="shared" si="1"/>
        <v>0</v>
      </c>
      <c r="U10" s="98">
        <f t="shared" si="1"/>
        <v>0</v>
      </c>
      <c r="V10" s="98">
        <f t="shared" si="1"/>
        <v>0</v>
      </c>
      <c r="W10" s="98">
        <f t="shared" si="1"/>
        <v>0</v>
      </c>
      <c r="X10" s="98">
        <f t="shared" si="1"/>
        <v>0</v>
      </c>
      <c r="Y10" s="98">
        <f t="shared" si="1"/>
        <v>0</v>
      </c>
      <c r="Z10" s="98">
        <f t="shared" si="2"/>
        <v>0</v>
      </c>
      <c r="AA10" s="153">
        <f t="shared" si="3"/>
        <v>76</v>
      </c>
      <c r="AB10" s="94" t="str">
        <f t="shared" si="4"/>
        <v>Kämna</v>
      </c>
    </row>
    <row r="11" spans="2:28">
      <c r="B11" s="294" t="s">
        <v>262</v>
      </c>
      <c r="C11" s="292" t="s">
        <v>228</v>
      </c>
      <c r="D11" s="223" t="s">
        <v>160</v>
      </c>
      <c r="E11" s="98">
        <f t="shared" si="0"/>
        <v>23</v>
      </c>
      <c r="F11" s="98">
        <f t="shared" si="1"/>
        <v>4</v>
      </c>
      <c r="G11" s="98">
        <f t="shared" si="1"/>
        <v>5</v>
      </c>
      <c r="H11" s="98">
        <f t="shared" si="1"/>
        <v>5</v>
      </c>
      <c r="I11" s="98">
        <f t="shared" si="1"/>
        <v>13</v>
      </c>
      <c r="J11" s="98">
        <f t="shared" si="1"/>
        <v>27</v>
      </c>
      <c r="K11" s="98">
        <f t="shared" si="1"/>
        <v>42</v>
      </c>
      <c r="L11" s="98">
        <f t="shared" si="1"/>
        <v>30</v>
      </c>
      <c r="M11" s="98">
        <f t="shared" si="1"/>
        <v>29</v>
      </c>
      <c r="N11" s="98">
        <f t="shared" si="1"/>
        <v>8</v>
      </c>
      <c r="O11" s="98">
        <f t="shared" si="1"/>
        <v>48</v>
      </c>
      <c r="P11" s="98">
        <f t="shared" si="1"/>
        <v>33</v>
      </c>
      <c r="Q11" s="98">
        <f t="shared" si="1"/>
        <v>20</v>
      </c>
      <c r="R11" s="98">
        <f t="shared" si="1"/>
        <v>12</v>
      </c>
      <c r="S11" s="98">
        <f t="shared" si="1"/>
        <v>10</v>
      </c>
      <c r="T11" s="98">
        <f t="shared" si="1"/>
        <v>21</v>
      </c>
      <c r="U11" s="98">
        <f t="shared" si="1"/>
        <v>40</v>
      </c>
      <c r="V11" s="98">
        <f t="shared" si="1"/>
        <v>50</v>
      </c>
      <c r="W11" s="98">
        <f t="shared" si="1"/>
        <v>28</v>
      </c>
      <c r="X11" s="98">
        <f t="shared" si="1"/>
        <v>45</v>
      </c>
      <c r="Y11" s="98">
        <f t="shared" si="1"/>
        <v>15</v>
      </c>
      <c r="Z11" s="98">
        <f t="shared" si="2"/>
        <v>80</v>
      </c>
      <c r="AA11" s="153">
        <f t="shared" si="3"/>
        <v>588</v>
      </c>
      <c r="AB11" s="94" t="str">
        <f t="shared" si="4"/>
        <v>Vingegaard</v>
      </c>
    </row>
    <row r="12" spans="2:28">
      <c r="B12" s="294" t="s">
        <v>269</v>
      </c>
      <c r="C12" s="292" t="s">
        <v>242</v>
      </c>
      <c r="D12" s="223" t="s">
        <v>160</v>
      </c>
      <c r="E12" s="98">
        <f t="shared" si="0"/>
        <v>0</v>
      </c>
      <c r="F12" s="98">
        <f t="shared" si="1"/>
        <v>0</v>
      </c>
      <c r="G12" s="98">
        <f t="shared" si="1"/>
        <v>8</v>
      </c>
      <c r="H12" s="98">
        <f t="shared" si="1"/>
        <v>6</v>
      </c>
      <c r="I12" s="98">
        <f t="shared" si="1"/>
        <v>8</v>
      </c>
      <c r="J12" s="98">
        <f t="shared" si="1"/>
        <v>14</v>
      </c>
      <c r="K12" s="98">
        <f t="shared" si="1"/>
        <v>0</v>
      </c>
      <c r="L12" s="98">
        <f t="shared" si="1"/>
        <v>20</v>
      </c>
      <c r="M12" s="98">
        <f t="shared" si="1"/>
        <v>0</v>
      </c>
      <c r="N12" s="98">
        <f t="shared" si="1"/>
        <v>0</v>
      </c>
      <c r="O12" s="98">
        <f t="shared" si="1"/>
        <v>17</v>
      </c>
      <c r="P12" s="98">
        <f t="shared" si="1"/>
        <v>9</v>
      </c>
      <c r="Q12" s="98">
        <f t="shared" si="1"/>
        <v>1</v>
      </c>
      <c r="R12" s="98">
        <f t="shared" si="1"/>
        <v>0</v>
      </c>
      <c r="S12" s="98">
        <f t="shared" si="1"/>
        <v>10</v>
      </c>
      <c r="T12" s="98">
        <f t="shared" si="1"/>
        <v>23</v>
      </c>
      <c r="U12" s="98">
        <f t="shared" si="1"/>
        <v>21</v>
      </c>
      <c r="V12" s="98">
        <f t="shared" si="1"/>
        <v>21</v>
      </c>
      <c r="W12" s="98">
        <f t="shared" si="1"/>
        <v>18</v>
      </c>
      <c r="X12" s="98">
        <f t="shared" si="1"/>
        <v>14</v>
      </c>
      <c r="Y12" s="98">
        <f t="shared" si="1"/>
        <v>6</v>
      </c>
      <c r="Z12" s="98">
        <f t="shared" si="2"/>
        <v>44</v>
      </c>
      <c r="AA12" s="153">
        <f t="shared" si="3"/>
        <v>240</v>
      </c>
      <c r="AB12" s="94" t="str">
        <f t="shared" si="4"/>
        <v>Vlasov</v>
      </c>
    </row>
    <row r="13" spans="2:28">
      <c r="B13" s="294" t="s">
        <v>270</v>
      </c>
      <c r="C13" s="292" t="s">
        <v>171</v>
      </c>
      <c r="D13" s="223" t="s">
        <v>160</v>
      </c>
      <c r="E13" s="98">
        <f t="shared" si="0"/>
        <v>0</v>
      </c>
      <c r="F13" s="98">
        <f t="shared" si="1"/>
        <v>0</v>
      </c>
      <c r="G13" s="98">
        <f t="shared" si="1"/>
        <v>0</v>
      </c>
      <c r="H13" s="98">
        <f t="shared" si="1"/>
        <v>0</v>
      </c>
      <c r="I13" s="98">
        <f t="shared" si="1"/>
        <v>0</v>
      </c>
      <c r="J13" s="98">
        <f t="shared" si="1"/>
        <v>21</v>
      </c>
      <c r="K13" s="98">
        <f t="shared" si="1"/>
        <v>16</v>
      </c>
      <c r="L13" s="98">
        <f t="shared" si="1"/>
        <v>1</v>
      </c>
      <c r="M13" s="98">
        <f t="shared" si="1"/>
        <v>0</v>
      </c>
      <c r="N13" s="98">
        <f t="shared" si="1"/>
        <v>0</v>
      </c>
      <c r="O13" s="98">
        <f t="shared" si="1"/>
        <v>0</v>
      </c>
      <c r="P13" s="98">
        <f t="shared" si="1"/>
        <v>0</v>
      </c>
      <c r="Q13" s="98">
        <f t="shared" si="1"/>
        <v>0</v>
      </c>
      <c r="R13" s="98">
        <f t="shared" si="1"/>
        <v>9</v>
      </c>
      <c r="S13" s="98">
        <f t="shared" si="1"/>
        <v>0</v>
      </c>
      <c r="T13" s="98">
        <f t="shared" si="1"/>
        <v>6</v>
      </c>
      <c r="U13" s="98">
        <f t="shared" si="1"/>
        <v>0</v>
      </c>
      <c r="V13" s="98">
        <f t="shared" si="1"/>
        <v>19</v>
      </c>
      <c r="W13" s="98">
        <f t="shared" si="1"/>
        <v>0</v>
      </c>
      <c r="X13" s="98">
        <f t="shared" si="1"/>
        <v>6</v>
      </c>
      <c r="Y13" s="98">
        <f t="shared" si="1"/>
        <v>0</v>
      </c>
      <c r="Z13" s="98">
        <f t="shared" si="2"/>
        <v>0</v>
      </c>
      <c r="AA13" s="153">
        <f t="shared" si="3"/>
        <v>78</v>
      </c>
      <c r="AB13" s="94" t="str">
        <f t="shared" si="4"/>
        <v>Martinez</v>
      </c>
    </row>
    <row r="14" spans="2:28">
      <c r="B14" s="294" t="s">
        <v>271</v>
      </c>
      <c r="C14" s="292" t="s">
        <v>243</v>
      </c>
      <c r="D14" s="223" t="s">
        <v>160</v>
      </c>
      <c r="E14" s="98">
        <f t="shared" ref="E14:T20" si="5">INDEX(scorematrix,MATCH($C14,renners,0),MATCH(E$3,etappes,0))</f>
        <v>0</v>
      </c>
      <c r="F14" s="98">
        <f t="shared" si="5"/>
        <v>0</v>
      </c>
      <c r="G14" s="98">
        <f t="shared" si="5"/>
        <v>0</v>
      </c>
      <c r="H14" s="98">
        <f t="shared" si="5"/>
        <v>0</v>
      </c>
      <c r="I14" s="98">
        <f t="shared" si="5"/>
        <v>0</v>
      </c>
      <c r="J14" s="98">
        <f t="shared" si="5"/>
        <v>0</v>
      </c>
      <c r="K14" s="98">
        <f t="shared" si="5"/>
        <v>9</v>
      </c>
      <c r="L14" s="98">
        <f t="shared" si="5"/>
        <v>7</v>
      </c>
      <c r="M14" s="98">
        <f t="shared" si="5"/>
        <v>15</v>
      </c>
      <c r="N14" s="98">
        <f t="shared" si="5"/>
        <v>0</v>
      </c>
      <c r="O14" s="98">
        <f t="shared" si="5"/>
        <v>0</v>
      </c>
      <c r="P14" s="98">
        <f t="shared" si="5"/>
        <v>0</v>
      </c>
      <c r="Q14" s="98">
        <f t="shared" si="5"/>
        <v>0</v>
      </c>
      <c r="R14" s="98">
        <f t="shared" si="5"/>
        <v>0</v>
      </c>
      <c r="S14" s="98">
        <f t="shared" si="5"/>
        <v>0</v>
      </c>
      <c r="T14" s="98">
        <f t="shared" si="5"/>
        <v>16</v>
      </c>
      <c r="U14" s="98">
        <f t="shared" si="1"/>
        <v>0</v>
      </c>
      <c r="V14" s="98">
        <f t="shared" si="1"/>
        <v>0</v>
      </c>
      <c r="W14" s="98">
        <f t="shared" si="1"/>
        <v>0</v>
      </c>
      <c r="X14" s="98">
        <f t="shared" si="1"/>
        <v>0</v>
      </c>
      <c r="Y14" s="98">
        <f t="shared" si="1"/>
        <v>0</v>
      </c>
      <c r="Z14" s="98">
        <f t="shared" si="2"/>
        <v>0</v>
      </c>
      <c r="AA14" s="153">
        <f t="shared" si="3"/>
        <v>47</v>
      </c>
      <c r="AB14" s="94" t="str">
        <f t="shared" si="4"/>
        <v>Caruso</v>
      </c>
    </row>
    <row r="15" spans="2:28">
      <c r="B15" s="294" t="s">
        <v>272</v>
      </c>
      <c r="C15" s="292" t="s">
        <v>213</v>
      </c>
      <c r="D15" s="223" t="s">
        <v>160</v>
      </c>
      <c r="E15" s="98">
        <f t="shared" si="5"/>
        <v>0</v>
      </c>
      <c r="F15" s="98">
        <f t="shared" si="1"/>
        <v>0</v>
      </c>
      <c r="G15" s="98">
        <f t="shared" si="1"/>
        <v>0</v>
      </c>
      <c r="H15" s="98">
        <f t="shared" si="1"/>
        <v>0</v>
      </c>
      <c r="I15" s="98">
        <f t="shared" si="1"/>
        <v>0</v>
      </c>
      <c r="J15" s="98">
        <f t="shared" si="1"/>
        <v>0</v>
      </c>
      <c r="K15" s="98">
        <f t="shared" si="1"/>
        <v>0</v>
      </c>
      <c r="L15" s="98">
        <f t="shared" si="1"/>
        <v>0</v>
      </c>
      <c r="M15" s="98">
        <f t="shared" si="1"/>
        <v>0</v>
      </c>
      <c r="N15" s="98">
        <f t="shared" si="1"/>
        <v>0</v>
      </c>
      <c r="O15" s="340">
        <f t="shared" si="1"/>
        <v>0</v>
      </c>
      <c r="P15" s="340">
        <f t="shared" si="1"/>
        <v>0</v>
      </c>
      <c r="Q15" s="340">
        <f t="shared" si="1"/>
        <v>0</v>
      </c>
      <c r="R15" s="340">
        <f t="shared" si="1"/>
        <v>0</v>
      </c>
      <c r="S15" s="340">
        <f t="shared" si="1"/>
        <v>0</v>
      </c>
      <c r="T15" s="340">
        <f t="shared" si="1"/>
        <v>0</v>
      </c>
      <c r="U15" s="340">
        <f t="shared" si="1"/>
        <v>0</v>
      </c>
      <c r="V15" s="340">
        <f t="shared" si="1"/>
        <v>0</v>
      </c>
      <c r="W15" s="340">
        <f t="shared" si="1"/>
        <v>0</v>
      </c>
      <c r="X15" s="340">
        <f t="shared" si="1"/>
        <v>0</v>
      </c>
      <c r="Y15" s="340">
        <f t="shared" si="1"/>
        <v>0</v>
      </c>
      <c r="Z15" s="340">
        <f t="shared" si="2"/>
        <v>0</v>
      </c>
      <c r="AA15" s="153">
        <f t="shared" si="3"/>
        <v>0</v>
      </c>
      <c r="AB15" s="94" t="str">
        <f t="shared" si="4"/>
        <v>O'Connor</v>
      </c>
    </row>
    <row r="16" spans="2:28">
      <c r="B16" s="294" t="s">
        <v>217</v>
      </c>
      <c r="C16" s="292" t="s">
        <v>195</v>
      </c>
      <c r="D16" s="223" t="s">
        <v>106</v>
      </c>
      <c r="E16" s="98">
        <f t="shared" si="5"/>
        <v>29</v>
      </c>
      <c r="F16" s="98">
        <f t="shared" si="1"/>
        <v>12</v>
      </c>
      <c r="G16" s="98">
        <f t="shared" si="1"/>
        <v>6</v>
      </c>
      <c r="H16" s="98">
        <f t="shared" si="1"/>
        <v>6</v>
      </c>
      <c r="I16" s="98">
        <f t="shared" si="1"/>
        <v>0</v>
      </c>
      <c r="J16" s="98">
        <f t="shared" si="1"/>
        <v>0</v>
      </c>
      <c r="K16" s="340">
        <f t="shared" si="1"/>
        <v>0</v>
      </c>
      <c r="L16" s="340">
        <f t="shared" si="1"/>
        <v>0</v>
      </c>
      <c r="M16" s="340">
        <f t="shared" si="1"/>
        <v>0</v>
      </c>
      <c r="N16" s="340">
        <f t="shared" si="1"/>
        <v>0</v>
      </c>
      <c r="O16" s="340">
        <f t="shared" si="1"/>
        <v>0</v>
      </c>
      <c r="P16" s="340">
        <f t="shared" si="1"/>
        <v>0</v>
      </c>
      <c r="Q16" s="340">
        <f t="shared" si="1"/>
        <v>0</v>
      </c>
      <c r="R16" s="340">
        <f t="shared" si="1"/>
        <v>0</v>
      </c>
      <c r="S16" s="340">
        <f t="shared" si="1"/>
        <v>0</v>
      </c>
      <c r="T16" s="340">
        <f t="shared" si="1"/>
        <v>0</v>
      </c>
      <c r="U16" s="340">
        <f t="shared" si="1"/>
        <v>0</v>
      </c>
      <c r="V16" s="340">
        <f t="shared" si="1"/>
        <v>0</v>
      </c>
      <c r="W16" s="340">
        <f t="shared" si="1"/>
        <v>0</v>
      </c>
      <c r="X16" s="340">
        <f t="shared" si="1"/>
        <v>0</v>
      </c>
      <c r="Y16" s="340">
        <f t="shared" si="1"/>
        <v>0</v>
      </c>
      <c r="Z16" s="340">
        <f t="shared" si="2"/>
        <v>0</v>
      </c>
      <c r="AA16" s="153">
        <f t="shared" si="3"/>
        <v>53</v>
      </c>
      <c r="AB16" s="94" t="str">
        <f t="shared" si="4"/>
        <v>van der Poel</v>
      </c>
    </row>
    <row r="17" spans="2:28">
      <c r="B17" s="294" t="s">
        <v>158</v>
      </c>
      <c r="C17" s="292" t="s">
        <v>156</v>
      </c>
      <c r="D17" s="223" t="s">
        <v>106</v>
      </c>
      <c r="E17" s="98">
        <f t="shared" si="5"/>
        <v>43</v>
      </c>
      <c r="F17" s="98">
        <f t="shared" si="1"/>
        <v>45</v>
      </c>
      <c r="G17" s="98">
        <f t="shared" si="1"/>
        <v>45</v>
      </c>
      <c r="H17" s="98">
        <f t="shared" si="1"/>
        <v>54</v>
      </c>
      <c r="I17" s="98">
        <f t="shared" si="1"/>
        <v>29</v>
      </c>
      <c r="J17" s="98">
        <f t="shared" si="1"/>
        <v>8</v>
      </c>
      <c r="K17" s="98">
        <f t="shared" si="1"/>
        <v>5</v>
      </c>
      <c r="L17" s="98">
        <f t="shared" si="1"/>
        <v>40</v>
      </c>
      <c r="M17" s="98">
        <f t="shared" si="1"/>
        <v>5</v>
      </c>
      <c r="N17" s="98">
        <f t="shared" si="1"/>
        <v>5</v>
      </c>
      <c r="O17" s="98">
        <f t="shared" si="1"/>
        <v>5</v>
      </c>
      <c r="P17" s="98">
        <f t="shared" si="1"/>
        <v>5</v>
      </c>
      <c r="Q17" s="98">
        <f t="shared" si="1"/>
        <v>24</v>
      </c>
      <c r="R17" s="98">
        <f t="shared" si="1"/>
        <v>5</v>
      </c>
      <c r="S17" s="98">
        <f t="shared" si="1"/>
        <v>35</v>
      </c>
      <c r="T17" s="98">
        <f t="shared" si="1"/>
        <v>18</v>
      </c>
      <c r="U17" s="98">
        <f t="shared" si="1"/>
        <v>5</v>
      </c>
      <c r="V17" s="98">
        <f t="shared" si="1"/>
        <v>32</v>
      </c>
      <c r="W17" s="98">
        <f t="shared" si="1"/>
        <v>6</v>
      </c>
      <c r="X17" s="98">
        <f t="shared" si="1"/>
        <v>41</v>
      </c>
      <c r="Y17" s="98">
        <f t="shared" si="1"/>
        <v>6</v>
      </c>
      <c r="Z17" s="98">
        <f t="shared" si="2"/>
        <v>11</v>
      </c>
      <c r="AA17" s="153">
        <f t="shared" si="3"/>
        <v>472</v>
      </c>
      <c r="AB17" s="94" t="str">
        <f t="shared" si="4"/>
        <v>van Aert</v>
      </c>
    </row>
    <row r="18" spans="2:28">
      <c r="B18" s="294" t="s">
        <v>273</v>
      </c>
      <c r="C18" s="292" t="s">
        <v>231</v>
      </c>
      <c r="D18" s="223" t="s">
        <v>106</v>
      </c>
      <c r="E18" s="98">
        <f t="shared" si="5"/>
        <v>12</v>
      </c>
      <c r="F18" s="98">
        <f t="shared" si="1"/>
        <v>0</v>
      </c>
      <c r="G18" s="98">
        <f t="shared" si="1"/>
        <v>2</v>
      </c>
      <c r="H18" s="98">
        <f t="shared" si="1"/>
        <v>2</v>
      </c>
      <c r="I18" s="98">
        <f t="shared" si="1"/>
        <v>0</v>
      </c>
      <c r="J18" s="98">
        <f t="shared" si="1"/>
        <v>0</v>
      </c>
      <c r="K18" s="98">
        <f t="shared" ref="F18:Y20" si="6">INDEX(scorematrix,MATCH($C18,renners,0),MATCH(K$3,etappes,0))</f>
        <v>0</v>
      </c>
      <c r="L18" s="98">
        <f t="shared" si="6"/>
        <v>0</v>
      </c>
      <c r="M18" s="98">
        <f t="shared" si="6"/>
        <v>0</v>
      </c>
      <c r="N18" s="98">
        <f t="shared" si="6"/>
        <v>0</v>
      </c>
      <c r="O18" s="98">
        <f t="shared" si="6"/>
        <v>0</v>
      </c>
      <c r="P18" s="98">
        <f t="shared" si="6"/>
        <v>0</v>
      </c>
      <c r="Q18" s="98">
        <f t="shared" si="6"/>
        <v>24</v>
      </c>
      <c r="R18" s="98">
        <f t="shared" si="6"/>
        <v>0</v>
      </c>
      <c r="S18" s="98">
        <f t="shared" si="6"/>
        <v>0</v>
      </c>
      <c r="T18" s="98">
        <f t="shared" si="6"/>
        <v>0</v>
      </c>
      <c r="U18" s="98">
        <f t="shared" si="6"/>
        <v>0</v>
      </c>
      <c r="V18" s="98">
        <f t="shared" si="6"/>
        <v>0</v>
      </c>
      <c r="W18" s="98">
        <f t="shared" si="6"/>
        <v>0</v>
      </c>
      <c r="X18" s="98">
        <f t="shared" si="6"/>
        <v>15</v>
      </c>
      <c r="Y18" s="98">
        <f t="shared" si="6"/>
        <v>10</v>
      </c>
      <c r="Z18" s="98">
        <f t="shared" si="2"/>
        <v>0</v>
      </c>
      <c r="AA18" s="153">
        <f t="shared" si="3"/>
        <v>65</v>
      </c>
      <c r="AB18" s="94" t="str">
        <f t="shared" si="4"/>
        <v>Küng</v>
      </c>
    </row>
    <row r="19" spans="2:28">
      <c r="B19" s="294" t="s">
        <v>274</v>
      </c>
      <c r="C19" s="292" t="s">
        <v>281</v>
      </c>
      <c r="D19" s="223" t="s">
        <v>106</v>
      </c>
      <c r="E19" s="98">
        <f t="shared" si="5"/>
        <v>0</v>
      </c>
      <c r="F19" s="98">
        <f t="shared" si="6"/>
        <v>0</v>
      </c>
      <c r="G19" s="98">
        <f t="shared" si="6"/>
        <v>0</v>
      </c>
      <c r="H19" s="98">
        <f t="shared" si="6"/>
        <v>16</v>
      </c>
      <c r="I19" s="98">
        <f t="shared" si="6"/>
        <v>0</v>
      </c>
      <c r="J19" s="98">
        <f t="shared" si="6"/>
        <v>0</v>
      </c>
      <c r="K19" s="98">
        <f t="shared" si="6"/>
        <v>0</v>
      </c>
      <c r="L19" s="98">
        <f t="shared" si="6"/>
        <v>19</v>
      </c>
      <c r="M19" s="98">
        <f t="shared" si="6"/>
        <v>0</v>
      </c>
      <c r="N19" s="98">
        <f t="shared" si="6"/>
        <v>19</v>
      </c>
      <c r="O19" s="98">
        <f t="shared" si="6"/>
        <v>0</v>
      </c>
      <c r="P19" s="98">
        <f t="shared" si="6"/>
        <v>0</v>
      </c>
      <c r="Q19" s="98">
        <f t="shared" si="6"/>
        <v>0</v>
      </c>
      <c r="R19" s="98">
        <f t="shared" si="6"/>
        <v>0</v>
      </c>
      <c r="S19" s="98">
        <f t="shared" si="6"/>
        <v>0</v>
      </c>
      <c r="T19" s="98">
        <f t="shared" si="6"/>
        <v>0</v>
      </c>
      <c r="U19" s="98">
        <f t="shared" si="6"/>
        <v>0</v>
      </c>
      <c r="V19" s="98">
        <f t="shared" si="6"/>
        <v>0</v>
      </c>
      <c r="W19" s="98">
        <f t="shared" si="6"/>
        <v>0</v>
      </c>
      <c r="X19" s="98">
        <f t="shared" si="6"/>
        <v>0</v>
      </c>
      <c r="Y19" s="98">
        <f t="shared" si="6"/>
        <v>0</v>
      </c>
      <c r="Z19" s="98">
        <f t="shared" si="2"/>
        <v>0</v>
      </c>
      <c r="AA19" s="153">
        <f t="shared" si="3"/>
        <v>54</v>
      </c>
      <c r="AB19" s="94" t="str">
        <f t="shared" si="4"/>
        <v>B.Thomas</v>
      </c>
    </row>
    <row r="20" spans="2:28" s="140" customFormat="1" ht="14.4" thickBot="1">
      <c r="B20" s="294" t="s">
        <v>275</v>
      </c>
      <c r="C20" s="292" t="s">
        <v>86</v>
      </c>
      <c r="D20" s="223" t="s">
        <v>106</v>
      </c>
      <c r="E20" s="98">
        <f t="shared" si="5"/>
        <v>0</v>
      </c>
      <c r="F20" s="98">
        <f t="shared" si="6"/>
        <v>0</v>
      </c>
      <c r="G20" s="98">
        <f t="shared" si="6"/>
        <v>0</v>
      </c>
      <c r="H20" s="98">
        <f t="shared" si="6"/>
        <v>0</v>
      </c>
      <c r="I20" s="98">
        <f t="shared" si="6"/>
        <v>7</v>
      </c>
      <c r="J20" s="98">
        <f t="shared" si="6"/>
        <v>0</v>
      </c>
      <c r="K20" s="98">
        <f t="shared" si="6"/>
        <v>0</v>
      </c>
      <c r="L20" s="98">
        <f t="shared" si="6"/>
        <v>0</v>
      </c>
      <c r="M20" s="98">
        <f t="shared" si="6"/>
        <v>0</v>
      </c>
      <c r="N20" s="98">
        <f t="shared" si="6"/>
        <v>0</v>
      </c>
      <c r="O20" s="98">
        <f t="shared" si="6"/>
        <v>0</v>
      </c>
      <c r="P20" s="98">
        <f t="shared" si="6"/>
        <v>0</v>
      </c>
      <c r="Q20" s="98">
        <f t="shared" si="6"/>
        <v>0</v>
      </c>
      <c r="R20" s="98">
        <f t="shared" si="6"/>
        <v>20</v>
      </c>
      <c r="S20" s="98">
        <f t="shared" si="6"/>
        <v>0</v>
      </c>
      <c r="T20" s="98">
        <f t="shared" si="6"/>
        <v>0</v>
      </c>
      <c r="U20" s="98">
        <f t="shared" si="6"/>
        <v>0</v>
      </c>
      <c r="V20" s="98">
        <f t="shared" si="6"/>
        <v>0</v>
      </c>
      <c r="W20" s="98">
        <f t="shared" si="6"/>
        <v>0</v>
      </c>
      <c r="X20" s="98">
        <f t="shared" si="6"/>
        <v>0</v>
      </c>
      <c r="Y20" s="98">
        <f t="shared" si="6"/>
        <v>0</v>
      </c>
      <c r="Z20" s="98">
        <f t="shared" ref="Z20" si="7">INDEX(scorematrix,MATCH($C20,renners,0),MATCH(Z$3,etappes,0))</f>
        <v>0</v>
      </c>
      <c r="AA20" s="153">
        <f t="shared" si="3"/>
        <v>27</v>
      </c>
      <c r="AB20" s="94" t="str">
        <f t="shared" si="4"/>
        <v>Fuglsang</v>
      </c>
    </row>
    <row r="21" spans="2:28" s="141" customFormat="1">
      <c r="B21" s="291"/>
      <c r="C21" s="288"/>
      <c r="D21" s="148"/>
      <c r="E21" s="150"/>
      <c r="F21" s="150"/>
      <c r="G21" s="150"/>
      <c r="H21" s="150"/>
      <c r="I21" s="150"/>
      <c r="J21" s="150"/>
      <c r="K21" s="150">
        <f>-K16-K7+K24+K26</f>
        <v>21</v>
      </c>
      <c r="L21" s="150">
        <f t="shared" ref="L21:N21" si="8">-L16-L7+L24+L26</f>
        <v>12</v>
      </c>
      <c r="M21" s="150">
        <f t="shared" si="8"/>
        <v>20</v>
      </c>
      <c r="N21" s="150">
        <f t="shared" si="8"/>
        <v>2</v>
      </c>
      <c r="O21" s="150">
        <f>-O16-O7+O24+O26+O25-O15</f>
        <v>19</v>
      </c>
      <c r="P21" s="150">
        <f t="shared" ref="P21:Z21" si="9">-P16-P7+P24+P26+P25-P15</f>
        <v>37</v>
      </c>
      <c r="Q21" s="150">
        <f t="shared" si="9"/>
        <v>2</v>
      </c>
      <c r="R21" s="150">
        <f t="shared" si="9"/>
        <v>1</v>
      </c>
      <c r="S21" s="150">
        <f t="shared" si="9"/>
        <v>1</v>
      </c>
      <c r="T21" s="150">
        <f t="shared" si="9"/>
        <v>22</v>
      </c>
      <c r="U21" s="150">
        <f t="shared" si="9"/>
        <v>15</v>
      </c>
      <c r="V21" s="150">
        <f t="shared" si="9"/>
        <v>7</v>
      </c>
      <c r="W21" s="150">
        <f t="shared" si="9"/>
        <v>-16</v>
      </c>
      <c r="X21" s="150">
        <f t="shared" si="9"/>
        <v>0</v>
      </c>
      <c r="Y21" s="150">
        <f t="shared" si="9"/>
        <v>-18</v>
      </c>
      <c r="Z21" s="150">
        <f t="shared" si="9"/>
        <v>16</v>
      </c>
      <c r="AA21" s="193">
        <f t="shared" si="3"/>
        <v>141</v>
      </c>
    </row>
    <row r="22" spans="2:28" s="97" customFormat="1">
      <c r="B22" s="287"/>
      <c r="C22" s="289"/>
      <c r="D22" s="296"/>
      <c r="E22" s="309">
        <f t="shared" ref="E22:AA22" si="10">SUM(E4:E21)</f>
        <v>139</v>
      </c>
      <c r="F22" s="309">
        <f t="shared" ref="F22" si="11">SUM(F4:F21)</f>
        <v>170</v>
      </c>
      <c r="G22" s="309">
        <f>SUM(G4:G21)</f>
        <v>156</v>
      </c>
      <c r="H22" s="309">
        <f t="shared" si="10"/>
        <v>158</v>
      </c>
      <c r="I22" s="309">
        <f t="shared" si="10"/>
        <v>105</v>
      </c>
      <c r="J22" s="309">
        <f t="shared" si="10"/>
        <v>80</v>
      </c>
      <c r="K22" s="309">
        <f t="shared" si="10"/>
        <v>124</v>
      </c>
      <c r="L22" s="309">
        <f t="shared" si="10"/>
        <v>136</v>
      </c>
      <c r="M22" s="309">
        <f t="shared" si="10"/>
        <v>101</v>
      </c>
      <c r="N22" s="309">
        <f t="shared" si="10"/>
        <v>63</v>
      </c>
      <c r="O22" s="309">
        <f t="shared" si="10"/>
        <v>93</v>
      </c>
      <c r="P22" s="309">
        <f t="shared" si="10"/>
        <v>106</v>
      </c>
      <c r="Q22" s="309">
        <f t="shared" si="10"/>
        <v>113</v>
      </c>
      <c r="R22" s="309">
        <f t="shared" si="10"/>
        <v>71</v>
      </c>
      <c r="S22" s="309">
        <f t="shared" si="10"/>
        <v>121</v>
      </c>
      <c r="T22" s="309">
        <f t="shared" si="10"/>
        <v>113</v>
      </c>
      <c r="U22" s="309">
        <f t="shared" si="10"/>
        <v>101</v>
      </c>
      <c r="V22" s="309">
        <f t="shared" si="10"/>
        <v>138</v>
      </c>
      <c r="W22" s="309">
        <f t="shared" si="10"/>
        <v>90</v>
      </c>
      <c r="X22" s="309">
        <f t="shared" si="10"/>
        <v>128</v>
      </c>
      <c r="Y22" s="309">
        <f t="shared" si="10"/>
        <v>93</v>
      </c>
      <c r="Z22" s="309">
        <f t="shared" si="10"/>
        <v>164</v>
      </c>
      <c r="AA22" s="190">
        <f t="shared" si="10"/>
        <v>2563</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t="s">
        <v>153</v>
      </c>
      <c r="C24" s="293" t="s">
        <v>154</v>
      </c>
      <c r="D24" s="226" t="s">
        <v>160</v>
      </c>
      <c r="E24" s="160">
        <f t="shared" ref="E24:Z26" si="12">INDEX(scorematrix,MATCH($C24,renners,0),MATCH(E$3,etappes,0))</f>
        <v>0</v>
      </c>
      <c r="F24" s="160">
        <f t="shared" si="12"/>
        <v>0</v>
      </c>
      <c r="G24" s="160">
        <f t="shared" si="12"/>
        <v>0</v>
      </c>
      <c r="H24" s="160">
        <f t="shared" si="12"/>
        <v>0</v>
      </c>
      <c r="I24" s="160">
        <f t="shared" si="12"/>
        <v>0</v>
      </c>
      <c r="J24" s="160">
        <f t="shared" si="12"/>
        <v>15</v>
      </c>
      <c r="K24" s="338">
        <f t="shared" si="12"/>
        <v>21</v>
      </c>
      <c r="L24" s="338">
        <f t="shared" si="12"/>
        <v>12</v>
      </c>
      <c r="M24" s="338">
        <f t="shared" si="12"/>
        <v>20</v>
      </c>
      <c r="N24" s="338">
        <f t="shared" si="12"/>
        <v>2</v>
      </c>
      <c r="O24" s="338">
        <f t="shared" si="12"/>
        <v>12</v>
      </c>
      <c r="P24" s="338">
        <f t="shared" si="12"/>
        <v>20</v>
      </c>
      <c r="Q24" s="338">
        <f t="shared" si="12"/>
        <v>2</v>
      </c>
      <c r="R24" s="338">
        <f t="shared" si="12"/>
        <v>1</v>
      </c>
      <c r="S24" s="338">
        <f t="shared" si="12"/>
        <v>1</v>
      </c>
      <c r="T24" s="338">
        <f t="shared" si="12"/>
        <v>0</v>
      </c>
      <c r="U24" s="338">
        <f t="shared" si="12"/>
        <v>15</v>
      </c>
      <c r="V24" s="338">
        <f t="shared" si="12"/>
        <v>7</v>
      </c>
      <c r="W24" s="338">
        <f t="shared" si="12"/>
        <v>0</v>
      </c>
      <c r="X24" s="338">
        <f t="shared" si="12"/>
        <v>0</v>
      </c>
      <c r="Y24" s="338">
        <f t="shared" si="12"/>
        <v>0</v>
      </c>
      <c r="Z24" s="338">
        <f t="shared" si="12"/>
        <v>0</v>
      </c>
      <c r="AA24" s="245">
        <f>SUM(E24:Z24)</f>
        <v>128</v>
      </c>
    </row>
    <row r="25" spans="2:28" s="145" customFormat="1">
      <c r="B25" s="295" t="s">
        <v>276</v>
      </c>
      <c r="C25" s="293" t="s">
        <v>229</v>
      </c>
      <c r="D25" s="226" t="s">
        <v>160</v>
      </c>
      <c r="E25" s="160">
        <f t="shared" si="12"/>
        <v>0</v>
      </c>
      <c r="F25" s="160">
        <f t="shared" si="12"/>
        <v>0</v>
      </c>
      <c r="G25" s="160">
        <f t="shared" si="12"/>
        <v>0</v>
      </c>
      <c r="H25" s="160">
        <f t="shared" si="12"/>
        <v>0</v>
      </c>
      <c r="I25" s="160">
        <f t="shared" si="12"/>
        <v>0</v>
      </c>
      <c r="J25" s="160">
        <f t="shared" si="12"/>
        <v>0</v>
      </c>
      <c r="K25" s="160">
        <f t="shared" si="12"/>
        <v>16</v>
      </c>
      <c r="L25" s="160">
        <f t="shared" si="12"/>
        <v>0</v>
      </c>
      <c r="M25" s="160">
        <f t="shared" si="12"/>
        <v>7</v>
      </c>
      <c r="N25" s="160">
        <f t="shared" si="12"/>
        <v>0</v>
      </c>
      <c r="O25" s="338">
        <f t="shared" si="12"/>
        <v>7</v>
      </c>
      <c r="P25" s="338">
        <f t="shared" si="12"/>
        <v>17</v>
      </c>
      <c r="Q25" s="338">
        <f t="shared" si="12"/>
        <v>0</v>
      </c>
      <c r="R25" s="338">
        <f t="shared" si="12"/>
        <v>0</v>
      </c>
      <c r="S25" s="338">
        <f t="shared" si="12"/>
        <v>0</v>
      </c>
      <c r="T25" s="338">
        <f t="shared" si="12"/>
        <v>0</v>
      </c>
      <c r="U25" s="338">
        <f t="shared" si="12"/>
        <v>0</v>
      </c>
      <c r="V25" s="338">
        <f t="shared" si="12"/>
        <v>0</v>
      </c>
      <c r="W25" s="338">
        <f t="shared" si="12"/>
        <v>0</v>
      </c>
      <c r="X25" s="338">
        <f t="shared" si="12"/>
        <v>0</v>
      </c>
      <c r="Y25" s="338">
        <f t="shared" si="12"/>
        <v>0</v>
      </c>
      <c r="Z25" s="338">
        <f t="shared" si="12"/>
        <v>16</v>
      </c>
      <c r="AA25" s="245">
        <f>SUM(E25:Z25)</f>
        <v>63</v>
      </c>
    </row>
    <row r="26" spans="2:28" s="145" customFormat="1">
      <c r="B26" s="295" t="s">
        <v>207</v>
      </c>
      <c r="C26" s="293" t="s">
        <v>282</v>
      </c>
      <c r="D26" s="226" t="s">
        <v>160</v>
      </c>
      <c r="E26" s="160">
        <f t="shared" si="12"/>
        <v>0</v>
      </c>
      <c r="F26" s="160">
        <f t="shared" si="12"/>
        <v>0</v>
      </c>
      <c r="G26" s="160">
        <f t="shared" si="12"/>
        <v>0</v>
      </c>
      <c r="H26" s="160">
        <f t="shared" si="12"/>
        <v>0</v>
      </c>
      <c r="I26" s="160">
        <f t="shared" si="12"/>
        <v>0</v>
      </c>
      <c r="J26" s="160">
        <f t="shared" si="12"/>
        <v>0</v>
      </c>
      <c r="K26" s="338">
        <f t="shared" si="12"/>
        <v>0</v>
      </c>
      <c r="L26" s="338">
        <f t="shared" si="12"/>
        <v>0</v>
      </c>
      <c r="M26" s="338">
        <f t="shared" si="12"/>
        <v>0</v>
      </c>
      <c r="N26" s="338">
        <f t="shared" si="12"/>
        <v>0</v>
      </c>
      <c r="O26" s="338">
        <f t="shared" si="12"/>
        <v>0</v>
      </c>
      <c r="P26" s="338">
        <f t="shared" si="12"/>
        <v>0</v>
      </c>
      <c r="Q26" s="338">
        <f t="shared" si="12"/>
        <v>0</v>
      </c>
      <c r="R26" s="338">
        <f t="shared" si="12"/>
        <v>0</v>
      </c>
      <c r="S26" s="338">
        <f t="shared" si="12"/>
        <v>0</v>
      </c>
      <c r="T26" s="338">
        <f t="shared" si="12"/>
        <v>22</v>
      </c>
      <c r="U26" s="338">
        <f t="shared" si="12"/>
        <v>0</v>
      </c>
      <c r="V26" s="338">
        <f t="shared" si="12"/>
        <v>0</v>
      </c>
      <c r="W26" s="338">
        <f t="shared" si="12"/>
        <v>0</v>
      </c>
      <c r="X26" s="338">
        <f t="shared" si="12"/>
        <v>0</v>
      </c>
      <c r="Y26" s="338">
        <f t="shared" si="12"/>
        <v>0</v>
      </c>
      <c r="Z26" s="338">
        <f t="shared" si="12"/>
        <v>0</v>
      </c>
      <c r="AA26" s="245">
        <f>SUM(E26:Z26)</f>
        <v>22</v>
      </c>
    </row>
    <row r="28" spans="2:28">
      <c r="C28" s="246" t="s">
        <v>160</v>
      </c>
      <c r="D28" s="247">
        <f>COUNTIF($D$4:$D$21,C28)</f>
        <v>8</v>
      </c>
    </row>
    <row r="29" spans="2:28">
      <c r="C29" s="248" t="s">
        <v>10</v>
      </c>
      <c r="D29" s="247">
        <f>COUNTIF($D$4:$D$21,C29)</f>
        <v>4</v>
      </c>
    </row>
    <row r="30" spans="2:28">
      <c r="C30" s="248" t="s">
        <v>106</v>
      </c>
      <c r="D30" s="247">
        <f>COUNTIF($D$4:$D$21,C30)</f>
        <v>5</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A00-000000000000}">
      <formula1>type_renner</formula1>
    </dataValidation>
  </dataValidation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tabColor indexed="12"/>
  </sheetPr>
  <dimension ref="B1:AB30"/>
  <sheetViews>
    <sheetView showZeros="0" workbookViewId="0">
      <selection activeCell="AC32" sqref="AC32"/>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332</v>
      </c>
      <c r="D1" s="220"/>
    </row>
    <row r="2" spans="2:28">
      <c r="B2" s="146"/>
      <c r="C2" s="250"/>
      <c r="D2" s="147"/>
      <c r="H2" s="112"/>
    </row>
    <row r="3" spans="2:28" s="110" customFormat="1" ht="14.4" thickBot="1">
      <c r="B3" s="251"/>
      <c r="C3" s="252" t="s">
        <v>98</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158</v>
      </c>
      <c r="C4" s="292" t="s">
        <v>156</v>
      </c>
      <c r="D4" s="223" t="s">
        <v>106</v>
      </c>
      <c r="E4" s="98">
        <f t="shared" ref="E4:T13" si="0">INDEX(scorematrix,MATCH($C4,renners,0),MATCH(E$3,etappes,0))</f>
        <v>43</v>
      </c>
      <c r="F4" s="98">
        <f t="shared" si="0"/>
        <v>45</v>
      </c>
      <c r="G4" s="98">
        <f t="shared" si="0"/>
        <v>45</v>
      </c>
      <c r="H4" s="98">
        <f t="shared" si="0"/>
        <v>54</v>
      </c>
      <c r="I4" s="98">
        <f t="shared" si="0"/>
        <v>29</v>
      </c>
      <c r="J4" s="98">
        <f t="shared" si="0"/>
        <v>8</v>
      </c>
      <c r="K4" s="98">
        <f t="shared" si="0"/>
        <v>5</v>
      </c>
      <c r="L4" s="98">
        <f t="shared" si="0"/>
        <v>40</v>
      </c>
      <c r="M4" s="98">
        <f t="shared" si="0"/>
        <v>5</v>
      </c>
      <c r="N4" s="98">
        <f t="shared" si="0"/>
        <v>5</v>
      </c>
      <c r="O4" s="98">
        <f t="shared" si="0"/>
        <v>5</v>
      </c>
      <c r="P4" s="98">
        <f t="shared" si="0"/>
        <v>5</v>
      </c>
      <c r="Q4" s="98">
        <f t="shared" si="0"/>
        <v>24</v>
      </c>
      <c r="R4" s="98">
        <f t="shared" si="0"/>
        <v>5</v>
      </c>
      <c r="S4" s="98">
        <f t="shared" si="0"/>
        <v>35</v>
      </c>
      <c r="T4" s="98">
        <f t="shared" si="0"/>
        <v>18</v>
      </c>
      <c r="U4" s="98">
        <f t="shared" ref="F4:Y18" si="1">INDEX(scorematrix,MATCH($C4,renners,0),MATCH(U$3,etappes,0))</f>
        <v>5</v>
      </c>
      <c r="V4" s="98">
        <f t="shared" si="1"/>
        <v>32</v>
      </c>
      <c r="W4" s="98">
        <f t="shared" si="1"/>
        <v>6</v>
      </c>
      <c r="X4" s="98">
        <f t="shared" si="1"/>
        <v>41</v>
      </c>
      <c r="Y4" s="98">
        <f t="shared" si="1"/>
        <v>6</v>
      </c>
      <c r="Z4" s="98">
        <f t="shared" ref="Z4:Z19" si="2">INDEX(scorematrix,MATCH($C4,renners,0),MATCH(Z$3,etappes,0))</f>
        <v>11</v>
      </c>
      <c r="AA4" s="153">
        <f t="shared" ref="AA4:AA21" si="3">SUM(E4:Z4)</f>
        <v>472</v>
      </c>
      <c r="AB4" s="94" t="str">
        <f t="shared" ref="AB4:AB20" si="4">C4</f>
        <v>van Aert</v>
      </c>
    </row>
    <row r="5" spans="2:28">
      <c r="B5" s="294" t="s">
        <v>227</v>
      </c>
      <c r="C5" s="292" t="s">
        <v>228</v>
      </c>
      <c r="D5" s="223" t="s">
        <v>160</v>
      </c>
      <c r="E5" s="98">
        <f t="shared" si="0"/>
        <v>23</v>
      </c>
      <c r="F5" s="98">
        <f t="shared" si="1"/>
        <v>4</v>
      </c>
      <c r="G5" s="98">
        <f t="shared" si="1"/>
        <v>5</v>
      </c>
      <c r="H5" s="98">
        <f t="shared" si="1"/>
        <v>5</v>
      </c>
      <c r="I5" s="98">
        <f t="shared" si="1"/>
        <v>13</v>
      </c>
      <c r="J5" s="98">
        <f t="shared" si="1"/>
        <v>27</v>
      </c>
      <c r="K5" s="98">
        <f t="shared" si="1"/>
        <v>42</v>
      </c>
      <c r="L5" s="98">
        <f t="shared" si="1"/>
        <v>30</v>
      </c>
      <c r="M5" s="98">
        <f t="shared" si="1"/>
        <v>29</v>
      </c>
      <c r="N5" s="98">
        <f t="shared" si="1"/>
        <v>8</v>
      </c>
      <c r="O5" s="98">
        <f t="shared" si="1"/>
        <v>48</v>
      </c>
      <c r="P5" s="98">
        <f t="shared" si="1"/>
        <v>33</v>
      </c>
      <c r="Q5" s="98">
        <f t="shared" si="1"/>
        <v>20</v>
      </c>
      <c r="R5" s="98">
        <f t="shared" si="1"/>
        <v>12</v>
      </c>
      <c r="S5" s="98">
        <f t="shared" si="1"/>
        <v>10</v>
      </c>
      <c r="T5" s="98">
        <f t="shared" si="1"/>
        <v>21</v>
      </c>
      <c r="U5" s="98">
        <f t="shared" si="1"/>
        <v>40</v>
      </c>
      <c r="V5" s="98">
        <f t="shared" si="1"/>
        <v>50</v>
      </c>
      <c r="W5" s="98">
        <f t="shared" si="1"/>
        <v>28</v>
      </c>
      <c r="X5" s="98">
        <f t="shared" si="1"/>
        <v>45</v>
      </c>
      <c r="Y5" s="98">
        <f t="shared" si="1"/>
        <v>15</v>
      </c>
      <c r="Z5" s="98">
        <f t="shared" si="2"/>
        <v>80</v>
      </c>
      <c r="AA5" s="153">
        <f t="shared" si="3"/>
        <v>588</v>
      </c>
      <c r="AB5" s="94" t="str">
        <f t="shared" si="4"/>
        <v>Vingegaard</v>
      </c>
    </row>
    <row r="6" spans="2:28">
      <c r="B6" s="294" t="s">
        <v>333</v>
      </c>
      <c r="C6" s="292" t="s">
        <v>75</v>
      </c>
      <c r="D6" s="223" t="s">
        <v>160</v>
      </c>
      <c r="E6" s="98">
        <f t="shared" si="0"/>
        <v>8</v>
      </c>
      <c r="F6" s="98">
        <f t="shared" si="1"/>
        <v>0</v>
      </c>
      <c r="G6" s="98">
        <f t="shared" si="1"/>
        <v>0</v>
      </c>
      <c r="H6" s="98">
        <f t="shared" si="1"/>
        <v>0</v>
      </c>
      <c r="I6" s="98">
        <f t="shared" si="1"/>
        <v>1</v>
      </c>
      <c r="J6" s="98">
        <f t="shared" si="1"/>
        <v>16</v>
      </c>
      <c r="K6" s="98">
        <f t="shared" si="1"/>
        <v>30</v>
      </c>
      <c r="L6" s="98">
        <f t="shared" si="1"/>
        <v>23</v>
      </c>
      <c r="M6" s="98">
        <f t="shared" si="1"/>
        <v>27</v>
      </c>
      <c r="N6" s="98">
        <f t="shared" si="1"/>
        <v>7</v>
      </c>
      <c r="O6" s="98">
        <f t="shared" si="1"/>
        <v>31</v>
      </c>
      <c r="P6" s="98">
        <f t="shared" si="1"/>
        <v>27</v>
      </c>
      <c r="Q6" s="98">
        <f t="shared" si="1"/>
        <v>8</v>
      </c>
      <c r="R6" s="98">
        <f t="shared" si="1"/>
        <v>8</v>
      </c>
      <c r="S6" s="98">
        <f t="shared" si="1"/>
        <v>8</v>
      </c>
      <c r="T6" s="98">
        <f t="shared" si="1"/>
        <v>17</v>
      </c>
      <c r="U6" s="98">
        <f t="shared" si="1"/>
        <v>32</v>
      </c>
      <c r="V6" s="98">
        <f t="shared" si="1"/>
        <v>32</v>
      </c>
      <c r="W6" s="98">
        <f t="shared" si="1"/>
        <v>20</v>
      </c>
      <c r="X6" s="98">
        <f t="shared" si="1"/>
        <v>8</v>
      </c>
      <c r="Y6" s="98">
        <f t="shared" si="1"/>
        <v>8</v>
      </c>
      <c r="Z6" s="98">
        <f t="shared" si="2"/>
        <v>52</v>
      </c>
      <c r="AA6" s="153">
        <f t="shared" si="3"/>
        <v>363</v>
      </c>
      <c r="AB6" s="94" t="str">
        <f t="shared" si="4"/>
        <v>Thomas</v>
      </c>
    </row>
    <row r="7" spans="2:28">
      <c r="B7" s="294" t="s">
        <v>334</v>
      </c>
      <c r="C7" s="292" t="s">
        <v>239</v>
      </c>
      <c r="D7" s="223" t="s">
        <v>10</v>
      </c>
      <c r="E7" s="98">
        <f t="shared" si="0"/>
        <v>0</v>
      </c>
      <c r="F7" s="98">
        <f t="shared" si="1"/>
        <v>39</v>
      </c>
      <c r="G7" s="98">
        <f t="shared" si="1"/>
        <v>26</v>
      </c>
      <c r="H7" s="98">
        <f t="shared" si="1"/>
        <v>17</v>
      </c>
      <c r="I7" s="98">
        <f t="shared" si="1"/>
        <v>21</v>
      </c>
      <c r="J7" s="98">
        <f t="shared" si="1"/>
        <v>4</v>
      </c>
      <c r="K7" s="98">
        <f t="shared" si="1"/>
        <v>4</v>
      </c>
      <c r="L7" s="98">
        <f t="shared" si="1"/>
        <v>4</v>
      </c>
      <c r="M7" s="98">
        <f t="shared" si="1"/>
        <v>4</v>
      </c>
      <c r="N7" s="98">
        <f t="shared" si="1"/>
        <v>4</v>
      </c>
      <c r="O7" s="98">
        <f t="shared" si="1"/>
        <v>4</v>
      </c>
      <c r="P7" s="98">
        <f t="shared" si="1"/>
        <v>3</v>
      </c>
      <c r="Q7" s="98">
        <f t="shared" si="1"/>
        <v>3</v>
      </c>
      <c r="R7" s="98">
        <f t="shared" si="1"/>
        <v>3</v>
      </c>
      <c r="S7" s="98">
        <f t="shared" si="1"/>
        <v>1</v>
      </c>
      <c r="T7" s="98">
        <f t="shared" si="1"/>
        <v>1</v>
      </c>
      <c r="U7" s="98">
        <f t="shared" si="1"/>
        <v>1</v>
      </c>
      <c r="V7" s="98">
        <f t="shared" si="1"/>
        <v>1</v>
      </c>
      <c r="W7" s="98">
        <f t="shared" si="1"/>
        <v>0</v>
      </c>
      <c r="X7" s="98">
        <f t="shared" si="1"/>
        <v>0</v>
      </c>
      <c r="Y7" s="98">
        <f t="shared" si="1"/>
        <v>14</v>
      </c>
      <c r="Z7" s="98">
        <f t="shared" si="2"/>
        <v>1</v>
      </c>
      <c r="AA7" s="153">
        <f t="shared" si="3"/>
        <v>155</v>
      </c>
      <c r="AB7" s="94" t="str">
        <f t="shared" si="4"/>
        <v>Jakobsen</v>
      </c>
    </row>
    <row r="8" spans="2:28">
      <c r="B8" s="294" t="s">
        <v>335</v>
      </c>
      <c r="C8" s="292" t="s">
        <v>119</v>
      </c>
      <c r="D8" s="223" t="s">
        <v>160</v>
      </c>
      <c r="E8" s="98">
        <f t="shared" si="0"/>
        <v>0</v>
      </c>
      <c r="F8" s="98">
        <f t="shared" si="1"/>
        <v>0</v>
      </c>
      <c r="G8" s="98">
        <f t="shared" si="1"/>
        <v>0</v>
      </c>
      <c r="H8" s="98">
        <f t="shared" si="1"/>
        <v>0</v>
      </c>
      <c r="I8" s="98">
        <f t="shared" si="1"/>
        <v>0</v>
      </c>
      <c r="J8" s="98">
        <f t="shared" si="1"/>
        <v>0</v>
      </c>
      <c r="K8" s="98">
        <f t="shared" si="1"/>
        <v>6</v>
      </c>
      <c r="L8" s="98">
        <f t="shared" si="1"/>
        <v>0</v>
      </c>
      <c r="M8" s="98">
        <f t="shared" si="1"/>
        <v>9</v>
      </c>
      <c r="N8" s="98">
        <f t="shared" si="1"/>
        <v>0</v>
      </c>
      <c r="O8" s="98">
        <f t="shared" si="1"/>
        <v>13</v>
      </c>
      <c r="P8" s="98">
        <f t="shared" si="1"/>
        <v>0</v>
      </c>
      <c r="Q8" s="98">
        <f t="shared" si="1"/>
        <v>0</v>
      </c>
      <c r="R8" s="98">
        <f t="shared" si="1"/>
        <v>0</v>
      </c>
      <c r="S8" s="98">
        <f t="shared" si="1"/>
        <v>0</v>
      </c>
      <c r="T8" s="98">
        <f t="shared" si="1"/>
        <v>0</v>
      </c>
      <c r="U8" s="98">
        <f t="shared" si="1"/>
        <v>0</v>
      </c>
      <c r="V8" s="98">
        <f t="shared" si="1"/>
        <v>0</v>
      </c>
      <c r="W8" s="98">
        <f t="shared" si="1"/>
        <v>0</v>
      </c>
      <c r="X8" s="98">
        <f t="shared" si="1"/>
        <v>0</v>
      </c>
      <c r="Y8" s="98">
        <f t="shared" si="1"/>
        <v>0</v>
      </c>
      <c r="Z8" s="98">
        <f t="shared" si="2"/>
        <v>0</v>
      </c>
      <c r="AA8" s="153">
        <f t="shared" si="3"/>
        <v>28</v>
      </c>
      <c r="AB8" s="94" t="str">
        <f t="shared" si="4"/>
        <v>Majka</v>
      </c>
    </row>
    <row r="9" spans="2:28">
      <c r="B9" s="294" t="s">
        <v>257</v>
      </c>
      <c r="C9" s="292" t="s">
        <v>195</v>
      </c>
      <c r="D9" s="223" t="s">
        <v>106</v>
      </c>
      <c r="E9" s="98">
        <f t="shared" si="0"/>
        <v>29</v>
      </c>
      <c r="F9" s="98">
        <f t="shared" si="1"/>
        <v>12</v>
      </c>
      <c r="G9" s="98">
        <f t="shared" si="1"/>
        <v>6</v>
      </c>
      <c r="H9" s="98">
        <f t="shared" si="1"/>
        <v>6</v>
      </c>
      <c r="I9" s="98">
        <f t="shared" si="1"/>
        <v>0</v>
      </c>
      <c r="J9" s="98">
        <f t="shared" si="1"/>
        <v>0</v>
      </c>
      <c r="K9" s="98">
        <f t="shared" si="1"/>
        <v>0</v>
      </c>
      <c r="L9" s="98">
        <f t="shared" si="1"/>
        <v>0</v>
      </c>
      <c r="M9" s="98">
        <f t="shared" si="1"/>
        <v>0</v>
      </c>
      <c r="N9" s="98">
        <f t="shared" si="1"/>
        <v>0</v>
      </c>
      <c r="O9" s="98">
        <f t="shared" si="1"/>
        <v>0</v>
      </c>
      <c r="P9" s="98">
        <f t="shared" si="1"/>
        <v>0</v>
      </c>
      <c r="Q9" s="98">
        <f t="shared" si="1"/>
        <v>0</v>
      </c>
      <c r="R9" s="98">
        <f t="shared" si="1"/>
        <v>0</v>
      </c>
      <c r="S9" s="98">
        <f t="shared" si="1"/>
        <v>0</v>
      </c>
      <c r="T9" s="98">
        <f t="shared" si="1"/>
        <v>0</v>
      </c>
      <c r="U9" s="98">
        <f t="shared" si="1"/>
        <v>0</v>
      </c>
      <c r="V9" s="98">
        <f t="shared" si="1"/>
        <v>0</v>
      </c>
      <c r="W9" s="98">
        <f t="shared" si="1"/>
        <v>0</v>
      </c>
      <c r="X9" s="98">
        <f t="shared" si="1"/>
        <v>0</v>
      </c>
      <c r="Y9" s="98">
        <f t="shared" si="1"/>
        <v>0</v>
      </c>
      <c r="Z9" s="98">
        <f t="shared" si="2"/>
        <v>0</v>
      </c>
      <c r="AA9" s="153">
        <f t="shared" si="3"/>
        <v>53</v>
      </c>
      <c r="AB9" s="94" t="str">
        <f t="shared" si="4"/>
        <v>van der Poel</v>
      </c>
    </row>
    <row r="10" spans="2:28">
      <c r="B10" s="294" t="s">
        <v>150</v>
      </c>
      <c r="C10" s="292" t="s">
        <v>151</v>
      </c>
      <c r="D10" s="223" t="s">
        <v>10</v>
      </c>
      <c r="E10" s="98">
        <f t="shared" si="0"/>
        <v>0</v>
      </c>
      <c r="F10" s="98">
        <f t="shared" si="1"/>
        <v>13</v>
      </c>
      <c r="G10" s="98">
        <f t="shared" si="1"/>
        <v>17</v>
      </c>
      <c r="H10" s="98">
        <f t="shared" si="1"/>
        <v>0</v>
      </c>
      <c r="I10" s="98">
        <f t="shared" si="1"/>
        <v>0</v>
      </c>
      <c r="J10" s="98">
        <f t="shared" si="1"/>
        <v>0</v>
      </c>
      <c r="K10" s="340">
        <f t="shared" si="1"/>
        <v>0</v>
      </c>
      <c r="L10" s="340">
        <f t="shared" si="1"/>
        <v>0</v>
      </c>
      <c r="M10" s="340">
        <f t="shared" si="1"/>
        <v>0</v>
      </c>
      <c r="N10" s="340">
        <f t="shared" si="1"/>
        <v>0</v>
      </c>
      <c r="O10" s="340">
        <f t="shared" si="1"/>
        <v>0</v>
      </c>
      <c r="P10" s="340">
        <f t="shared" si="1"/>
        <v>0</v>
      </c>
      <c r="Q10" s="340">
        <f t="shared" si="1"/>
        <v>0</v>
      </c>
      <c r="R10" s="340">
        <f t="shared" si="1"/>
        <v>0</v>
      </c>
      <c r="S10" s="340">
        <f t="shared" si="1"/>
        <v>0</v>
      </c>
      <c r="T10" s="340">
        <f t="shared" si="1"/>
        <v>0</v>
      </c>
      <c r="U10" s="340">
        <f t="shared" si="1"/>
        <v>0</v>
      </c>
      <c r="V10" s="340">
        <f t="shared" si="1"/>
        <v>0</v>
      </c>
      <c r="W10" s="340">
        <f t="shared" si="1"/>
        <v>16</v>
      </c>
      <c r="X10" s="340">
        <f t="shared" si="1"/>
        <v>0</v>
      </c>
      <c r="Y10" s="340">
        <f t="shared" si="1"/>
        <v>18</v>
      </c>
      <c r="Z10" s="340">
        <f t="shared" si="2"/>
        <v>0</v>
      </c>
      <c r="AA10" s="153">
        <f t="shared" si="3"/>
        <v>64</v>
      </c>
      <c r="AB10" s="94" t="str">
        <f t="shared" si="4"/>
        <v>Ewan</v>
      </c>
    </row>
    <row r="11" spans="2:28">
      <c r="B11" s="294" t="s">
        <v>136</v>
      </c>
      <c r="C11" s="292" t="s">
        <v>171</v>
      </c>
      <c r="D11" s="223" t="s">
        <v>160</v>
      </c>
      <c r="E11" s="98">
        <f t="shared" si="0"/>
        <v>0</v>
      </c>
      <c r="F11" s="98">
        <f t="shared" si="1"/>
        <v>0</v>
      </c>
      <c r="G11" s="98">
        <f t="shared" si="1"/>
        <v>0</v>
      </c>
      <c r="H11" s="98">
        <f t="shared" si="1"/>
        <v>0</v>
      </c>
      <c r="I11" s="98">
        <f t="shared" si="1"/>
        <v>0</v>
      </c>
      <c r="J11" s="98">
        <f t="shared" si="1"/>
        <v>21</v>
      </c>
      <c r="K11" s="98">
        <f t="shared" si="1"/>
        <v>16</v>
      </c>
      <c r="L11" s="98">
        <f t="shared" si="1"/>
        <v>1</v>
      </c>
      <c r="M11" s="98">
        <f t="shared" si="1"/>
        <v>0</v>
      </c>
      <c r="N11" s="98">
        <f t="shared" si="1"/>
        <v>0</v>
      </c>
      <c r="O11" s="98">
        <f t="shared" si="1"/>
        <v>0</v>
      </c>
      <c r="P11" s="98">
        <f t="shared" si="1"/>
        <v>0</v>
      </c>
      <c r="Q11" s="98">
        <f t="shared" si="1"/>
        <v>0</v>
      </c>
      <c r="R11" s="98">
        <f t="shared" si="1"/>
        <v>9</v>
      </c>
      <c r="S11" s="98">
        <f t="shared" si="1"/>
        <v>0</v>
      </c>
      <c r="T11" s="98">
        <f t="shared" si="1"/>
        <v>6</v>
      </c>
      <c r="U11" s="98">
        <f t="shared" si="1"/>
        <v>0</v>
      </c>
      <c r="V11" s="98">
        <f t="shared" si="1"/>
        <v>19</v>
      </c>
      <c r="W11" s="98">
        <f t="shared" si="1"/>
        <v>0</v>
      </c>
      <c r="X11" s="98">
        <f t="shared" si="1"/>
        <v>6</v>
      </c>
      <c r="Y11" s="98">
        <f t="shared" si="1"/>
        <v>0</v>
      </c>
      <c r="Z11" s="98">
        <f t="shared" si="2"/>
        <v>0</v>
      </c>
      <c r="AA11" s="153">
        <f t="shared" si="3"/>
        <v>78</v>
      </c>
      <c r="AB11" s="94" t="str">
        <f t="shared" si="4"/>
        <v>Martinez</v>
      </c>
    </row>
    <row r="12" spans="2:28">
      <c r="B12" s="294" t="s">
        <v>212</v>
      </c>
      <c r="C12" s="292" t="s">
        <v>213</v>
      </c>
      <c r="D12" s="223" t="s">
        <v>160</v>
      </c>
      <c r="E12" s="98">
        <f t="shared" si="0"/>
        <v>0</v>
      </c>
      <c r="F12" s="98">
        <f t="shared" si="1"/>
        <v>0</v>
      </c>
      <c r="G12" s="98">
        <f t="shared" si="1"/>
        <v>0</v>
      </c>
      <c r="H12" s="98">
        <f t="shared" si="1"/>
        <v>0</v>
      </c>
      <c r="I12" s="98">
        <f t="shared" si="1"/>
        <v>0</v>
      </c>
      <c r="J12" s="98">
        <f t="shared" si="1"/>
        <v>0</v>
      </c>
      <c r="K12" s="98">
        <f t="shared" si="1"/>
        <v>0</v>
      </c>
      <c r="L12" s="98">
        <f t="shared" si="1"/>
        <v>0</v>
      </c>
      <c r="M12" s="98">
        <f t="shared" si="1"/>
        <v>0</v>
      </c>
      <c r="N12" s="98">
        <f t="shared" si="1"/>
        <v>0</v>
      </c>
      <c r="O12" s="98">
        <f t="shared" si="1"/>
        <v>0</v>
      </c>
      <c r="P12" s="98">
        <f t="shared" si="1"/>
        <v>0</v>
      </c>
      <c r="Q12" s="98">
        <f t="shared" si="1"/>
        <v>0</v>
      </c>
      <c r="R12" s="98">
        <f t="shared" si="1"/>
        <v>0</v>
      </c>
      <c r="S12" s="98">
        <f t="shared" si="1"/>
        <v>0</v>
      </c>
      <c r="T12" s="98">
        <f t="shared" si="1"/>
        <v>0</v>
      </c>
      <c r="U12" s="98">
        <f t="shared" si="1"/>
        <v>0</v>
      </c>
      <c r="V12" s="98">
        <f t="shared" si="1"/>
        <v>0</v>
      </c>
      <c r="W12" s="98">
        <f t="shared" si="1"/>
        <v>0</v>
      </c>
      <c r="X12" s="98">
        <f t="shared" si="1"/>
        <v>0</v>
      </c>
      <c r="Y12" s="98">
        <f t="shared" si="1"/>
        <v>0</v>
      </c>
      <c r="Z12" s="98">
        <f t="shared" si="2"/>
        <v>0</v>
      </c>
      <c r="AA12" s="153">
        <f t="shared" si="3"/>
        <v>0</v>
      </c>
      <c r="AB12" s="94" t="str">
        <f t="shared" si="4"/>
        <v>O'Connor</v>
      </c>
    </row>
    <row r="13" spans="2:28">
      <c r="B13" s="294" t="s">
        <v>207</v>
      </c>
      <c r="C13" s="292" t="s">
        <v>282</v>
      </c>
      <c r="D13" s="223" t="s">
        <v>160</v>
      </c>
      <c r="E13" s="98">
        <f t="shared" si="0"/>
        <v>0</v>
      </c>
      <c r="F13" s="98">
        <f t="shared" si="1"/>
        <v>0</v>
      </c>
      <c r="G13" s="98">
        <f t="shared" si="1"/>
        <v>0</v>
      </c>
      <c r="H13" s="98">
        <f t="shared" si="1"/>
        <v>0</v>
      </c>
      <c r="I13" s="98">
        <f t="shared" si="1"/>
        <v>0</v>
      </c>
      <c r="J13" s="98">
        <f t="shared" si="1"/>
        <v>0</v>
      </c>
      <c r="K13" s="98">
        <f t="shared" si="1"/>
        <v>0</v>
      </c>
      <c r="L13" s="98">
        <f t="shared" si="1"/>
        <v>0</v>
      </c>
      <c r="M13" s="98">
        <f t="shared" si="1"/>
        <v>0</v>
      </c>
      <c r="N13" s="98">
        <f t="shared" si="1"/>
        <v>0</v>
      </c>
      <c r="O13" s="98">
        <f t="shared" si="1"/>
        <v>0</v>
      </c>
      <c r="P13" s="98">
        <f t="shared" si="1"/>
        <v>0</v>
      </c>
      <c r="Q13" s="98">
        <f t="shared" si="1"/>
        <v>0</v>
      </c>
      <c r="R13" s="98">
        <f t="shared" si="1"/>
        <v>0</v>
      </c>
      <c r="S13" s="98">
        <f t="shared" si="1"/>
        <v>0</v>
      </c>
      <c r="T13" s="98">
        <f t="shared" si="1"/>
        <v>22</v>
      </c>
      <c r="U13" s="98">
        <f t="shared" si="1"/>
        <v>0</v>
      </c>
      <c r="V13" s="98">
        <f t="shared" si="1"/>
        <v>0</v>
      </c>
      <c r="W13" s="98">
        <f t="shared" si="1"/>
        <v>0</v>
      </c>
      <c r="X13" s="98">
        <f t="shared" si="1"/>
        <v>0</v>
      </c>
      <c r="Y13" s="98">
        <f t="shared" si="1"/>
        <v>0</v>
      </c>
      <c r="Z13" s="98">
        <f t="shared" si="2"/>
        <v>0</v>
      </c>
      <c r="AA13" s="153">
        <f t="shared" si="3"/>
        <v>22</v>
      </c>
      <c r="AB13" s="94" t="str">
        <f t="shared" si="4"/>
        <v>Storer</v>
      </c>
    </row>
    <row r="14" spans="2:28">
      <c r="B14" s="294" t="s">
        <v>153</v>
      </c>
      <c r="C14" s="292" t="s">
        <v>154</v>
      </c>
      <c r="D14" s="223" t="s">
        <v>160</v>
      </c>
      <c r="E14" s="98">
        <f t="shared" ref="E14:T20" si="5">INDEX(scorematrix,MATCH($C14,renners,0),MATCH(E$3,etappes,0))</f>
        <v>0</v>
      </c>
      <c r="F14" s="98">
        <f t="shared" si="5"/>
        <v>0</v>
      </c>
      <c r="G14" s="98">
        <f t="shared" si="5"/>
        <v>0</v>
      </c>
      <c r="H14" s="98">
        <f t="shared" si="5"/>
        <v>0</v>
      </c>
      <c r="I14" s="98">
        <f t="shared" si="5"/>
        <v>0</v>
      </c>
      <c r="J14" s="98">
        <f t="shared" si="5"/>
        <v>15</v>
      </c>
      <c r="K14" s="98">
        <f t="shared" si="5"/>
        <v>21</v>
      </c>
      <c r="L14" s="98">
        <f t="shared" si="5"/>
        <v>12</v>
      </c>
      <c r="M14" s="98">
        <f t="shared" si="5"/>
        <v>20</v>
      </c>
      <c r="N14" s="98">
        <f t="shared" si="5"/>
        <v>2</v>
      </c>
      <c r="O14" s="98">
        <f t="shared" si="5"/>
        <v>12</v>
      </c>
      <c r="P14" s="98">
        <f t="shared" si="5"/>
        <v>20</v>
      </c>
      <c r="Q14" s="98">
        <f t="shared" si="5"/>
        <v>2</v>
      </c>
      <c r="R14" s="98">
        <f t="shared" si="5"/>
        <v>1</v>
      </c>
      <c r="S14" s="98">
        <f t="shared" si="5"/>
        <v>1</v>
      </c>
      <c r="T14" s="98">
        <f t="shared" si="5"/>
        <v>0</v>
      </c>
      <c r="U14" s="98">
        <f t="shared" si="1"/>
        <v>15</v>
      </c>
      <c r="V14" s="98">
        <f t="shared" si="1"/>
        <v>7</v>
      </c>
      <c r="W14" s="98">
        <f t="shared" si="1"/>
        <v>0</v>
      </c>
      <c r="X14" s="98">
        <f t="shared" si="1"/>
        <v>0</v>
      </c>
      <c r="Y14" s="98">
        <f t="shared" si="1"/>
        <v>0</v>
      </c>
      <c r="Z14" s="98">
        <f t="shared" si="2"/>
        <v>0</v>
      </c>
      <c r="AA14" s="153">
        <f t="shared" si="3"/>
        <v>128</v>
      </c>
      <c r="AB14" s="94" t="str">
        <f t="shared" si="4"/>
        <v>Mas</v>
      </c>
    </row>
    <row r="15" spans="2:28">
      <c r="B15" s="294" t="s">
        <v>251</v>
      </c>
      <c r="C15" s="292" t="s">
        <v>242</v>
      </c>
      <c r="D15" s="223" t="s">
        <v>160</v>
      </c>
      <c r="E15" s="98">
        <f t="shared" si="5"/>
        <v>0</v>
      </c>
      <c r="F15" s="98">
        <f t="shared" si="1"/>
        <v>0</v>
      </c>
      <c r="G15" s="98">
        <f t="shared" si="1"/>
        <v>8</v>
      </c>
      <c r="H15" s="98">
        <f t="shared" si="1"/>
        <v>6</v>
      </c>
      <c r="I15" s="98">
        <f t="shared" si="1"/>
        <v>8</v>
      </c>
      <c r="J15" s="98">
        <f t="shared" si="1"/>
        <v>14</v>
      </c>
      <c r="K15" s="98">
        <f t="shared" si="1"/>
        <v>0</v>
      </c>
      <c r="L15" s="98">
        <f t="shared" si="1"/>
        <v>20</v>
      </c>
      <c r="M15" s="98">
        <f t="shared" si="1"/>
        <v>0</v>
      </c>
      <c r="N15" s="98">
        <f t="shared" si="1"/>
        <v>0</v>
      </c>
      <c r="O15" s="98">
        <f t="shared" si="1"/>
        <v>17</v>
      </c>
      <c r="P15" s="98">
        <f t="shared" si="1"/>
        <v>9</v>
      </c>
      <c r="Q15" s="98">
        <f t="shared" si="1"/>
        <v>1</v>
      </c>
      <c r="R15" s="98">
        <f t="shared" si="1"/>
        <v>0</v>
      </c>
      <c r="S15" s="98">
        <f t="shared" si="1"/>
        <v>10</v>
      </c>
      <c r="T15" s="98">
        <f t="shared" si="1"/>
        <v>23</v>
      </c>
      <c r="U15" s="98">
        <f t="shared" si="1"/>
        <v>21</v>
      </c>
      <c r="V15" s="98">
        <f t="shared" si="1"/>
        <v>21</v>
      </c>
      <c r="W15" s="98">
        <f t="shared" si="1"/>
        <v>18</v>
      </c>
      <c r="X15" s="98">
        <f t="shared" si="1"/>
        <v>14</v>
      </c>
      <c r="Y15" s="98">
        <f t="shared" si="1"/>
        <v>6</v>
      </c>
      <c r="Z15" s="98">
        <f t="shared" si="2"/>
        <v>44</v>
      </c>
      <c r="AA15" s="153">
        <f t="shared" si="3"/>
        <v>240</v>
      </c>
      <c r="AB15" s="94" t="str">
        <f t="shared" si="4"/>
        <v>Vlasov</v>
      </c>
    </row>
    <row r="16" spans="2:28">
      <c r="B16" s="294" t="s">
        <v>336</v>
      </c>
      <c r="C16" s="292" t="s">
        <v>337</v>
      </c>
      <c r="D16" s="223" t="s">
        <v>160</v>
      </c>
      <c r="E16" s="98">
        <f t="shared" si="5"/>
        <v>0</v>
      </c>
      <c r="F16" s="98">
        <f t="shared" si="1"/>
        <v>0</v>
      </c>
      <c r="G16" s="98">
        <f t="shared" si="1"/>
        <v>0</v>
      </c>
      <c r="H16" s="98">
        <f t="shared" si="1"/>
        <v>0</v>
      </c>
      <c r="I16" s="98">
        <f t="shared" si="1"/>
        <v>0</v>
      </c>
      <c r="J16" s="98">
        <f t="shared" si="1"/>
        <v>1</v>
      </c>
      <c r="K16" s="98">
        <f t="shared" si="1"/>
        <v>2</v>
      </c>
      <c r="L16" s="98">
        <f t="shared" si="1"/>
        <v>2</v>
      </c>
      <c r="M16" s="98">
        <f t="shared" si="1"/>
        <v>1</v>
      </c>
      <c r="N16" s="98">
        <f t="shared" si="1"/>
        <v>19</v>
      </c>
      <c r="O16" s="98">
        <f t="shared" si="1"/>
        <v>1</v>
      </c>
      <c r="P16" s="98">
        <f t="shared" si="1"/>
        <v>2</v>
      </c>
      <c r="Q16" s="98">
        <f t="shared" si="1"/>
        <v>1</v>
      </c>
      <c r="R16" s="98">
        <f t="shared" si="1"/>
        <v>1</v>
      </c>
      <c r="S16" s="98">
        <f t="shared" si="1"/>
        <v>1</v>
      </c>
      <c r="T16" s="98">
        <f t="shared" si="1"/>
        <v>1</v>
      </c>
      <c r="U16" s="98">
        <f t="shared" si="1"/>
        <v>1</v>
      </c>
      <c r="V16" s="98">
        <f t="shared" si="1"/>
        <v>1</v>
      </c>
      <c r="W16" s="98">
        <f t="shared" si="1"/>
        <v>1</v>
      </c>
      <c r="X16" s="98">
        <f t="shared" si="1"/>
        <v>8</v>
      </c>
      <c r="Y16" s="98">
        <f t="shared" si="1"/>
        <v>1</v>
      </c>
      <c r="Z16" s="98">
        <f t="shared" si="2"/>
        <v>1</v>
      </c>
      <c r="AA16" s="153">
        <f t="shared" si="3"/>
        <v>45</v>
      </c>
      <c r="AB16" s="94" t="str">
        <f t="shared" si="4"/>
        <v>Leknessund</v>
      </c>
    </row>
    <row r="17" spans="2:28">
      <c r="B17" s="294" t="s">
        <v>338</v>
      </c>
      <c r="C17" s="292" t="s">
        <v>303</v>
      </c>
      <c r="D17" s="223" t="s">
        <v>106</v>
      </c>
      <c r="E17" s="98">
        <f t="shared" si="5"/>
        <v>0</v>
      </c>
      <c r="F17" s="98">
        <f t="shared" si="1"/>
        <v>0</v>
      </c>
      <c r="G17" s="98">
        <f t="shared" si="1"/>
        <v>0</v>
      </c>
      <c r="H17" s="98">
        <f t="shared" si="1"/>
        <v>0</v>
      </c>
      <c r="I17" s="98">
        <f t="shared" si="1"/>
        <v>0</v>
      </c>
      <c r="J17" s="98">
        <f t="shared" si="1"/>
        <v>0</v>
      </c>
      <c r="K17" s="98">
        <f t="shared" si="1"/>
        <v>0</v>
      </c>
      <c r="L17" s="98">
        <f t="shared" si="1"/>
        <v>0</v>
      </c>
      <c r="M17" s="98">
        <f t="shared" si="1"/>
        <v>0</v>
      </c>
      <c r="N17" s="98">
        <f t="shared" si="1"/>
        <v>0</v>
      </c>
      <c r="O17" s="98">
        <f t="shared" si="1"/>
        <v>0</v>
      </c>
      <c r="P17" s="98">
        <f t="shared" si="1"/>
        <v>0</v>
      </c>
      <c r="Q17" s="98">
        <f t="shared" si="1"/>
        <v>0</v>
      </c>
      <c r="R17" s="98">
        <f t="shared" si="1"/>
        <v>0</v>
      </c>
      <c r="S17" s="98">
        <f t="shared" si="1"/>
        <v>0</v>
      </c>
      <c r="T17" s="98">
        <f t="shared" si="1"/>
        <v>0</v>
      </c>
      <c r="U17" s="98">
        <f t="shared" si="1"/>
        <v>0</v>
      </c>
      <c r="V17" s="98">
        <f t="shared" si="1"/>
        <v>0</v>
      </c>
      <c r="W17" s="98">
        <f t="shared" si="1"/>
        <v>0</v>
      </c>
      <c r="X17" s="98">
        <f t="shared" si="1"/>
        <v>0</v>
      </c>
      <c r="Y17" s="98">
        <f t="shared" si="1"/>
        <v>0</v>
      </c>
      <c r="Z17" s="98">
        <f t="shared" si="2"/>
        <v>0</v>
      </c>
      <c r="AA17" s="153">
        <f t="shared" si="3"/>
        <v>0</v>
      </c>
      <c r="AB17" s="94" t="str">
        <f t="shared" si="4"/>
        <v>Mohoric</v>
      </c>
    </row>
    <row r="18" spans="2:28">
      <c r="B18" s="294" t="s">
        <v>283</v>
      </c>
      <c r="C18" s="292" t="s">
        <v>243</v>
      </c>
      <c r="D18" s="223" t="s">
        <v>160</v>
      </c>
      <c r="E18" s="98">
        <f t="shared" si="5"/>
        <v>0</v>
      </c>
      <c r="F18" s="98">
        <f t="shared" si="1"/>
        <v>0</v>
      </c>
      <c r="G18" s="98">
        <f t="shared" si="1"/>
        <v>0</v>
      </c>
      <c r="H18" s="98">
        <f t="shared" si="1"/>
        <v>0</v>
      </c>
      <c r="I18" s="98">
        <f t="shared" si="1"/>
        <v>0</v>
      </c>
      <c r="J18" s="98">
        <f t="shared" si="1"/>
        <v>0</v>
      </c>
      <c r="K18" s="98">
        <f t="shared" ref="F18:Y20" si="6">INDEX(scorematrix,MATCH($C18,renners,0),MATCH(K$3,etappes,0))</f>
        <v>9</v>
      </c>
      <c r="L18" s="98">
        <f t="shared" si="6"/>
        <v>7</v>
      </c>
      <c r="M18" s="98">
        <f t="shared" si="6"/>
        <v>15</v>
      </c>
      <c r="N18" s="98">
        <f t="shared" si="6"/>
        <v>0</v>
      </c>
      <c r="O18" s="98">
        <f t="shared" si="6"/>
        <v>0</v>
      </c>
      <c r="P18" s="98">
        <f t="shared" si="6"/>
        <v>0</v>
      </c>
      <c r="Q18" s="98">
        <f t="shared" si="6"/>
        <v>0</v>
      </c>
      <c r="R18" s="98">
        <f t="shared" si="6"/>
        <v>0</v>
      </c>
      <c r="S18" s="98">
        <f t="shared" si="6"/>
        <v>0</v>
      </c>
      <c r="T18" s="98">
        <f t="shared" si="6"/>
        <v>16</v>
      </c>
      <c r="U18" s="98">
        <f t="shared" si="6"/>
        <v>0</v>
      </c>
      <c r="V18" s="98">
        <f t="shared" si="6"/>
        <v>0</v>
      </c>
      <c r="W18" s="98">
        <f t="shared" si="6"/>
        <v>0</v>
      </c>
      <c r="X18" s="98">
        <f t="shared" si="6"/>
        <v>0</v>
      </c>
      <c r="Y18" s="98">
        <f t="shared" si="6"/>
        <v>0</v>
      </c>
      <c r="Z18" s="98">
        <f t="shared" si="2"/>
        <v>0</v>
      </c>
      <c r="AA18" s="153">
        <f t="shared" si="3"/>
        <v>47</v>
      </c>
      <c r="AB18" s="94" t="str">
        <f t="shared" si="4"/>
        <v>Caruso</v>
      </c>
    </row>
    <row r="19" spans="2:28">
      <c r="B19" s="294" t="s">
        <v>331</v>
      </c>
      <c r="C19" s="292" t="s">
        <v>84</v>
      </c>
      <c r="D19" s="223" t="s">
        <v>106</v>
      </c>
      <c r="E19" s="98">
        <f t="shared" si="5"/>
        <v>0</v>
      </c>
      <c r="F19" s="98">
        <f t="shared" si="6"/>
        <v>0</v>
      </c>
      <c r="G19" s="98">
        <f t="shared" si="6"/>
        <v>0</v>
      </c>
      <c r="H19" s="98">
        <f t="shared" si="6"/>
        <v>0</v>
      </c>
      <c r="I19" s="98">
        <f t="shared" si="6"/>
        <v>0</v>
      </c>
      <c r="J19" s="98">
        <f t="shared" si="6"/>
        <v>0</v>
      </c>
      <c r="K19" s="98">
        <f t="shared" si="6"/>
        <v>0</v>
      </c>
      <c r="L19" s="98">
        <f t="shared" si="6"/>
        <v>0</v>
      </c>
      <c r="M19" s="98">
        <f t="shared" si="6"/>
        <v>27</v>
      </c>
      <c r="N19" s="98">
        <f t="shared" si="6"/>
        <v>3</v>
      </c>
      <c r="O19" s="98">
        <f t="shared" si="6"/>
        <v>0</v>
      </c>
      <c r="P19" s="98">
        <f t="shared" si="6"/>
        <v>6</v>
      </c>
      <c r="Q19" s="98">
        <f t="shared" si="6"/>
        <v>0</v>
      </c>
      <c r="R19" s="98">
        <f t="shared" si="6"/>
        <v>26</v>
      </c>
      <c r="S19" s="98">
        <f t="shared" si="6"/>
        <v>0</v>
      </c>
      <c r="T19" s="98">
        <f t="shared" si="6"/>
        <v>0</v>
      </c>
      <c r="U19" s="98">
        <f t="shared" si="6"/>
        <v>0</v>
      </c>
      <c r="V19" s="98">
        <f t="shared" si="6"/>
        <v>16</v>
      </c>
      <c r="W19" s="98">
        <f t="shared" si="6"/>
        <v>0</v>
      </c>
      <c r="X19" s="98">
        <f t="shared" si="6"/>
        <v>0</v>
      </c>
      <c r="Y19" s="98">
        <f t="shared" si="6"/>
        <v>0</v>
      </c>
      <c r="Z19" s="98">
        <f t="shared" si="2"/>
        <v>22</v>
      </c>
      <c r="AA19" s="153">
        <f t="shared" si="3"/>
        <v>100</v>
      </c>
      <c r="AB19" s="94" t="str">
        <f t="shared" si="4"/>
        <v>Pinot</v>
      </c>
    </row>
    <row r="20" spans="2:28" s="140" customFormat="1" ht="14.4" thickBot="1">
      <c r="B20" s="294" t="s">
        <v>241</v>
      </c>
      <c r="C20" s="292" t="s">
        <v>240</v>
      </c>
      <c r="D20" s="223" t="s">
        <v>160</v>
      </c>
      <c r="E20" s="98">
        <f t="shared" si="5"/>
        <v>0</v>
      </c>
      <c r="F20" s="98">
        <f t="shared" si="6"/>
        <v>0</v>
      </c>
      <c r="G20" s="98">
        <f t="shared" si="6"/>
        <v>0</v>
      </c>
      <c r="H20" s="98">
        <f t="shared" si="6"/>
        <v>0</v>
      </c>
      <c r="I20" s="98">
        <f t="shared" si="6"/>
        <v>0</v>
      </c>
      <c r="J20" s="98">
        <f t="shared" si="6"/>
        <v>0</v>
      </c>
      <c r="K20" s="98">
        <f t="shared" si="6"/>
        <v>0</v>
      </c>
      <c r="L20" s="98">
        <f t="shared" si="6"/>
        <v>0</v>
      </c>
      <c r="M20" s="98">
        <f t="shared" si="6"/>
        <v>0</v>
      </c>
      <c r="N20" s="340">
        <f t="shared" si="6"/>
        <v>0</v>
      </c>
      <c r="O20" s="340">
        <f t="shared" si="6"/>
        <v>0</v>
      </c>
      <c r="P20" s="340">
        <f t="shared" si="6"/>
        <v>0</v>
      </c>
      <c r="Q20" s="340">
        <f t="shared" si="6"/>
        <v>0</v>
      </c>
      <c r="R20" s="340">
        <f t="shared" si="6"/>
        <v>0</v>
      </c>
      <c r="S20" s="340">
        <f t="shared" si="6"/>
        <v>0</v>
      </c>
      <c r="T20" s="340">
        <f t="shared" si="6"/>
        <v>0</v>
      </c>
      <c r="U20" s="340">
        <f t="shared" si="6"/>
        <v>0</v>
      </c>
      <c r="V20" s="340">
        <f t="shared" si="6"/>
        <v>0</v>
      </c>
      <c r="W20" s="340">
        <f t="shared" si="6"/>
        <v>0</v>
      </c>
      <c r="X20" s="340">
        <f t="shared" si="6"/>
        <v>0</v>
      </c>
      <c r="Y20" s="340">
        <f t="shared" si="6"/>
        <v>0</v>
      </c>
      <c r="Z20" s="340">
        <f t="shared" ref="Z20" si="7">INDEX(scorematrix,MATCH($C20,renners,0),MATCH(Z$3,etappes,0))</f>
        <v>0</v>
      </c>
      <c r="AA20" s="153">
        <f t="shared" si="3"/>
        <v>0</v>
      </c>
      <c r="AB20" s="94" t="str">
        <f t="shared" si="4"/>
        <v>Guerreiro</v>
      </c>
    </row>
    <row r="21" spans="2:28" s="141" customFormat="1">
      <c r="B21" s="291"/>
      <c r="C21" s="288"/>
      <c r="D21" s="148"/>
      <c r="E21" s="150"/>
      <c r="F21" s="150"/>
      <c r="G21" s="150"/>
      <c r="H21" s="150"/>
      <c r="I21" s="150"/>
      <c r="J21" s="150"/>
      <c r="K21" s="150">
        <f>-K10+K25</f>
        <v>3</v>
      </c>
      <c r="L21" s="150">
        <f t="shared" ref="L21:M21" si="8">-L10+L25</f>
        <v>3</v>
      </c>
      <c r="M21" s="150">
        <f t="shared" si="8"/>
        <v>3</v>
      </c>
      <c r="N21" s="150">
        <f>-N10+N25+N24-N20</f>
        <v>3</v>
      </c>
      <c r="O21" s="150">
        <f t="shared" ref="O21:Z21" si="9">-O10+O25+O24-O20</f>
        <v>3</v>
      </c>
      <c r="P21" s="150">
        <f t="shared" si="9"/>
        <v>3</v>
      </c>
      <c r="Q21" s="150">
        <f t="shared" si="9"/>
        <v>3</v>
      </c>
      <c r="R21" s="150">
        <f t="shared" si="9"/>
        <v>3</v>
      </c>
      <c r="S21" s="150">
        <f t="shared" si="9"/>
        <v>27</v>
      </c>
      <c r="T21" s="150">
        <f t="shared" si="9"/>
        <v>14</v>
      </c>
      <c r="U21" s="150">
        <f t="shared" si="9"/>
        <v>29</v>
      </c>
      <c r="V21" s="150">
        <f t="shared" si="9"/>
        <v>3</v>
      </c>
      <c r="W21" s="150">
        <f t="shared" si="9"/>
        <v>-13</v>
      </c>
      <c r="X21" s="150">
        <f t="shared" si="9"/>
        <v>3</v>
      </c>
      <c r="Y21" s="150">
        <f t="shared" si="9"/>
        <v>7</v>
      </c>
      <c r="Z21" s="150">
        <f t="shared" si="9"/>
        <v>17</v>
      </c>
      <c r="AA21" s="193">
        <f t="shared" si="3"/>
        <v>111</v>
      </c>
    </row>
    <row r="22" spans="2:28" s="97" customFormat="1">
      <c r="B22" s="287"/>
      <c r="C22" s="289"/>
      <c r="D22" s="296"/>
      <c r="E22" s="309">
        <f t="shared" ref="E22:Z22" si="10">SUM(E4:E21)</f>
        <v>103</v>
      </c>
      <c r="F22" s="309">
        <f t="shared" ref="F22" si="11">SUM(F4:F21)</f>
        <v>113</v>
      </c>
      <c r="G22" s="309">
        <f>SUM(G4:G21)</f>
        <v>107</v>
      </c>
      <c r="H22" s="309">
        <f t="shared" si="10"/>
        <v>88</v>
      </c>
      <c r="I22" s="309">
        <f t="shared" si="10"/>
        <v>72</v>
      </c>
      <c r="J22" s="309">
        <f t="shared" si="10"/>
        <v>106</v>
      </c>
      <c r="K22" s="309">
        <f t="shared" si="10"/>
        <v>138</v>
      </c>
      <c r="L22" s="309">
        <f t="shared" si="10"/>
        <v>142</v>
      </c>
      <c r="M22" s="309">
        <f t="shared" si="10"/>
        <v>140</v>
      </c>
      <c r="N22" s="309">
        <f t="shared" si="10"/>
        <v>51</v>
      </c>
      <c r="O22" s="309">
        <f t="shared" si="10"/>
        <v>134</v>
      </c>
      <c r="P22" s="309">
        <f t="shared" si="10"/>
        <v>108</v>
      </c>
      <c r="Q22" s="309">
        <f t="shared" si="10"/>
        <v>62</v>
      </c>
      <c r="R22" s="309">
        <f t="shared" si="10"/>
        <v>68</v>
      </c>
      <c r="S22" s="309">
        <f t="shared" si="10"/>
        <v>93</v>
      </c>
      <c r="T22" s="309">
        <f t="shared" si="10"/>
        <v>139</v>
      </c>
      <c r="U22" s="309">
        <f t="shared" si="10"/>
        <v>144</v>
      </c>
      <c r="V22" s="309">
        <f t="shared" si="10"/>
        <v>182</v>
      </c>
      <c r="W22" s="309">
        <f t="shared" si="10"/>
        <v>76</v>
      </c>
      <c r="X22" s="309">
        <f t="shared" si="10"/>
        <v>125</v>
      </c>
      <c r="Y22" s="309">
        <f t="shared" si="10"/>
        <v>75</v>
      </c>
      <c r="Z22" s="309">
        <f t="shared" si="10"/>
        <v>228</v>
      </c>
      <c r="AA22" s="190">
        <f>SUM(AA4:AA21)</f>
        <v>2494</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t="s">
        <v>254</v>
      </c>
      <c r="C24" s="293" t="s">
        <v>70</v>
      </c>
      <c r="D24" s="226"/>
      <c r="E24" s="160">
        <f t="shared" ref="E24:Z26" si="12">INDEX(scorematrix,MATCH($C24,renners,0),MATCH(E$3,etappes,0))</f>
        <v>0</v>
      </c>
      <c r="F24" s="160">
        <f t="shared" si="12"/>
        <v>22</v>
      </c>
      <c r="G24" s="160">
        <f t="shared" si="12"/>
        <v>26</v>
      </c>
      <c r="H24" s="160">
        <f t="shared" si="12"/>
        <v>25</v>
      </c>
      <c r="I24" s="160">
        <f t="shared" si="12"/>
        <v>2</v>
      </c>
      <c r="J24" s="160">
        <f t="shared" si="12"/>
        <v>1</v>
      </c>
      <c r="K24" s="160">
        <f t="shared" si="12"/>
        <v>0</v>
      </c>
      <c r="L24" s="160">
        <f t="shared" si="12"/>
        <v>0</v>
      </c>
      <c r="M24" s="160">
        <f t="shared" si="12"/>
        <v>0</v>
      </c>
      <c r="N24" s="338">
        <f t="shared" si="12"/>
        <v>0</v>
      </c>
      <c r="O24" s="338">
        <f t="shared" si="12"/>
        <v>0</v>
      </c>
      <c r="P24" s="338">
        <f t="shared" si="12"/>
        <v>0</v>
      </c>
      <c r="Q24" s="338">
        <f t="shared" si="12"/>
        <v>0</v>
      </c>
      <c r="R24" s="338">
        <f t="shared" si="12"/>
        <v>0</v>
      </c>
      <c r="S24" s="338">
        <f t="shared" si="12"/>
        <v>24</v>
      </c>
      <c r="T24" s="338">
        <f t="shared" si="12"/>
        <v>0</v>
      </c>
      <c r="U24" s="338">
        <f t="shared" si="12"/>
        <v>0</v>
      </c>
      <c r="V24" s="338">
        <f t="shared" si="12"/>
        <v>0</v>
      </c>
      <c r="W24" s="338">
        <f t="shared" si="12"/>
        <v>0</v>
      </c>
      <c r="X24" s="338">
        <f t="shared" si="12"/>
        <v>0</v>
      </c>
      <c r="Y24" s="338">
        <f t="shared" si="12"/>
        <v>22</v>
      </c>
      <c r="Z24" s="338">
        <f t="shared" si="12"/>
        <v>0</v>
      </c>
      <c r="AA24" s="245">
        <f>SUM(E24:Z24)</f>
        <v>122</v>
      </c>
    </row>
    <row r="25" spans="2:28" s="145" customFormat="1">
      <c r="B25" s="295" t="s">
        <v>339</v>
      </c>
      <c r="C25" s="293" t="s">
        <v>340</v>
      </c>
      <c r="D25" s="226"/>
      <c r="E25" s="160">
        <f t="shared" si="12"/>
        <v>2</v>
      </c>
      <c r="F25" s="160">
        <f t="shared" si="12"/>
        <v>2</v>
      </c>
      <c r="G25" s="160">
        <f t="shared" si="12"/>
        <v>8</v>
      </c>
      <c r="H25" s="160">
        <f t="shared" si="12"/>
        <v>2</v>
      </c>
      <c r="I25" s="160">
        <f t="shared" si="12"/>
        <v>0</v>
      </c>
      <c r="J25" s="160">
        <f t="shared" si="12"/>
        <v>2</v>
      </c>
      <c r="K25" s="338">
        <f t="shared" si="12"/>
        <v>3</v>
      </c>
      <c r="L25" s="338">
        <f t="shared" si="12"/>
        <v>3</v>
      </c>
      <c r="M25" s="338">
        <f t="shared" si="12"/>
        <v>3</v>
      </c>
      <c r="N25" s="338">
        <f t="shared" si="12"/>
        <v>3</v>
      </c>
      <c r="O25" s="338">
        <f t="shared" si="12"/>
        <v>3</v>
      </c>
      <c r="P25" s="338">
        <f t="shared" si="12"/>
        <v>3</v>
      </c>
      <c r="Q25" s="338">
        <f t="shared" si="12"/>
        <v>3</v>
      </c>
      <c r="R25" s="338">
        <f t="shared" si="12"/>
        <v>3</v>
      </c>
      <c r="S25" s="338">
        <f t="shared" si="12"/>
        <v>3</v>
      </c>
      <c r="T25" s="338">
        <f t="shared" si="12"/>
        <v>14</v>
      </c>
      <c r="U25" s="338">
        <f t="shared" si="12"/>
        <v>29</v>
      </c>
      <c r="V25" s="338">
        <f t="shared" si="12"/>
        <v>3</v>
      </c>
      <c r="W25" s="338">
        <f t="shared" si="12"/>
        <v>3</v>
      </c>
      <c r="X25" s="338">
        <f t="shared" si="12"/>
        <v>3</v>
      </c>
      <c r="Y25" s="338">
        <f t="shared" si="12"/>
        <v>3</v>
      </c>
      <c r="Z25" s="338">
        <f t="shared" si="12"/>
        <v>17</v>
      </c>
      <c r="AA25" s="245">
        <f>SUM(E25:Z25)</f>
        <v>115</v>
      </c>
    </row>
    <row r="26" spans="2:28" s="145" customFormat="1">
      <c r="B26" s="295" t="s">
        <v>341</v>
      </c>
      <c r="C26" s="293" t="s">
        <v>44</v>
      </c>
      <c r="D26" s="226"/>
      <c r="E26" s="160">
        <f t="shared" si="12"/>
        <v>0</v>
      </c>
      <c r="F26" s="160">
        <f t="shared" si="12"/>
        <v>0</v>
      </c>
      <c r="G26" s="160">
        <f t="shared" si="12"/>
        <v>0</v>
      </c>
      <c r="H26" s="160">
        <f t="shared" si="12"/>
        <v>0</v>
      </c>
      <c r="I26" s="160">
        <f t="shared" si="12"/>
        <v>0</v>
      </c>
      <c r="J26" s="160">
        <f t="shared" si="12"/>
        <v>7</v>
      </c>
      <c r="K26" s="160">
        <f t="shared" si="12"/>
        <v>13</v>
      </c>
      <c r="L26" s="160">
        <f t="shared" si="12"/>
        <v>13</v>
      </c>
      <c r="M26" s="160">
        <f t="shared" si="12"/>
        <v>0</v>
      </c>
      <c r="N26" s="341">
        <f t="shared" si="12"/>
        <v>0</v>
      </c>
      <c r="O26" s="341">
        <f t="shared" si="12"/>
        <v>0</v>
      </c>
      <c r="P26" s="341">
        <f t="shared" si="12"/>
        <v>0</v>
      </c>
      <c r="Q26" s="341">
        <f t="shared" si="12"/>
        <v>0</v>
      </c>
      <c r="R26" s="341">
        <f t="shared" si="12"/>
        <v>0</v>
      </c>
      <c r="S26" s="341">
        <f t="shared" si="12"/>
        <v>0</v>
      </c>
      <c r="T26" s="341">
        <f t="shared" si="12"/>
        <v>0</v>
      </c>
      <c r="U26" s="341">
        <f t="shared" si="12"/>
        <v>0</v>
      </c>
      <c r="V26" s="341">
        <f t="shared" si="12"/>
        <v>0</v>
      </c>
      <c r="W26" s="341">
        <f t="shared" si="12"/>
        <v>0</v>
      </c>
      <c r="X26" s="341">
        <f t="shared" si="12"/>
        <v>0</v>
      </c>
      <c r="Y26" s="341">
        <f t="shared" si="12"/>
        <v>0</v>
      </c>
      <c r="Z26" s="341">
        <f t="shared" si="12"/>
        <v>0</v>
      </c>
      <c r="AA26" s="245">
        <f>SUM(E26:Z26)</f>
        <v>33</v>
      </c>
    </row>
    <row r="28" spans="2:28">
      <c r="C28" s="246" t="s">
        <v>160</v>
      </c>
      <c r="D28" s="247">
        <f>COUNTIF($D$4:$D$21,C28)</f>
        <v>11</v>
      </c>
    </row>
    <row r="29" spans="2:28">
      <c r="C29" s="248" t="s">
        <v>10</v>
      </c>
      <c r="D29" s="247">
        <f>COUNTIF($D$4:$D$21,C29)</f>
        <v>2</v>
      </c>
    </row>
    <row r="30" spans="2:28">
      <c r="C30" s="248" t="s">
        <v>106</v>
      </c>
      <c r="D30" s="247">
        <f>COUNTIF($D$4:$D$21,C30)</f>
        <v>4</v>
      </c>
    </row>
  </sheetData>
  <sheetProtection selectLockedCells="1"/>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C00-000000000000}">
      <formula1>type_renner</formula1>
    </dataValidation>
  </dataValidation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9">
    <tabColor indexed="12"/>
  </sheetPr>
  <dimension ref="B1:AB30"/>
  <sheetViews>
    <sheetView showZeros="0" workbookViewId="0">
      <selection activeCell="Z22" sqref="Z22"/>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166</v>
      </c>
      <c r="D1" s="220"/>
    </row>
    <row r="2" spans="2:28">
      <c r="B2" s="146"/>
      <c r="C2" s="250"/>
      <c r="D2" s="147"/>
      <c r="H2" s="112"/>
    </row>
    <row r="3" spans="2:28" s="110" customFormat="1" ht="14.4" thickBot="1">
      <c r="B3" s="251"/>
      <c r="C3" s="252" t="s">
        <v>74</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c r="C4" s="292"/>
      <c r="D4" s="223"/>
      <c r="E4" s="98" t="e">
        <f t="shared" ref="E4:T19" si="0">INDEX(scorematrix,MATCH($C4,renners,0),MATCH(E$3,etappes,0))</f>
        <v>#N/A</v>
      </c>
      <c r="F4" s="98" t="e">
        <f t="shared" si="0"/>
        <v>#N/A</v>
      </c>
      <c r="G4" s="98" t="e">
        <f t="shared" si="0"/>
        <v>#N/A</v>
      </c>
      <c r="H4" s="98" t="e">
        <f t="shared" si="0"/>
        <v>#N/A</v>
      </c>
      <c r="I4" s="98" t="e">
        <f t="shared" si="0"/>
        <v>#N/A</v>
      </c>
      <c r="J4" s="98" t="e">
        <f t="shared" si="0"/>
        <v>#N/A</v>
      </c>
      <c r="K4" s="98" t="e">
        <f t="shared" si="0"/>
        <v>#N/A</v>
      </c>
      <c r="L4" s="98" t="e">
        <f t="shared" si="0"/>
        <v>#N/A</v>
      </c>
      <c r="M4" s="98" t="e">
        <f t="shared" si="0"/>
        <v>#N/A</v>
      </c>
      <c r="N4" s="98" t="e">
        <f t="shared" si="0"/>
        <v>#N/A</v>
      </c>
      <c r="O4" s="98" t="e">
        <f t="shared" si="0"/>
        <v>#N/A</v>
      </c>
      <c r="P4" s="98" t="e">
        <f t="shared" si="0"/>
        <v>#N/A</v>
      </c>
      <c r="Q4" s="98" t="e">
        <f t="shared" si="0"/>
        <v>#N/A</v>
      </c>
      <c r="R4" s="98" t="e">
        <f t="shared" si="0"/>
        <v>#N/A</v>
      </c>
      <c r="S4" s="98" t="e">
        <f t="shared" si="0"/>
        <v>#N/A</v>
      </c>
      <c r="T4" s="98" t="e">
        <f t="shared" si="0"/>
        <v>#N/A</v>
      </c>
      <c r="U4" s="98" t="e">
        <f t="shared" ref="U4:Z18" si="1">INDEX(scorematrix,MATCH($C4,renners,0),MATCH(U$3,etappes,0))</f>
        <v>#N/A</v>
      </c>
      <c r="V4" s="98" t="e">
        <f t="shared" si="1"/>
        <v>#N/A</v>
      </c>
      <c r="W4" s="98" t="e">
        <f t="shared" si="1"/>
        <v>#N/A</v>
      </c>
      <c r="X4" s="98" t="e">
        <f t="shared" si="1"/>
        <v>#N/A</v>
      </c>
      <c r="Y4" s="98" t="e">
        <f t="shared" si="1"/>
        <v>#N/A</v>
      </c>
      <c r="Z4" s="98" t="e">
        <f t="shared" si="1"/>
        <v>#N/A</v>
      </c>
      <c r="AA4" s="153" t="e">
        <f t="shared" ref="AA4:AA20" si="2">SUM(E4:Z4)</f>
        <v>#N/A</v>
      </c>
      <c r="AB4" s="94">
        <f t="shared" ref="AB4:AB20" si="3">C4</f>
        <v>0</v>
      </c>
    </row>
    <row r="5" spans="2:28">
      <c r="B5" s="294"/>
      <c r="C5" s="292"/>
      <c r="D5" s="223"/>
      <c r="E5" s="98" t="e">
        <f t="shared" si="0"/>
        <v>#N/A</v>
      </c>
      <c r="F5" s="98" t="e">
        <f t="shared" si="0"/>
        <v>#N/A</v>
      </c>
      <c r="G5" s="98" t="e">
        <f t="shared" si="0"/>
        <v>#N/A</v>
      </c>
      <c r="H5" s="98" t="e">
        <f t="shared" si="0"/>
        <v>#N/A</v>
      </c>
      <c r="I5" s="98" t="e">
        <f t="shared" si="0"/>
        <v>#N/A</v>
      </c>
      <c r="J5" s="98" t="e">
        <f t="shared" si="0"/>
        <v>#N/A</v>
      </c>
      <c r="K5" s="98" t="e">
        <f t="shared" si="0"/>
        <v>#N/A</v>
      </c>
      <c r="L5" s="98" t="e">
        <f t="shared" si="0"/>
        <v>#N/A</v>
      </c>
      <c r="M5" s="98" t="e">
        <f t="shared" si="0"/>
        <v>#N/A</v>
      </c>
      <c r="N5" s="98" t="e">
        <f t="shared" si="0"/>
        <v>#N/A</v>
      </c>
      <c r="O5" s="98" t="e">
        <f t="shared" si="0"/>
        <v>#N/A</v>
      </c>
      <c r="P5" s="98" t="e">
        <f t="shared" si="0"/>
        <v>#N/A</v>
      </c>
      <c r="Q5" s="98" t="e">
        <f t="shared" si="0"/>
        <v>#N/A</v>
      </c>
      <c r="R5" s="98" t="e">
        <f t="shared" si="0"/>
        <v>#N/A</v>
      </c>
      <c r="S5" s="98" t="e">
        <f t="shared" si="0"/>
        <v>#N/A</v>
      </c>
      <c r="T5" s="98" t="e">
        <f t="shared" si="0"/>
        <v>#N/A</v>
      </c>
      <c r="U5" s="98" t="e">
        <f t="shared" si="1"/>
        <v>#N/A</v>
      </c>
      <c r="V5" s="98" t="e">
        <f t="shared" si="1"/>
        <v>#N/A</v>
      </c>
      <c r="W5" s="98" t="e">
        <f t="shared" si="1"/>
        <v>#N/A</v>
      </c>
      <c r="X5" s="98" t="e">
        <f t="shared" si="1"/>
        <v>#N/A</v>
      </c>
      <c r="Y5" s="98" t="e">
        <f t="shared" si="1"/>
        <v>#N/A</v>
      </c>
      <c r="Z5" s="98" t="e">
        <f t="shared" si="1"/>
        <v>#N/A</v>
      </c>
      <c r="AA5" s="153" t="e">
        <f t="shared" si="2"/>
        <v>#N/A</v>
      </c>
      <c r="AB5" s="94">
        <f t="shared" si="3"/>
        <v>0</v>
      </c>
    </row>
    <row r="6" spans="2:28">
      <c r="B6" s="294"/>
      <c r="C6" s="292"/>
      <c r="D6" s="223"/>
      <c r="E6" s="98" t="e">
        <f t="shared" si="0"/>
        <v>#N/A</v>
      </c>
      <c r="F6" s="98" t="e">
        <f t="shared" si="0"/>
        <v>#N/A</v>
      </c>
      <c r="G6" s="98" t="e">
        <f t="shared" si="0"/>
        <v>#N/A</v>
      </c>
      <c r="H6" s="98" t="e">
        <f t="shared" si="0"/>
        <v>#N/A</v>
      </c>
      <c r="I6" s="98" t="e">
        <f t="shared" si="0"/>
        <v>#N/A</v>
      </c>
      <c r="J6" s="98" t="e">
        <f t="shared" si="0"/>
        <v>#N/A</v>
      </c>
      <c r="K6" s="98" t="e">
        <f t="shared" si="0"/>
        <v>#N/A</v>
      </c>
      <c r="L6" s="98" t="e">
        <f t="shared" si="0"/>
        <v>#N/A</v>
      </c>
      <c r="M6" s="98" t="e">
        <f t="shared" si="0"/>
        <v>#N/A</v>
      </c>
      <c r="N6" s="98" t="e">
        <f t="shared" si="0"/>
        <v>#N/A</v>
      </c>
      <c r="O6" s="98" t="e">
        <f t="shared" si="0"/>
        <v>#N/A</v>
      </c>
      <c r="P6" s="98" t="e">
        <f t="shared" si="0"/>
        <v>#N/A</v>
      </c>
      <c r="Q6" s="98" t="e">
        <f t="shared" si="0"/>
        <v>#N/A</v>
      </c>
      <c r="R6" s="98" t="e">
        <f t="shared" si="0"/>
        <v>#N/A</v>
      </c>
      <c r="S6" s="98" t="e">
        <f t="shared" si="0"/>
        <v>#N/A</v>
      </c>
      <c r="T6" s="98" t="e">
        <f t="shared" si="0"/>
        <v>#N/A</v>
      </c>
      <c r="U6" s="98" t="e">
        <f t="shared" si="1"/>
        <v>#N/A</v>
      </c>
      <c r="V6" s="98" t="e">
        <f t="shared" si="1"/>
        <v>#N/A</v>
      </c>
      <c r="W6" s="98" t="e">
        <f t="shared" si="1"/>
        <v>#N/A</v>
      </c>
      <c r="X6" s="98" t="e">
        <f t="shared" si="1"/>
        <v>#N/A</v>
      </c>
      <c r="Y6" s="98" t="e">
        <f t="shared" si="1"/>
        <v>#N/A</v>
      </c>
      <c r="Z6" s="98" t="e">
        <f t="shared" si="1"/>
        <v>#N/A</v>
      </c>
      <c r="AA6" s="153" t="e">
        <f t="shared" si="2"/>
        <v>#N/A</v>
      </c>
      <c r="AB6" s="94">
        <f t="shared" si="3"/>
        <v>0</v>
      </c>
    </row>
    <row r="7" spans="2:28">
      <c r="B7" s="294"/>
      <c r="C7" s="292"/>
      <c r="D7" s="223"/>
      <c r="E7" s="98" t="e">
        <f t="shared" si="0"/>
        <v>#N/A</v>
      </c>
      <c r="F7" s="98" t="e">
        <f t="shared" si="0"/>
        <v>#N/A</v>
      </c>
      <c r="G7" s="98" t="e">
        <f t="shared" si="0"/>
        <v>#N/A</v>
      </c>
      <c r="H7" s="98" t="e">
        <f t="shared" si="0"/>
        <v>#N/A</v>
      </c>
      <c r="I7" s="98" t="e">
        <f t="shared" si="0"/>
        <v>#N/A</v>
      </c>
      <c r="J7" s="98" t="e">
        <f t="shared" si="0"/>
        <v>#N/A</v>
      </c>
      <c r="K7" s="98" t="e">
        <f t="shared" si="0"/>
        <v>#N/A</v>
      </c>
      <c r="L7" s="98" t="e">
        <f t="shared" si="0"/>
        <v>#N/A</v>
      </c>
      <c r="M7" s="98" t="e">
        <f t="shared" si="0"/>
        <v>#N/A</v>
      </c>
      <c r="N7" s="98" t="e">
        <f t="shared" si="0"/>
        <v>#N/A</v>
      </c>
      <c r="O7" s="98" t="e">
        <f t="shared" si="0"/>
        <v>#N/A</v>
      </c>
      <c r="P7" s="98" t="e">
        <f t="shared" si="0"/>
        <v>#N/A</v>
      </c>
      <c r="Q7" s="98" t="e">
        <f t="shared" si="0"/>
        <v>#N/A</v>
      </c>
      <c r="R7" s="98" t="e">
        <f t="shared" si="0"/>
        <v>#N/A</v>
      </c>
      <c r="S7" s="98" t="e">
        <f t="shared" si="0"/>
        <v>#N/A</v>
      </c>
      <c r="T7" s="98" t="e">
        <f t="shared" si="0"/>
        <v>#N/A</v>
      </c>
      <c r="U7" s="98" t="e">
        <f t="shared" si="1"/>
        <v>#N/A</v>
      </c>
      <c r="V7" s="98" t="e">
        <f t="shared" si="1"/>
        <v>#N/A</v>
      </c>
      <c r="W7" s="98" t="e">
        <f t="shared" si="1"/>
        <v>#N/A</v>
      </c>
      <c r="X7" s="98" t="e">
        <f t="shared" si="1"/>
        <v>#N/A</v>
      </c>
      <c r="Y7" s="98" t="e">
        <f t="shared" si="1"/>
        <v>#N/A</v>
      </c>
      <c r="Z7" s="98" t="e">
        <f t="shared" si="1"/>
        <v>#N/A</v>
      </c>
      <c r="AA7" s="153" t="e">
        <f t="shared" si="2"/>
        <v>#N/A</v>
      </c>
      <c r="AB7" s="94">
        <f t="shared" si="3"/>
        <v>0</v>
      </c>
    </row>
    <row r="8" spans="2:28">
      <c r="B8" s="294"/>
      <c r="C8" s="292"/>
      <c r="D8" s="223"/>
      <c r="E8" s="98" t="e">
        <f t="shared" si="0"/>
        <v>#N/A</v>
      </c>
      <c r="F8" s="98" t="e">
        <f t="shared" si="0"/>
        <v>#N/A</v>
      </c>
      <c r="G8" s="98" t="e">
        <f t="shared" si="0"/>
        <v>#N/A</v>
      </c>
      <c r="H8" s="98" t="e">
        <f t="shared" si="0"/>
        <v>#N/A</v>
      </c>
      <c r="I8" s="98" t="e">
        <f t="shared" si="0"/>
        <v>#N/A</v>
      </c>
      <c r="J8" s="98" t="e">
        <f t="shared" si="0"/>
        <v>#N/A</v>
      </c>
      <c r="K8" s="98" t="e">
        <f t="shared" si="0"/>
        <v>#N/A</v>
      </c>
      <c r="L8" s="98" t="e">
        <f t="shared" si="0"/>
        <v>#N/A</v>
      </c>
      <c r="M8" s="98" t="e">
        <f t="shared" si="0"/>
        <v>#N/A</v>
      </c>
      <c r="N8" s="98" t="e">
        <f t="shared" si="0"/>
        <v>#N/A</v>
      </c>
      <c r="O8" s="98" t="e">
        <f t="shared" si="0"/>
        <v>#N/A</v>
      </c>
      <c r="P8" s="98" t="e">
        <f t="shared" si="0"/>
        <v>#N/A</v>
      </c>
      <c r="Q8" s="98" t="e">
        <f t="shared" si="0"/>
        <v>#N/A</v>
      </c>
      <c r="R8" s="98" t="e">
        <f t="shared" si="0"/>
        <v>#N/A</v>
      </c>
      <c r="S8" s="98" t="e">
        <f t="shared" si="0"/>
        <v>#N/A</v>
      </c>
      <c r="T8" s="98" t="e">
        <f t="shared" si="0"/>
        <v>#N/A</v>
      </c>
      <c r="U8" s="98" t="e">
        <f t="shared" si="1"/>
        <v>#N/A</v>
      </c>
      <c r="V8" s="98" t="e">
        <f t="shared" si="1"/>
        <v>#N/A</v>
      </c>
      <c r="W8" s="98" t="e">
        <f t="shared" si="1"/>
        <v>#N/A</v>
      </c>
      <c r="X8" s="98" t="e">
        <f t="shared" si="1"/>
        <v>#N/A</v>
      </c>
      <c r="Y8" s="98" t="e">
        <f t="shared" si="1"/>
        <v>#N/A</v>
      </c>
      <c r="Z8" s="98" t="e">
        <f t="shared" si="1"/>
        <v>#N/A</v>
      </c>
      <c r="AA8" s="153" t="e">
        <f t="shared" si="2"/>
        <v>#N/A</v>
      </c>
      <c r="AB8" s="94">
        <f t="shared" si="3"/>
        <v>0</v>
      </c>
    </row>
    <row r="9" spans="2:28">
      <c r="B9" s="294"/>
      <c r="C9" s="292"/>
      <c r="D9" s="223"/>
      <c r="E9" s="98" t="e">
        <f t="shared" si="0"/>
        <v>#N/A</v>
      </c>
      <c r="F9" s="98" t="e">
        <f t="shared" si="0"/>
        <v>#N/A</v>
      </c>
      <c r="G9" s="98" t="e">
        <f t="shared" si="0"/>
        <v>#N/A</v>
      </c>
      <c r="H9" s="98"/>
      <c r="I9" s="98"/>
      <c r="J9" s="98"/>
      <c r="K9" s="98"/>
      <c r="L9" s="98"/>
      <c r="M9" s="98"/>
      <c r="N9" s="98"/>
      <c r="O9" s="98"/>
      <c r="P9" s="98"/>
      <c r="Q9" s="98"/>
      <c r="R9" s="98"/>
      <c r="S9" s="98"/>
      <c r="T9" s="98"/>
      <c r="U9" s="98"/>
      <c r="V9" s="98"/>
      <c r="W9" s="98"/>
      <c r="X9" s="98"/>
      <c r="Y9" s="98"/>
      <c r="Z9" s="98"/>
      <c r="AA9" s="153" t="e">
        <f t="shared" si="2"/>
        <v>#N/A</v>
      </c>
      <c r="AB9" s="94">
        <f t="shared" si="3"/>
        <v>0</v>
      </c>
    </row>
    <row r="10" spans="2:28">
      <c r="B10" s="294"/>
      <c r="C10" s="292"/>
      <c r="D10" s="223"/>
      <c r="E10" s="98" t="e">
        <f t="shared" si="0"/>
        <v>#N/A</v>
      </c>
      <c r="F10" s="98" t="e">
        <f t="shared" si="0"/>
        <v>#N/A</v>
      </c>
      <c r="G10" s="98" t="e">
        <f t="shared" si="0"/>
        <v>#N/A</v>
      </c>
      <c r="H10" s="98" t="e">
        <f t="shared" si="0"/>
        <v>#N/A</v>
      </c>
      <c r="I10" s="98" t="e">
        <f t="shared" si="0"/>
        <v>#N/A</v>
      </c>
      <c r="J10" s="98" t="e">
        <f t="shared" si="0"/>
        <v>#N/A</v>
      </c>
      <c r="K10" s="98" t="e">
        <f t="shared" si="0"/>
        <v>#N/A</v>
      </c>
      <c r="L10" s="98" t="e">
        <f t="shared" si="0"/>
        <v>#N/A</v>
      </c>
      <c r="M10" s="98" t="e">
        <f t="shared" si="0"/>
        <v>#N/A</v>
      </c>
      <c r="N10" s="98" t="e">
        <f t="shared" si="0"/>
        <v>#N/A</v>
      </c>
      <c r="O10" s="98" t="e">
        <f t="shared" si="0"/>
        <v>#N/A</v>
      </c>
      <c r="P10" s="98" t="e">
        <f t="shared" si="0"/>
        <v>#N/A</v>
      </c>
      <c r="Q10" s="98" t="e">
        <f t="shared" si="0"/>
        <v>#N/A</v>
      </c>
      <c r="R10" s="98" t="e">
        <f t="shared" si="0"/>
        <v>#N/A</v>
      </c>
      <c r="S10" s="98" t="e">
        <f t="shared" si="0"/>
        <v>#N/A</v>
      </c>
      <c r="T10" s="98" t="e">
        <f t="shared" si="0"/>
        <v>#N/A</v>
      </c>
      <c r="U10" s="98" t="e">
        <f t="shared" si="1"/>
        <v>#N/A</v>
      </c>
      <c r="V10" s="98" t="e">
        <f t="shared" si="1"/>
        <v>#N/A</v>
      </c>
      <c r="W10" s="98" t="e">
        <f t="shared" si="1"/>
        <v>#N/A</v>
      </c>
      <c r="X10" s="98" t="e">
        <f t="shared" si="1"/>
        <v>#N/A</v>
      </c>
      <c r="Y10" s="98" t="e">
        <f t="shared" si="1"/>
        <v>#N/A</v>
      </c>
      <c r="Z10" s="98" t="e">
        <f t="shared" si="1"/>
        <v>#N/A</v>
      </c>
      <c r="AA10" s="153" t="e">
        <f t="shared" si="2"/>
        <v>#N/A</v>
      </c>
      <c r="AB10" s="94">
        <f t="shared" si="3"/>
        <v>0</v>
      </c>
    </row>
    <row r="11" spans="2:28">
      <c r="B11" s="294"/>
      <c r="C11" s="292"/>
      <c r="D11" s="223"/>
      <c r="E11" s="98" t="e">
        <f t="shared" si="0"/>
        <v>#N/A</v>
      </c>
      <c r="F11" s="98" t="e">
        <f t="shared" si="0"/>
        <v>#N/A</v>
      </c>
      <c r="G11" s="98" t="e">
        <f t="shared" si="0"/>
        <v>#N/A</v>
      </c>
      <c r="H11" s="98" t="e">
        <f t="shared" si="0"/>
        <v>#N/A</v>
      </c>
      <c r="I11" s="98" t="e">
        <f t="shared" si="0"/>
        <v>#N/A</v>
      </c>
      <c r="J11" s="98" t="e">
        <f t="shared" si="0"/>
        <v>#N/A</v>
      </c>
      <c r="K11" s="98" t="e">
        <f t="shared" si="0"/>
        <v>#N/A</v>
      </c>
      <c r="L11" s="98" t="e">
        <f t="shared" si="0"/>
        <v>#N/A</v>
      </c>
      <c r="M11" s="98" t="e">
        <f t="shared" si="0"/>
        <v>#N/A</v>
      </c>
      <c r="N11" s="98" t="e">
        <f t="shared" si="0"/>
        <v>#N/A</v>
      </c>
      <c r="O11" s="98" t="e">
        <f t="shared" si="0"/>
        <v>#N/A</v>
      </c>
      <c r="P11" s="98" t="e">
        <f t="shared" si="0"/>
        <v>#N/A</v>
      </c>
      <c r="Q11" s="98" t="e">
        <f t="shared" si="0"/>
        <v>#N/A</v>
      </c>
      <c r="R11" s="98" t="e">
        <f t="shared" si="0"/>
        <v>#N/A</v>
      </c>
      <c r="S11" s="98" t="e">
        <f t="shared" si="0"/>
        <v>#N/A</v>
      </c>
      <c r="T11" s="98" t="e">
        <f t="shared" si="0"/>
        <v>#N/A</v>
      </c>
      <c r="U11" s="98" t="e">
        <f t="shared" si="1"/>
        <v>#N/A</v>
      </c>
      <c r="V11" s="98" t="e">
        <f t="shared" si="1"/>
        <v>#N/A</v>
      </c>
      <c r="W11" s="98" t="e">
        <f t="shared" si="1"/>
        <v>#N/A</v>
      </c>
      <c r="X11" s="98" t="e">
        <f t="shared" si="1"/>
        <v>#N/A</v>
      </c>
      <c r="Y11" s="98" t="e">
        <f t="shared" si="1"/>
        <v>#N/A</v>
      </c>
      <c r="Z11" s="98" t="e">
        <f t="shared" si="1"/>
        <v>#N/A</v>
      </c>
      <c r="AA11" s="153" t="e">
        <f t="shared" si="2"/>
        <v>#N/A</v>
      </c>
      <c r="AB11" s="94">
        <f t="shared" si="3"/>
        <v>0</v>
      </c>
    </row>
    <row r="12" spans="2:28">
      <c r="B12" s="294"/>
      <c r="C12" s="292"/>
      <c r="D12" s="223"/>
      <c r="E12" s="98" t="e">
        <f t="shared" si="0"/>
        <v>#N/A</v>
      </c>
      <c r="F12" s="98" t="e">
        <f t="shared" si="0"/>
        <v>#N/A</v>
      </c>
      <c r="G12" s="98" t="e">
        <f t="shared" si="0"/>
        <v>#N/A</v>
      </c>
      <c r="H12" s="98" t="e">
        <f t="shared" si="0"/>
        <v>#N/A</v>
      </c>
      <c r="I12" s="98" t="e">
        <f t="shared" si="0"/>
        <v>#N/A</v>
      </c>
      <c r="J12" s="98" t="e">
        <f t="shared" si="0"/>
        <v>#N/A</v>
      </c>
      <c r="K12" s="98" t="e">
        <f t="shared" si="0"/>
        <v>#N/A</v>
      </c>
      <c r="L12" s="98" t="e">
        <f t="shared" si="0"/>
        <v>#N/A</v>
      </c>
      <c r="M12" s="98" t="e">
        <f t="shared" si="0"/>
        <v>#N/A</v>
      </c>
      <c r="N12" s="98" t="e">
        <f t="shared" si="0"/>
        <v>#N/A</v>
      </c>
      <c r="O12" s="98" t="e">
        <f t="shared" si="0"/>
        <v>#N/A</v>
      </c>
      <c r="P12" s="98" t="e">
        <f t="shared" si="0"/>
        <v>#N/A</v>
      </c>
      <c r="Q12" s="98" t="e">
        <f t="shared" si="0"/>
        <v>#N/A</v>
      </c>
      <c r="R12" s="98" t="e">
        <f t="shared" si="0"/>
        <v>#N/A</v>
      </c>
      <c r="S12" s="98" t="e">
        <f t="shared" si="0"/>
        <v>#N/A</v>
      </c>
      <c r="T12" s="98" t="e">
        <f t="shared" si="0"/>
        <v>#N/A</v>
      </c>
      <c r="U12" s="98" t="e">
        <f t="shared" si="1"/>
        <v>#N/A</v>
      </c>
      <c r="V12" s="98" t="e">
        <f t="shared" si="1"/>
        <v>#N/A</v>
      </c>
      <c r="W12" s="98" t="e">
        <f t="shared" si="1"/>
        <v>#N/A</v>
      </c>
      <c r="X12" s="98" t="e">
        <f t="shared" si="1"/>
        <v>#N/A</v>
      </c>
      <c r="Y12" s="98" t="e">
        <f t="shared" si="1"/>
        <v>#N/A</v>
      </c>
      <c r="Z12" s="98" t="e">
        <f t="shared" si="1"/>
        <v>#N/A</v>
      </c>
      <c r="AA12" s="153" t="e">
        <f t="shared" si="2"/>
        <v>#N/A</v>
      </c>
      <c r="AB12" s="94">
        <f t="shared" si="3"/>
        <v>0</v>
      </c>
    </row>
    <row r="13" spans="2:28">
      <c r="B13" s="294"/>
      <c r="C13" s="292"/>
      <c r="D13" s="223"/>
      <c r="E13" s="98" t="e">
        <f t="shared" si="0"/>
        <v>#N/A</v>
      </c>
      <c r="F13" s="98" t="e">
        <f t="shared" si="0"/>
        <v>#N/A</v>
      </c>
      <c r="G13" s="98" t="e">
        <f t="shared" si="0"/>
        <v>#N/A</v>
      </c>
      <c r="H13" s="98" t="e">
        <f t="shared" si="0"/>
        <v>#N/A</v>
      </c>
      <c r="I13" s="98" t="e">
        <f t="shared" si="0"/>
        <v>#N/A</v>
      </c>
      <c r="J13" s="98" t="e">
        <f t="shared" si="0"/>
        <v>#N/A</v>
      </c>
      <c r="K13" s="98" t="e">
        <f t="shared" si="0"/>
        <v>#N/A</v>
      </c>
      <c r="L13" s="98" t="e">
        <f t="shared" si="0"/>
        <v>#N/A</v>
      </c>
      <c r="M13" s="98" t="e">
        <f t="shared" si="0"/>
        <v>#N/A</v>
      </c>
      <c r="N13" s="98" t="e">
        <f t="shared" si="0"/>
        <v>#N/A</v>
      </c>
      <c r="O13" s="98" t="e">
        <f t="shared" si="0"/>
        <v>#N/A</v>
      </c>
      <c r="P13" s="98" t="e">
        <f t="shared" si="0"/>
        <v>#N/A</v>
      </c>
      <c r="Q13" s="98" t="e">
        <f t="shared" si="0"/>
        <v>#N/A</v>
      </c>
      <c r="R13" s="98" t="e">
        <f t="shared" si="0"/>
        <v>#N/A</v>
      </c>
      <c r="S13" s="98" t="e">
        <f t="shared" si="0"/>
        <v>#N/A</v>
      </c>
      <c r="T13" s="98" t="e">
        <f t="shared" si="0"/>
        <v>#N/A</v>
      </c>
      <c r="U13" s="98" t="e">
        <f t="shared" si="1"/>
        <v>#N/A</v>
      </c>
      <c r="V13" s="98" t="e">
        <f t="shared" si="1"/>
        <v>#N/A</v>
      </c>
      <c r="W13" s="98" t="e">
        <f t="shared" si="1"/>
        <v>#N/A</v>
      </c>
      <c r="X13" s="98" t="e">
        <f t="shared" si="1"/>
        <v>#N/A</v>
      </c>
      <c r="Y13" s="98" t="e">
        <f t="shared" si="1"/>
        <v>#N/A</v>
      </c>
      <c r="Z13" s="98" t="e">
        <f t="shared" si="1"/>
        <v>#N/A</v>
      </c>
      <c r="AA13" s="153" t="e">
        <f t="shared" si="2"/>
        <v>#N/A</v>
      </c>
      <c r="AB13" s="94">
        <f t="shared" si="3"/>
        <v>0</v>
      </c>
    </row>
    <row r="14" spans="2:28">
      <c r="B14" s="294"/>
      <c r="C14" s="292"/>
      <c r="D14" s="223"/>
      <c r="E14" s="98" t="e">
        <f t="shared" si="0"/>
        <v>#N/A</v>
      </c>
      <c r="F14" s="98" t="e">
        <f t="shared" si="0"/>
        <v>#N/A</v>
      </c>
      <c r="G14" s="98" t="e">
        <f t="shared" si="0"/>
        <v>#N/A</v>
      </c>
      <c r="H14" s="98" t="e">
        <f t="shared" si="0"/>
        <v>#N/A</v>
      </c>
      <c r="I14" s="98" t="e">
        <f t="shared" si="0"/>
        <v>#N/A</v>
      </c>
      <c r="J14" s="98" t="e">
        <f t="shared" si="0"/>
        <v>#N/A</v>
      </c>
      <c r="K14" s="98" t="e">
        <f t="shared" si="0"/>
        <v>#N/A</v>
      </c>
      <c r="L14" s="98" t="e">
        <f t="shared" si="0"/>
        <v>#N/A</v>
      </c>
      <c r="M14" s="98" t="e">
        <f t="shared" si="0"/>
        <v>#N/A</v>
      </c>
      <c r="N14" s="98" t="e">
        <f t="shared" si="0"/>
        <v>#N/A</v>
      </c>
      <c r="O14" s="98" t="e">
        <f t="shared" si="0"/>
        <v>#N/A</v>
      </c>
      <c r="P14" s="98" t="e">
        <f t="shared" si="0"/>
        <v>#N/A</v>
      </c>
      <c r="Q14" s="98" t="e">
        <f t="shared" si="0"/>
        <v>#N/A</v>
      </c>
      <c r="R14" s="98" t="e">
        <f t="shared" si="0"/>
        <v>#N/A</v>
      </c>
      <c r="S14" s="98" t="e">
        <f t="shared" si="0"/>
        <v>#N/A</v>
      </c>
      <c r="T14" s="98" t="e">
        <f t="shared" si="0"/>
        <v>#N/A</v>
      </c>
      <c r="U14" s="98" t="e">
        <f t="shared" si="1"/>
        <v>#N/A</v>
      </c>
      <c r="V14" s="98" t="e">
        <f t="shared" si="1"/>
        <v>#N/A</v>
      </c>
      <c r="W14" s="98" t="e">
        <f t="shared" si="1"/>
        <v>#N/A</v>
      </c>
      <c r="X14" s="98" t="e">
        <f t="shared" si="1"/>
        <v>#N/A</v>
      </c>
      <c r="Y14" s="98" t="e">
        <f t="shared" si="1"/>
        <v>#N/A</v>
      </c>
      <c r="Z14" s="98" t="e">
        <f t="shared" si="1"/>
        <v>#N/A</v>
      </c>
      <c r="AA14" s="153" t="e">
        <f t="shared" si="2"/>
        <v>#N/A</v>
      </c>
      <c r="AB14" s="94">
        <f t="shared" si="3"/>
        <v>0</v>
      </c>
    </row>
    <row r="15" spans="2:28">
      <c r="B15" s="294"/>
      <c r="C15" s="292"/>
      <c r="D15" s="223"/>
      <c r="E15" s="98" t="e">
        <f t="shared" si="0"/>
        <v>#N/A</v>
      </c>
      <c r="F15" s="98" t="e">
        <f t="shared" si="0"/>
        <v>#N/A</v>
      </c>
      <c r="G15" s="98" t="e">
        <f t="shared" si="0"/>
        <v>#N/A</v>
      </c>
      <c r="H15" s="98" t="e">
        <f t="shared" si="0"/>
        <v>#N/A</v>
      </c>
      <c r="I15" s="98" t="e">
        <f t="shared" si="0"/>
        <v>#N/A</v>
      </c>
      <c r="J15" s="98" t="e">
        <f t="shared" si="0"/>
        <v>#N/A</v>
      </c>
      <c r="K15" s="98" t="e">
        <f t="shared" si="0"/>
        <v>#N/A</v>
      </c>
      <c r="L15" s="98" t="e">
        <f t="shared" si="0"/>
        <v>#N/A</v>
      </c>
      <c r="M15" s="98" t="e">
        <f t="shared" si="0"/>
        <v>#N/A</v>
      </c>
      <c r="N15" s="98" t="e">
        <f t="shared" si="0"/>
        <v>#N/A</v>
      </c>
      <c r="O15" s="98" t="e">
        <f t="shared" si="0"/>
        <v>#N/A</v>
      </c>
      <c r="P15" s="98" t="e">
        <f t="shared" si="0"/>
        <v>#N/A</v>
      </c>
      <c r="Q15" s="98" t="e">
        <f t="shared" si="0"/>
        <v>#N/A</v>
      </c>
      <c r="R15" s="98" t="e">
        <f t="shared" si="0"/>
        <v>#N/A</v>
      </c>
      <c r="S15" s="98" t="e">
        <f t="shared" si="0"/>
        <v>#N/A</v>
      </c>
      <c r="T15" s="98" t="e">
        <f t="shared" si="0"/>
        <v>#N/A</v>
      </c>
      <c r="U15" s="98" t="e">
        <f t="shared" si="1"/>
        <v>#N/A</v>
      </c>
      <c r="V15" s="98" t="e">
        <f t="shared" si="1"/>
        <v>#N/A</v>
      </c>
      <c r="W15" s="98" t="e">
        <f t="shared" si="1"/>
        <v>#N/A</v>
      </c>
      <c r="X15" s="98" t="e">
        <f t="shared" si="1"/>
        <v>#N/A</v>
      </c>
      <c r="Y15" s="98" t="e">
        <f t="shared" si="1"/>
        <v>#N/A</v>
      </c>
      <c r="Z15" s="98" t="e">
        <f t="shared" si="1"/>
        <v>#N/A</v>
      </c>
      <c r="AA15" s="153" t="e">
        <f t="shared" si="2"/>
        <v>#N/A</v>
      </c>
      <c r="AB15" s="94">
        <f t="shared" si="3"/>
        <v>0</v>
      </c>
    </row>
    <row r="16" spans="2:28">
      <c r="B16" s="294"/>
      <c r="C16" s="292"/>
      <c r="D16" s="223"/>
      <c r="E16" s="98" t="e">
        <f t="shared" si="0"/>
        <v>#N/A</v>
      </c>
      <c r="F16" s="98" t="e">
        <f t="shared" si="0"/>
        <v>#N/A</v>
      </c>
      <c r="G16" s="98" t="e">
        <f t="shared" si="0"/>
        <v>#N/A</v>
      </c>
      <c r="H16" s="98" t="e">
        <f t="shared" si="0"/>
        <v>#N/A</v>
      </c>
      <c r="I16" s="98" t="e">
        <f t="shared" si="0"/>
        <v>#N/A</v>
      </c>
      <c r="J16" s="98" t="e">
        <f t="shared" si="0"/>
        <v>#N/A</v>
      </c>
      <c r="K16" s="98" t="e">
        <f t="shared" si="0"/>
        <v>#N/A</v>
      </c>
      <c r="L16" s="98" t="e">
        <f t="shared" si="0"/>
        <v>#N/A</v>
      </c>
      <c r="M16" s="98" t="e">
        <f t="shared" si="0"/>
        <v>#N/A</v>
      </c>
      <c r="N16" s="98" t="e">
        <f t="shared" si="0"/>
        <v>#N/A</v>
      </c>
      <c r="O16" s="98" t="e">
        <f t="shared" si="0"/>
        <v>#N/A</v>
      </c>
      <c r="P16" s="98" t="e">
        <f t="shared" si="0"/>
        <v>#N/A</v>
      </c>
      <c r="Q16" s="98" t="e">
        <f t="shared" si="0"/>
        <v>#N/A</v>
      </c>
      <c r="R16" s="98" t="e">
        <f t="shared" si="0"/>
        <v>#N/A</v>
      </c>
      <c r="S16" s="98" t="e">
        <f t="shared" si="0"/>
        <v>#N/A</v>
      </c>
      <c r="T16" s="98" t="e">
        <f t="shared" si="0"/>
        <v>#N/A</v>
      </c>
      <c r="U16" s="98" t="e">
        <f t="shared" si="1"/>
        <v>#N/A</v>
      </c>
      <c r="V16" s="98" t="e">
        <f t="shared" si="1"/>
        <v>#N/A</v>
      </c>
      <c r="W16" s="98" t="e">
        <f t="shared" si="1"/>
        <v>#N/A</v>
      </c>
      <c r="X16" s="98" t="e">
        <f t="shared" si="1"/>
        <v>#N/A</v>
      </c>
      <c r="Y16" s="98" t="e">
        <f t="shared" si="1"/>
        <v>#N/A</v>
      </c>
      <c r="Z16" s="98" t="e">
        <f t="shared" si="1"/>
        <v>#N/A</v>
      </c>
      <c r="AA16" s="153" t="e">
        <f t="shared" si="2"/>
        <v>#N/A</v>
      </c>
      <c r="AB16" s="94">
        <f t="shared" si="3"/>
        <v>0</v>
      </c>
    </row>
    <row r="17" spans="2:28">
      <c r="B17" s="294"/>
      <c r="C17" s="292"/>
      <c r="D17" s="223"/>
      <c r="E17" s="98" t="e">
        <f t="shared" si="0"/>
        <v>#N/A</v>
      </c>
      <c r="F17" s="98" t="e">
        <f t="shared" si="0"/>
        <v>#N/A</v>
      </c>
      <c r="G17" s="98" t="e">
        <f t="shared" si="0"/>
        <v>#N/A</v>
      </c>
      <c r="H17" s="98" t="e">
        <f t="shared" si="0"/>
        <v>#N/A</v>
      </c>
      <c r="I17" s="98" t="e">
        <f t="shared" si="0"/>
        <v>#N/A</v>
      </c>
      <c r="J17" s="98" t="e">
        <f t="shared" si="0"/>
        <v>#N/A</v>
      </c>
      <c r="K17" s="98" t="e">
        <f t="shared" si="0"/>
        <v>#N/A</v>
      </c>
      <c r="L17" s="98" t="e">
        <f t="shared" si="0"/>
        <v>#N/A</v>
      </c>
      <c r="M17" s="98" t="e">
        <f t="shared" si="0"/>
        <v>#N/A</v>
      </c>
      <c r="N17" s="98" t="e">
        <f t="shared" si="0"/>
        <v>#N/A</v>
      </c>
      <c r="O17" s="98" t="e">
        <f t="shared" si="0"/>
        <v>#N/A</v>
      </c>
      <c r="P17" s="98" t="e">
        <f t="shared" si="0"/>
        <v>#N/A</v>
      </c>
      <c r="Q17" s="98" t="e">
        <f t="shared" si="0"/>
        <v>#N/A</v>
      </c>
      <c r="R17" s="98" t="e">
        <f t="shared" si="0"/>
        <v>#N/A</v>
      </c>
      <c r="S17" s="98" t="e">
        <f t="shared" si="0"/>
        <v>#N/A</v>
      </c>
      <c r="T17" s="98" t="e">
        <f t="shared" si="0"/>
        <v>#N/A</v>
      </c>
      <c r="U17" s="98" t="e">
        <f t="shared" si="1"/>
        <v>#N/A</v>
      </c>
      <c r="V17" s="98" t="e">
        <f t="shared" si="1"/>
        <v>#N/A</v>
      </c>
      <c r="W17" s="98" t="e">
        <f t="shared" si="1"/>
        <v>#N/A</v>
      </c>
      <c r="X17" s="98" t="e">
        <f t="shared" si="1"/>
        <v>#N/A</v>
      </c>
      <c r="Y17" s="98" t="e">
        <f t="shared" si="1"/>
        <v>#N/A</v>
      </c>
      <c r="Z17" s="98" t="e">
        <f t="shared" si="1"/>
        <v>#N/A</v>
      </c>
      <c r="AA17" s="153" t="e">
        <f t="shared" si="2"/>
        <v>#N/A</v>
      </c>
      <c r="AB17" s="94">
        <f t="shared" si="3"/>
        <v>0</v>
      </c>
    </row>
    <row r="18" spans="2:28">
      <c r="B18" s="294"/>
      <c r="C18" s="292"/>
      <c r="D18" s="223"/>
      <c r="E18" s="98" t="e">
        <f t="shared" si="0"/>
        <v>#N/A</v>
      </c>
      <c r="F18" s="98" t="e">
        <f t="shared" si="0"/>
        <v>#N/A</v>
      </c>
      <c r="G18" s="98" t="e">
        <f t="shared" si="0"/>
        <v>#N/A</v>
      </c>
      <c r="H18" s="98" t="e">
        <f t="shared" si="0"/>
        <v>#N/A</v>
      </c>
      <c r="I18" s="98" t="e">
        <f t="shared" si="0"/>
        <v>#N/A</v>
      </c>
      <c r="J18" s="98" t="e">
        <f t="shared" si="0"/>
        <v>#N/A</v>
      </c>
      <c r="K18" s="98" t="e">
        <f t="shared" si="0"/>
        <v>#N/A</v>
      </c>
      <c r="L18" s="98" t="e">
        <f t="shared" si="0"/>
        <v>#N/A</v>
      </c>
      <c r="M18" s="98" t="e">
        <f t="shared" si="0"/>
        <v>#N/A</v>
      </c>
      <c r="N18" s="98" t="e">
        <f t="shared" si="0"/>
        <v>#N/A</v>
      </c>
      <c r="O18" s="98" t="e">
        <f t="shared" si="0"/>
        <v>#N/A</v>
      </c>
      <c r="P18" s="98" t="e">
        <f t="shared" si="0"/>
        <v>#N/A</v>
      </c>
      <c r="Q18" s="98" t="e">
        <f t="shared" si="0"/>
        <v>#N/A</v>
      </c>
      <c r="R18" s="98" t="e">
        <f t="shared" si="0"/>
        <v>#N/A</v>
      </c>
      <c r="S18" s="98" t="e">
        <f t="shared" si="0"/>
        <v>#N/A</v>
      </c>
      <c r="T18" s="98" t="e">
        <f t="shared" si="0"/>
        <v>#N/A</v>
      </c>
      <c r="U18" s="98" t="e">
        <f t="shared" si="1"/>
        <v>#N/A</v>
      </c>
      <c r="V18" s="98" t="e">
        <f t="shared" si="1"/>
        <v>#N/A</v>
      </c>
      <c r="W18" s="98" t="e">
        <f t="shared" si="1"/>
        <v>#N/A</v>
      </c>
      <c r="X18" s="98" t="e">
        <f t="shared" si="1"/>
        <v>#N/A</v>
      </c>
      <c r="Y18" s="98" t="e">
        <f t="shared" si="1"/>
        <v>#N/A</v>
      </c>
      <c r="Z18" s="98" t="e">
        <f t="shared" si="1"/>
        <v>#N/A</v>
      </c>
      <c r="AA18" s="153" t="e">
        <f t="shared" si="2"/>
        <v>#N/A</v>
      </c>
      <c r="AB18" s="94">
        <f t="shared" si="3"/>
        <v>0</v>
      </c>
    </row>
    <row r="19" spans="2:28">
      <c r="B19" s="294"/>
      <c r="C19" s="292"/>
      <c r="D19" s="223"/>
      <c r="E19" s="98" t="e">
        <f t="shared" si="0"/>
        <v>#N/A</v>
      </c>
      <c r="F19" s="98" t="e">
        <f t="shared" si="0"/>
        <v>#N/A</v>
      </c>
      <c r="G19" s="98" t="e">
        <f t="shared" si="0"/>
        <v>#N/A</v>
      </c>
      <c r="H19" s="98" t="e">
        <f t="shared" si="0"/>
        <v>#N/A</v>
      </c>
      <c r="I19" s="98" t="e">
        <f t="shared" si="0"/>
        <v>#N/A</v>
      </c>
      <c r="J19" s="98" t="e">
        <f t="shared" si="0"/>
        <v>#N/A</v>
      </c>
      <c r="K19" s="98" t="e">
        <f t="shared" si="0"/>
        <v>#N/A</v>
      </c>
      <c r="L19" s="98" t="e">
        <f t="shared" si="0"/>
        <v>#N/A</v>
      </c>
      <c r="M19" s="98" t="e">
        <f t="shared" si="0"/>
        <v>#N/A</v>
      </c>
      <c r="N19" s="98" t="e">
        <f t="shared" si="0"/>
        <v>#N/A</v>
      </c>
      <c r="O19" s="98" t="e">
        <f t="shared" si="0"/>
        <v>#N/A</v>
      </c>
      <c r="P19" s="98" t="e">
        <f t="shared" si="0"/>
        <v>#N/A</v>
      </c>
      <c r="Q19" s="98" t="e">
        <f t="shared" si="0"/>
        <v>#N/A</v>
      </c>
      <c r="R19" s="98" t="e">
        <f t="shared" si="0"/>
        <v>#N/A</v>
      </c>
      <c r="S19" s="98" t="e">
        <f t="shared" si="0"/>
        <v>#N/A</v>
      </c>
      <c r="T19" s="98" t="e">
        <f t="shared" ref="T19:Z19" si="4">INDEX(scorematrix,MATCH($C19,renners,0),MATCH(T$3,etappes,0))</f>
        <v>#N/A</v>
      </c>
      <c r="U19" s="98" t="e">
        <f t="shared" si="4"/>
        <v>#N/A</v>
      </c>
      <c r="V19" s="98" t="e">
        <f t="shared" si="4"/>
        <v>#N/A</v>
      </c>
      <c r="W19" s="98" t="e">
        <f t="shared" si="4"/>
        <v>#N/A</v>
      </c>
      <c r="X19" s="98" t="e">
        <f t="shared" si="4"/>
        <v>#N/A</v>
      </c>
      <c r="Y19" s="98" t="e">
        <f t="shared" si="4"/>
        <v>#N/A</v>
      </c>
      <c r="Z19" s="98" t="e">
        <f t="shared" si="4"/>
        <v>#N/A</v>
      </c>
      <c r="AA19" s="153" t="e">
        <f t="shared" si="2"/>
        <v>#N/A</v>
      </c>
      <c r="AB19" s="94">
        <f t="shared" si="3"/>
        <v>0</v>
      </c>
    </row>
    <row r="20" spans="2:28" s="140" customFormat="1" ht="14.4" thickBot="1">
      <c r="B20" s="294"/>
      <c r="C20" s="292"/>
      <c r="D20" s="223"/>
      <c r="E20" s="98" t="e">
        <f t="shared" ref="E20:Z20" si="5">INDEX(scorematrix,MATCH($C20,renners,0),MATCH(E$3,etappes,0))</f>
        <v>#N/A</v>
      </c>
      <c r="F20" s="98" t="e">
        <f t="shared" si="5"/>
        <v>#N/A</v>
      </c>
      <c r="G20" s="98" t="e">
        <f t="shared" si="5"/>
        <v>#N/A</v>
      </c>
      <c r="H20" s="98" t="e">
        <f t="shared" si="5"/>
        <v>#N/A</v>
      </c>
      <c r="I20" s="98" t="e">
        <f t="shared" si="5"/>
        <v>#N/A</v>
      </c>
      <c r="J20" s="98" t="e">
        <f t="shared" si="5"/>
        <v>#N/A</v>
      </c>
      <c r="K20" s="98" t="e">
        <f t="shared" si="5"/>
        <v>#N/A</v>
      </c>
      <c r="L20" s="98" t="e">
        <f t="shared" si="5"/>
        <v>#N/A</v>
      </c>
      <c r="M20" s="98" t="e">
        <f t="shared" si="5"/>
        <v>#N/A</v>
      </c>
      <c r="N20" s="98" t="e">
        <f t="shared" si="5"/>
        <v>#N/A</v>
      </c>
      <c r="O20" s="98" t="e">
        <f t="shared" si="5"/>
        <v>#N/A</v>
      </c>
      <c r="P20" s="98" t="e">
        <f t="shared" si="5"/>
        <v>#N/A</v>
      </c>
      <c r="Q20" s="98" t="e">
        <f t="shared" si="5"/>
        <v>#N/A</v>
      </c>
      <c r="R20" s="98" t="e">
        <f t="shared" si="5"/>
        <v>#N/A</v>
      </c>
      <c r="S20" s="98" t="e">
        <f t="shared" si="5"/>
        <v>#N/A</v>
      </c>
      <c r="T20" s="98" t="e">
        <f t="shared" si="5"/>
        <v>#N/A</v>
      </c>
      <c r="U20" s="98" t="e">
        <f t="shared" si="5"/>
        <v>#N/A</v>
      </c>
      <c r="V20" s="98" t="e">
        <f t="shared" si="5"/>
        <v>#N/A</v>
      </c>
      <c r="W20" s="98" t="e">
        <f t="shared" si="5"/>
        <v>#N/A</v>
      </c>
      <c r="X20" s="98" t="e">
        <f t="shared" si="5"/>
        <v>#N/A</v>
      </c>
      <c r="Y20" s="98" t="e">
        <f t="shared" si="5"/>
        <v>#N/A</v>
      </c>
      <c r="Z20" s="98" t="e">
        <f t="shared" si="5"/>
        <v>#N/A</v>
      </c>
      <c r="AA20" s="153" t="e">
        <f t="shared" si="2"/>
        <v>#N/A</v>
      </c>
      <c r="AB20" s="94">
        <f t="shared" si="3"/>
        <v>0</v>
      </c>
    </row>
    <row r="21" spans="2:28" s="141" customFormat="1">
      <c r="B21" s="291"/>
      <c r="C21" s="288"/>
      <c r="D21" s="148"/>
      <c r="E21" s="150"/>
      <c r="F21" s="150"/>
      <c r="G21" s="150"/>
      <c r="H21" s="150"/>
      <c r="I21" s="150"/>
      <c r="J21" s="150"/>
      <c r="K21" s="150"/>
      <c r="L21" s="150"/>
      <c r="M21" s="150"/>
      <c r="N21" s="150"/>
      <c r="O21" s="150"/>
      <c r="P21" s="150"/>
      <c r="Q21" s="150"/>
      <c r="R21" s="150"/>
      <c r="S21" s="150"/>
      <c r="T21" s="150"/>
      <c r="U21" s="150"/>
      <c r="V21" s="150"/>
      <c r="W21" s="150"/>
      <c r="X21" s="150"/>
      <c r="Y21" s="150"/>
      <c r="Z21" s="150"/>
      <c r="AA21" s="193"/>
    </row>
    <row r="22" spans="2:28" s="97" customFormat="1">
      <c r="B22" s="287"/>
      <c r="C22" s="289"/>
      <c r="D22" s="296"/>
      <c r="E22" s="309" t="e">
        <f t="shared" ref="E22:AA22" si="6">SUM(E4:E21)</f>
        <v>#N/A</v>
      </c>
      <c r="F22" s="309" t="e">
        <f t="shared" si="6"/>
        <v>#N/A</v>
      </c>
      <c r="G22" s="309" t="e">
        <f t="shared" si="6"/>
        <v>#N/A</v>
      </c>
      <c r="H22" s="309" t="e">
        <f t="shared" si="6"/>
        <v>#N/A</v>
      </c>
      <c r="I22" s="309" t="e">
        <f t="shared" si="6"/>
        <v>#N/A</v>
      </c>
      <c r="J22" s="309" t="e">
        <f t="shared" si="6"/>
        <v>#N/A</v>
      </c>
      <c r="K22" s="309" t="e">
        <f t="shared" si="6"/>
        <v>#N/A</v>
      </c>
      <c r="L22" s="309" t="e">
        <f t="shared" si="6"/>
        <v>#N/A</v>
      </c>
      <c r="M22" s="309" t="e">
        <f t="shared" si="6"/>
        <v>#N/A</v>
      </c>
      <c r="N22" s="309" t="e">
        <f t="shared" si="6"/>
        <v>#N/A</v>
      </c>
      <c r="O22" s="309" t="e">
        <f t="shared" si="6"/>
        <v>#N/A</v>
      </c>
      <c r="P22" s="309" t="e">
        <f t="shared" si="6"/>
        <v>#N/A</v>
      </c>
      <c r="Q22" s="309" t="e">
        <f t="shared" si="6"/>
        <v>#N/A</v>
      </c>
      <c r="R22" s="309" t="e">
        <f t="shared" si="6"/>
        <v>#N/A</v>
      </c>
      <c r="S22" s="309" t="e">
        <f t="shared" si="6"/>
        <v>#N/A</v>
      </c>
      <c r="T22" s="309" t="e">
        <f t="shared" si="6"/>
        <v>#N/A</v>
      </c>
      <c r="U22" s="309" t="e">
        <f t="shared" si="6"/>
        <v>#N/A</v>
      </c>
      <c r="V22" s="309" t="e">
        <f t="shared" si="6"/>
        <v>#N/A</v>
      </c>
      <c r="W22" s="309" t="e">
        <f t="shared" si="6"/>
        <v>#N/A</v>
      </c>
      <c r="X22" s="309" t="e">
        <f t="shared" si="6"/>
        <v>#N/A</v>
      </c>
      <c r="Y22" s="309" t="e">
        <f t="shared" si="6"/>
        <v>#N/A</v>
      </c>
      <c r="Z22" s="309" t="e">
        <f t="shared" si="6"/>
        <v>#N/A</v>
      </c>
      <c r="AA22" s="190" t="e">
        <f t="shared" si="6"/>
        <v>#N/A</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c r="C24" s="293"/>
      <c r="D24" s="226"/>
      <c r="E24" s="160" t="e">
        <f>VLOOKUP($C24,Score!$B$2:$X$78,2,0)</f>
        <v>#N/A</v>
      </c>
      <c r="F24" s="160" t="e">
        <f>VLOOKUP($C24,Score!$B$2:$X$78,3,0)</f>
        <v>#N/A</v>
      </c>
      <c r="G24" s="160" t="e">
        <f>VLOOKUP($C24,Score!$B$2:$X$78,4,0)</f>
        <v>#N/A</v>
      </c>
      <c r="H24" s="160" t="e">
        <f>VLOOKUP($C24,Score!$B$2:$X$78,5,0)</f>
        <v>#N/A</v>
      </c>
      <c r="I24" s="160" t="e">
        <f>VLOOKUP($C24,Score!$B$2:$X$78,6,0)</f>
        <v>#N/A</v>
      </c>
      <c r="J24" s="160" t="e">
        <f>VLOOKUP($C24,Score!$B$2:$X$78,7,0)</f>
        <v>#N/A</v>
      </c>
      <c r="K24" s="160" t="e">
        <f>VLOOKUP($C24,Score!$B$2:$X$78,8,0)</f>
        <v>#N/A</v>
      </c>
      <c r="L24" s="160" t="e">
        <f>VLOOKUP($C24,Score!$B$2:$X$78,9,0)</f>
        <v>#N/A</v>
      </c>
      <c r="M24" s="160" t="e">
        <f>VLOOKUP($C24,Score!$B$2:$X$78,10,0)</f>
        <v>#N/A</v>
      </c>
      <c r="N24" s="160" t="e">
        <f>VLOOKUP($C24,Score!$B$2:$X$78,11,0)</f>
        <v>#N/A</v>
      </c>
      <c r="O24" s="160" t="e">
        <f>VLOOKUP($C24,Score!$B$2:$X$78,12,0)</f>
        <v>#N/A</v>
      </c>
      <c r="P24" s="160" t="e">
        <f>VLOOKUP($C24,Score!$B$2:$X$78,13,0)</f>
        <v>#N/A</v>
      </c>
      <c r="Q24" s="160" t="e">
        <f>VLOOKUP($C24,Score!$B$2:$X$78,14,0)</f>
        <v>#N/A</v>
      </c>
      <c r="R24" s="160" t="e">
        <f>VLOOKUP($C24,Score!$B$2:$X$78,15,0)</f>
        <v>#N/A</v>
      </c>
      <c r="S24" s="160" t="e">
        <f>VLOOKUP($C24,Score!$B$2:$X$78,16,0)</f>
        <v>#N/A</v>
      </c>
      <c r="T24" s="160" t="e">
        <f>VLOOKUP($C24,Score!$B$2:$X$78,17,0)</f>
        <v>#N/A</v>
      </c>
      <c r="U24" s="160" t="e">
        <f>VLOOKUP($C24,Score!$B$2:$X$78,18,0)</f>
        <v>#N/A</v>
      </c>
      <c r="V24" s="160" t="e">
        <f>VLOOKUP($C24,Score!$B$2:$X$78,19,0)</f>
        <v>#N/A</v>
      </c>
      <c r="W24" s="160" t="e">
        <f>VLOOKUP($C24,Score!$B$2:$X$78,20,0)</f>
        <v>#N/A</v>
      </c>
      <c r="X24" s="160" t="e">
        <f>VLOOKUP($C24,Score!$B$2:$Z$77,21,0)</f>
        <v>#N/A</v>
      </c>
      <c r="Y24" s="160" t="e">
        <f>VLOOKUP($C24,Score!$B$2:$Z$77,22,0)</f>
        <v>#N/A</v>
      </c>
      <c r="Z24" s="160" t="e">
        <f>VLOOKUP($C24,Score!$B$2:$Z$77,24,0)</f>
        <v>#N/A</v>
      </c>
      <c r="AA24" s="245" t="e">
        <f t="shared" ref="AA24:AA26" si="7">SUM(E24:Z24)</f>
        <v>#N/A</v>
      </c>
    </row>
    <row r="25" spans="2:28" s="145" customFormat="1">
      <c r="B25" s="295"/>
      <c r="C25" s="293"/>
      <c r="D25" s="226"/>
      <c r="E25" s="160" t="e">
        <f>VLOOKUP($C25,Score!$B$2:$X$78,2,0)</f>
        <v>#N/A</v>
      </c>
      <c r="F25" s="160" t="e">
        <f>VLOOKUP($C25,Score!$B$2:$X$78,3,0)</f>
        <v>#N/A</v>
      </c>
      <c r="G25" s="160" t="e">
        <f>VLOOKUP($C25,Score!$B$2:$X$78,4,0)</f>
        <v>#N/A</v>
      </c>
      <c r="H25" s="160" t="e">
        <f>VLOOKUP($C25,Score!$B$2:$X$78,5,0)</f>
        <v>#N/A</v>
      </c>
      <c r="I25" s="160" t="e">
        <f>VLOOKUP($C25,Score!$B$2:$X$78,6,0)</f>
        <v>#N/A</v>
      </c>
      <c r="J25" s="160" t="e">
        <f>VLOOKUP($C25,Score!$B$2:$X$78,7,0)</f>
        <v>#N/A</v>
      </c>
      <c r="K25" s="160" t="e">
        <f>VLOOKUP($C25,Score!$B$2:$X$78,8,0)</f>
        <v>#N/A</v>
      </c>
      <c r="L25" s="160" t="e">
        <f>VLOOKUP($C25,Score!$B$2:$X$78,9,0)</f>
        <v>#N/A</v>
      </c>
      <c r="M25" s="160" t="e">
        <f>VLOOKUP($C25,Score!$B$2:$X$78,10,0)</f>
        <v>#N/A</v>
      </c>
      <c r="N25" s="160" t="e">
        <f>VLOOKUP($C25,Score!$B$2:$X$78,11,0)</f>
        <v>#N/A</v>
      </c>
      <c r="O25" s="160" t="e">
        <f>VLOOKUP($C25,Score!$B$2:$X$78,12,0)</f>
        <v>#N/A</v>
      </c>
      <c r="P25" s="160" t="e">
        <f>VLOOKUP($C25,Score!$B$2:$X$78,13,0)</f>
        <v>#N/A</v>
      </c>
      <c r="Q25" s="160" t="e">
        <f>VLOOKUP($C25,Score!$B$2:$X$78,14,0)</f>
        <v>#N/A</v>
      </c>
      <c r="R25" s="160" t="e">
        <f>VLOOKUP($C25,Score!$B$2:$X$78,15,0)</f>
        <v>#N/A</v>
      </c>
      <c r="S25" s="160" t="e">
        <f>VLOOKUP($C25,Score!$B$2:$X$78,16,0)</f>
        <v>#N/A</v>
      </c>
      <c r="T25" s="160" t="e">
        <f>VLOOKUP($C25,Score!$B$2:$X$78,17,0)</f>
        <v>#N/A</v>
      </c>
      <c r="U25" s="160" t="e">
        <f>VLOOKUP($C25,Score!$B$2:$X$78,18,0)</f>
        <v>#N/A</v>
      </c>
      <c r="V25" s="160" t="e">
        <f>VLOOKUP($C25,Score!$B$2:$X$78,19,0)</f>
        <v>#N/A</v>
      </c>
      <c r="W25" s="160" t="e">
        <f>VLOOKUP($C25,Score!$B$2:$X$78,20,0)</f>
        <v>#N/A</v>
      </c>
      <c r="X25" s="160" t="e">
        <f>VLOOKUP($C25,Score!$B$2:$Z$77,21,0)</f>
        <v>#N/A</v>
      </c>
      <c r="Y25" s="160" t="e">
        <f>VLOOKUP($C25,Score!$B$2:$Z$77,22,0)</f>
        <v>#N/A</v>
      </c>
      <c r="Z25" s="160" t="e">
        <f>VLOOKUP($C25,Score!$B$2:$Z$77,24,0)</f>
        <v>#N/A</v>
      </c>
      <c r="AA25" s="245" t="e">
        <f t="shared" si="7"/>
        <v>#N/A</v>
      </c>
    </row>
    <row r="26" spans="2:28" s="145" customFormat="1">
      <c r="B26" s="295"/>
      <c r="C26" s="293"/>
      <c r="D26" s="226"/>
      <c r="E26" s="160" t="e">
        <f>VLOOKUP($C26,Score!$B$2:$X$78,2,0)</f>
        <v>#N/A</v>
      </c>
      <c r="F26" s="160" t="e">
        <f>VLOOKUP($C26,Score!$B$2:$X$78,3,0)</f>
        <v>#N/A</v>
      </c>
      <c r="G26" s="160" t="e">
        <f>VLOOKUP($C26,Score!$B$2:$X$78,4,0)</f>
        <v>#N/A</v>
      </c>
      <c r="H26" s="160" t="e">
        <f>VLOOKUP($C26,Score!$B$2:$X$78,5,0)</f>
        <v>#N/A</v>
      </c>
      <c r="I26" s="160" t="e">
        <f>VLOOKUP($C26,Score!$B$2:$X$78,6,0)</f>
        <v>#N/A</v>
      </c>
      <c r="J26" s="160" t="e">
        <f>VLOOKUP($C26,Score!$B$2:$X$78,7,0)</f>
        <v>#N/A</v>
      </c>
      <c r="K26" s="160" t="e">
        <f>VLOOKUP($C26,Score!$B$2:$X$78,8,0)</f>
        <v>#N/A</v>
      </c>
      <c r="L26" s="160" t="e">
        <f>VLOOKUP($C26,Score!$B$2:$X$78,9,0)</f>
        <v>#N/A</v>
      </c>
      <c r="M26" s="160" t="e">
        <f>VLOOKUP($C26,Score!$B$2:$X$78,10,0)</f>
        <v>#N/A</v>
      </c>
      <c r="N26" s="160" t="e">
        <f>VLOOKUP($C26,Score!$B$2:$X$78,11,0)</f>
        <v>#N/A</v>
      </c>
      <c r="O26" s="160" t="e">
        <f>VLOOKUP($C26,Score!$B$2:$X$78,12,0)</f>
        <v>#N/A</v>
      </c>
      <c r="P26" s="160" t="e">
        <f>VLOOKUP($C26,Score!$B$2:$X$78,13,0)</f>
        <v>#N/A</v>
      </c>
      <c r="Q26" s="160" t="e">
        <f>VLOOKUP($C26,Score!$B$2:$X$78,14,0)</f>
        <v>#N/A</v>
      </c>
      <c r="R26" s="160" t="e">
        <f>VLOOKUP($C26,Score!$B$2:$X$78,15,0)</f>
        <v>#N/A</v>
      </c>
      <c r="S26" s="160" t="e">
        <f>VLOOKUP($C26,Score!$B$2:$X$78,16,0)</f>
        <v>#N/A</v>
      </c>
      <c r="T26" s="160" t="e">
        <f>VLOOKUP($C26,Score!$B$2:$X$78,17,0)</f>
        <v>#N/A</v>
      </c>
      <c r="U26" s="160" t="e">
        <f>VLOOKUP($C26,Score!$B$2:$X$78,18,0)</f>
        <v>#N/A</v>
      </c>
      <c r="V26" s="160" t="e">
        <f>VLOOKUP($C26,Score!$B$2:$X$78,19,0)</f>
        <v>#N/A</v>
      </c>
      <c r="W26" s="160" t="e">
        <f>VLOOKUP($C26,Score!$B$2:$X$78,20,0)</f>
        <v>#N/A</v>
      </c>
      <c r="X26" s="160" t="e">
        <f>VLOOKUP($C26,Score!$B$2:$Z$77,21,0)</f>
        <v>#N/A</v>
      </c>
      <c r="Y26" s="160" t="e">
        <f>VLOOKUP($C26,Score!$B$2:$Z$77,22,0)</f>
        <v>#N/A</v>
      </c>
      <c r="Z26" s="160" t="e">
        <f>VLOOKUP($C26,Score!$B$2:$Z$77,24,0)</f>
        <v>#N/A</v>
      </c>
      <c r="AA26" s="245" t="e">
        <f t="shared" si="7"/>
        <v>#N/A</v>
      </c>
    </row>
    <row r="28" spans="2:28">
      <c r="C28" s="246" t="s">
        <v>149</v>
      </c>
      <c r="D28" s="247">
        <f>COUNTIF($D$4:$D$21,C28)</f>
        <v>0</v>
      </c>
    </row>
    <row r="29" spans="2:28">
      <c r="C29" s="248" t="s">
        <v>10</v>
      </c>
      <c r="D29" s="247">
        <f>COUNTIF($D$4:$D$21,C29)</f>
        <v>0</v>
      </c>
    </row>
    <row r="30" spans="2:28">
      <c r="C30" s="248" t="s">
        <v>106</v>
      </c>
      <c r="D30" s="247">
        <f>COUNTIF($D$4:$D$21,C30)</f>
        <v>0</v>
      </c>
    </row>
  </sheetData>
  <sortState xmlns:xlrd2="http://schemas.microsoft.com/office/spreadsheetml/2017/richdata2" ref="A4:AF20">
    <sortCondition ref="D4:D20"/>
    <sortCondition ref="C4:C20"/>
  </sortState>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5">
    <tabColor indexed="39"/>
  </sheetPr>
  <dimension ref="B1:AB29"/>
  <sheetViews>
    <sheetView showZeros="0" workbookViewId="0">
      <selection activeCell="Y31" sqref="Y31"/>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73"/>
      <c r="C1" s="167" t="s">
        <v>95</v>
      </c>
      <c r="D1" s="167"/>
      <c r="E1" s="112"/>
    </row>
    <row r="2" spans="2:28">
      <c r="B2" s="173"/>
      <c r="C2" s="168"/>
      <c r="D2" s="168"/>
      <c r="H2" s="112"/>
    </row>
    <row r="3" spans="2:28" s="110" customFormat="1" ht="14.4" thickBot="1">
      <c r="B3" s="175"/>
      <c r="C3" s="180" t="s">
        <v>74</v>
      </c>
      <c r="D3" s="180"/>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176"/>
      <c r="C4" s="169"/>
      <c r="D4" s="217"/>
      <c r="E4" s="95" t="e">
        <f t="shared" ref="E4:N13" si="0">INDEX(scorematrix,MATCH($C4,renners,0),MATCH(E$3,etappes,0))</f>
        <v>#N/A</v>
      </c>
      <c r="F4" s="95" t="e">
        <f t="shared" si="0"/>
        <v>#N/A</v>
      </c>
      <c r="G4" s="95" t="e">
        <f t="shared" si="0"/>
        <v>#N/A</v>
      </c>
      <c r="H4" s="95" t="e">
        <f t="shared" si="0"/>
        <v>#N/A</v>
      </c>
      <c r="I4" s="95" t="e">
        <f t="shared" si="0"/>
        <v>#N/A</v>
      </c>
      <c r="J4" s="95" t="e">
        <f t="shared" si="0"/>
        <v>#N/A</v>
      </c>
      <c r="K4" s="95" t="e">
        <f t="shared" si="0"/>
        <v>#N/A</v>
      </c>
      <c r="L4" s="95" t="e">
        <f t="shared" si="0"/>
        <v>#N/A</v>
      </c>
      <c r="M4" s="95" t="e">
        <f t="shared" si="0"/>
        <v>#N/A</v>
      </c>
      <c r="N4" s="95" t="e">
        <f t="shared" si="0"/>
        <v>#N/A</v>
      </c>
      <c r="O4" s="95" t="e">
        <f t="shared" ref="O4:Z13" si="1">INDEX(scorematrix,MATCH($C4,renners,0),MATCH(O$3,etappes,0))</f>
        <v>#N/A</v>
      </c>
      <c r="P4" s="95" t="e">
        <f t="shared" si="1"/>
        <v>#N/A</v>
      </c>
      <c r="Q4" s="95" t="e">
        <f t="shared" si="1"/>
        <v>#N/A</v>
      </c>
      <c r="R4" s="95" t="e">
        <f t="shared" si="1"/>
        <v>#N/A</v>
      </c>
      <c r="S4" s="95" t="e">
        <f t="shared" si="1"/>
        <v>#N/A</v>
      </c>
      <c r="T4" s="95" t="e">
        <f t="shared" si="1"/>
        <v>#N/A</v>
      </c>
      <c r="U4" s="95" t="e">
        <f t="shared" si="1"/>
        <v>#N/A</v>
      </c>
      <c r="V4" s="95" t="e">
        <f t="shared" si="1"/>
        <v>#N/A</v>
      </c>
      <c r="W4" s="95" t="e">
        <f t="shared" si="1"/>
        <v>#N/A</v>
      </c>
      <c r="X4" s="95" t="e">
        <f t="shared" si="1"/>
        <v>#N/A</v>
      </c>
      <c r="Y4" s="95" t="e">
        <f t="shared" si="1"/>
        <v>#N/A</v>
      </c>
      <c r="Z4" s="95" t="e">
        <f t="shared" si="1"/>
        <v>#N/A</v>
      </c>
      <c r="AA4" s="153" t="e">
        <f t="shared" ref="AA4:AA21" si="2">SUM(E4:Z4)</f>
        <v>#N/A</v>
      </c>
      <c r="AB4" s="94">
        <f t="shared" ref="AB4:AB18" si="3">C4</f>
        <v>0</v>
      </c>
    </row>
    <row r="5" spans="2:28">
      <c r="B5" s="176"/>
      <c r="C5" s="170"/>
      <c r="D5" s="217"/>
      <c r="E5" s="95" t="e">
        <f t="shared" si="0"/>
        <v>#N/A</v>
      </c>
      <c r="F5" s="95" t="e">
        <f t="shared" si="0"/>
        <v>#N/A</v>
      </c>
      <c r="G5" s="95" t="e">
        <f t="shared" si="0"/>
        <v>#N/A</v>
      </c>
      <c r="H5" s="95" t="e">
        <f t="shared" si="0"/>
        <v>#N/A</v>
      </c>
      <c r="I5" s="95" t="e">
        <f t="shared" si="0"/>
        <v>#N/A</v>
      </c>
      <c r="J5" s="95" t="e">
        <f t="shared" si="0"/>
        <v>#N/A</v>
      </c>
      <c r="K5" s="95" t="e">
        <f t="shared" si="0"/>
        <v>#N/A</v>
      </c>
      <c r="L5" s="95" t="e">
        <f t="shared" si="0"/>
        <v>#N/A</v>
      </c>
      <c r="M5" s="95" t="e">
        <f t="shared" si="0"/>
        <v>#N/A</v>
      </c>
      <c r="N5" s="95" t="e">
        <f t="shared" si="0"/>
        <v>#N/A</v>
      </c>
      <c r="O5" s="95" t="e">
        <f t="shared" si="1"/>
        <v>#N/A</v>
      </c>
      <c r="P5" s="95" t="e">
        <f t="shared" si="1"/>
        <v>#N/A</v>
      </c>
      <c r="Q5" s="95" t="e">
        <f t="shared" si="1"/>
        <v>#N/A</v>
      </c>
      <c r="R5" s="95" t="e">
        <f t="shared" si="1"/>
        <v>#N/A</v>
      </c>
      <c r="S5" s="95" t="e">
        <f t="shared" si="1"/>
        <v>#N/A</v>
      </c>
      <c r="T5" s="95" t="e">
        <f t="shared" si="1"/>
        <v>#N/A</v>
      </c>
      <c r="U5" s="95" t="e">
        <f t="shared" si="1"/>
        <v>#N/A</v>
      </c>
      <c r="V5" s="95" t="e">
        <f t="shared" si="1"/>
        <v>#N/A</v>
      </c>
      <c r="W5" s="95" t="e">
        <f t="shared" si="1"/>
        <v>#N/A</v>
      </c>
      <c r="X5" s="95" t="e">
        <f t="shared" si="1"/>
        <v>#N/A</v>
      </c>
      <c r="Y5" s="95" t="e">
        <f t="shared" si="1"/>
        <v>#N/A</v>
      </c>
      <c r="Z5" s="95" t="e">
        <f t="shared" si="1"/>
        <v>#N/A</v>
      </c>
      <c r="AA5" s="153" t="e">
        <f t="shared" si="2"/>
        <v>#N/A</v>
      </c>
      <c r="AB5" s="94">
        <f t="shared" si="3"/>
        <v>0</v>
      </c>
    </row>
    <row r="6" spans="2:28">
      <c r="B6" s="176"/>
      <c r="C6" s="170"/>
      <c r="D6" s="217"/>
      <c r="E6" s="95" t="e">
        <f t="shared" si="0"/>
        <v>#N/A</v>
      </c>
      <c r="F6" s="95" t="e">
        <f t="shared" si="0"/>
        <v>#N/A</v>
      </c>
      <c r="G6" s="95" t="e">
        <f t="shared" si="0"/>
        <v>#N/A</v>
      </c>
      <c r="H6" s="95" t="e">
        <f t="shared" si="0"/>
        <v>#N/A</v>
      </c>
      <c r="I6" s="95" t="e">
        <f t="shared" si="0"/>
        <v>#N/A</v>
      </c>
      <c r="J6" s="95" t="e">
        <f t="shared" si="0"/>
        <v>#N/A</v>
      </c>
      <c r="K6" s="95" t="e">
        <f t="shared" si="0"/>
        <v>#N/A</v>
      </c>
      <c r="L6" s="95" t="e">
        <f t="shared" si="0"/>
        <v>#N/A</v>
      </c>
      <c r="M6" s="95" t="e">
        <f t="shared" si="0"/>
        <v>#N/A</v>
      </c>
      <c r="N6" s="95" t="e">
        <f t="shared" si="0"/>
        <v>#N/A</v>
      </c>
      <c r="O6" s="95" t="e">
        <f t="shared" si="1"/>
        <v>#N/A</v>
      </c>
      <c r="P6" s="95" t="e">
        <f t="shared" si="1"/>
        <v>#N/A</v>
      </c>
      <c r="Q6" s="95" t="e">
        <f t="shared" si="1"/>
        <v>#N/A</v>
      </c>
      <c r="R6" s="95" t="e">
        <f t="shared" si="1"/>
        <v>#N/A</v>
      </c>
      <c r="S6" s="95" t="e">
        <f t="shared" si="1"/>
        <v>#N/A</v>
      </c>
      <c r="T6" s="95" t="e">
        <f t="shared" si="1"/>
        <v>#N/A</v>
      </c>
      <c r="U6" s="95" t="e">
        <f t="shared" si="1"/>
        <v>#N/A</v>
      </c>
      <c r="V6" s="95" t="e">
        <f t="shared" si="1"/>
        <v>#N/A</v>
      </c>
      <c r="W6" s="95" t="e">
        <f t="shared" si="1"/>
        <v>#N/A</v>
      </c>
      <c r="X6" s="95" t="e">
        <f t="shared" si="1"/>
        <v>#N/A</v>
      </c>
      <c r="Y6" s="95" t="e">
        <f t="shared" si="1"/>
        <v>#N/A</v>
      </c>
      <c r="Z6" s="95" t="e">
        <f t="shared" si="1"/>
        <v>#N/A</v>
      </c>
      <c r="AA6" s="153" t="e">
        <f t="shared" si="2"/>
        <v>#N/A</v>
      </c>
      <c r="AB6" s="94">
        <f t="shared" si="3"/>
        <v>0</v>
      </c>
    </row>
    <row r="7" spans="2:28">
      <c r="B7" s="176"/>
      <c r="C7" s="170"/>
      <c r="D7" s="217"/>
      <c r="E7" s="95" t="e">
        <f t="shared" si="0"/>
        <v>#N/A</v>
      </c>
      <c r="F7" s="95" t="e">
        <f t="shared" si="0"/>
        <v>#N/A</v>
      </c>
      <c r="G7" s="95" t="e">
        <f t="shared" si="0"/>
        <v>#N/A</v>
      </c>
      <c r="H7" s="95" t="e">
        <f t="shared" si="0"/>
        <v>#N/A</v>
      </c>
      <c r="I7" s="95" t="e">
        <f t="shared" si="0"/>
        <v>#N/A</v>
      </c>
      <c r="J7" s="95" t="e">
        <f t="shared" si="0"/>
        <v>#N/A</v>
      </c>
      <c r="K7" s="95" t="e">
        <f t="shared" si="0"/>
        <v>#N/A</v>
      </c>
      <c r="L7" s="95" t="e">
        <f t="shared" si="0"/>
        <v>#N/A</v>
      </c>
      <c r="M7" s="95" t="e">
        <f t="shared" si="0"/>
        <v>#N/A</v>
      </c>
      <c r="N7" s="95" t="e">
        <f t="shared" si="0"/>
        <v>#N/A</v>
      </c>
      <c r="O7" s="95" t="e">
        <f t="shared" si="1"/>
        <v>#N/A</v>
      </c>
      <c r="P7" s="95" t="e">
        <f t="shared" si="1"/>
        <v>#N/A</v>
      </c>
      <c r="Q7" s="95" t="e">
        <f t="shared" si="1"/>
        <v>#N/A</v>
      </c>
      <c r="R7" s="95" t="e">
        <f t="shared" si="1"/>
        <v>#N/A</v>
      </c>
      <c r="S7" s="95" t="e">
        <f t="shared" si="1"/>
        <v>#N/A</v>
      </c>
      <c r="T7" s="95" t="e">
        <f t="shared" si="1"/>
        <v>#N/A</v>
      </c>
      <c r="U7" s="95" t="e">
        <f t="shared" si="1"/>
        <v>#N/A</v>
      </c>
      <c r="V7" s="95" t="e">
        <f t="shared" si="1"/>
        <v>#N/A</v>
      </c>
      <c r="W7" s="95" t="e">
        <f t="shared" si="1"/>
        <v>#N/A</v>
      </c>
      <c r="X7" s="95" t="e">
        <f t="shared" si="1"/>
        <v>#N/A</v>
      </c>
      <c r="Y7" s="95" t="e">
        <f t="shared" si="1"/>
        <v>#N/A</v>
      </c>
      <c r="Z7" s="95" t="e">
        <f t="shared" si="1"/>
        <v>#N/A</v>
      </c>
      <c r="AA7" s="153" t="e">
        <f t="shared" si="2"/>
        <v>#N/A</v>
      </c>
      <c r="AB7" s="94">
        <f t="shared" si="3"/>
        <v>0</v>
      </c>
    </row>
    <row r="8" spans="2:28">
      <c r="B8" s="176"/>
      <c r="C8" s="170"/>
      <c r="D8" s="217"/>
      <c r="E8" s="95" t="e">
        <f t="shared" si="0"/>
        <v>#N/A</v>
      </c>
      <c r="F8" s="95" t="e">
        <f t="shared" si="0"/>
        <v>#N/A</v>
      </c>
      <c r="G8" s="95" t="e">
        <f t="shared" si="0"/>
        <v>#N/A</v>
      </c>
      <c r="H8" s="95" t="e">
        <f t="shared" si="0"/>
        <v>#N/A</v>
      </c>
      <c r="I8" s="95" t="e">
        <f t="shared" si="0"/>
        <v>#N/A</v>
      </c>
      <c r="J8" s="95" t="e">
        <f t="shared" si="0"/>
        <v>#N/A</v>
      </c>
      <c r="K8" s="95" t="e">
        <f t="shared" si="0"/>
        <v>#N/A</v>
      </c>
      <c r="L8" s="95" t="e">
        <f t="shared" si="0"/>
        <v>#N/A</v>
      </c>
      <c r="M8" s="95" t="e">
        <f t="shared" si="0"/>
        <v>#N/A</v>
      </c>
      <c r="N8" s="95" t="e">
        <f t="shared" si="0"/>
        <v>#N/A</v>
      </c>
      <c r="O8" s="95" t="e">
        <f t="shared" si="1"/>
        <v>#N/A</v>
      </c>
      <c r="P8" s="95" t="e">
        <f t="shared" si="1"/>
        <v>#N/A</v>
      </c>
      <c r="Q8" s="95" t="e">
        <f t="shared" si="1"/>
        <v>#N/A</v>
      </c>
      <c r="R8" s="95" t="e">
        <f t="shared" si="1"/>
        <v>#N/A</v>
      </c>
      <c r="S8" s="95" t="e">
        <f t="shared" si="1"/>
        <v>#N/A</v>
      </c>
      <c r="T8" s="95" t="e">
        <f t="shared" si="1"/>
        <v>#N/A</v>
      </c>
      <c r="U8" s="95" t="e">
        <f t="shared" si="1"/>
        <v>#N/A</v>
      </c>
      <c r="V8" s="95" t="e">
        <f t="shared" si="1"/>
        <v>#N/A</v>
      </c>
      <c r="W8" s="95" t="e">
        <f t="shared" si="1"/>
        <v>#N/A</v>
      </c>
      <c r="X8" s="95" t="e">
        <f t="shared" si="1"/>
        <v>#N/A</v>
      </c>
      <c r="Y8" s="95" t="e">
        <f t="shared" si="1"/>
        <v>#N/A</v>
      </c>
      <c r="Z8" s="95" t="e">
        <f t="shared" si="1"/>
        <v>#N/A</v>
      </c>
      <c r="AA8" s="153" t="e">
        <f t="shared" si="2"/>
        <v>#N/A</v>
      </c>
      <c r="AB8" s="94">
        <f t="shared" si="3"/>
        <v>0</v>
      </c>
    </row>
    <row r="9" spans="2:28">
      <c r="B9" s="176"/>
      <c r="C9" s="170"/>
      <c r="D9" s="217"/>
      <c r="E9" s="95" t="e">
        <f t="shared" si="0"/>
        <v>#N/A</v>
      </c>
      <c r="F9" s="95" t="e">
        <f t="shared" si="0"/>
        <v>#N/A</v>
      </c>
      <c r="G9" s="95" t="e">
        <f t="shared" si="0"/>
        <v>#N/A</v>
      </c>
      <c r="H9" s="95" t="e">
        <f t="shared" si="0"/>
        <v>#N/A</v>
      </c>
      <c r="I9" s="95" t="e">
        <f t="shared" si="0"/>
        <v>#N/A</v>
      </c>
      <c r="J9" s="95" t="e">
        <f t="shared" si="0"/>
        <v>#N/A</v>
      </c>
      <c r="K9" s="95" t="e">
        <f t="shared" si="0"/>
        <v>#N/A</v>
      </c>
      <c r="L9" s="95" t="e">
        <f t="shared" si="0"/>
        <v>#N/A</v>
      </c>
      <c r="M9" s="95" t="e">
        <f t="shared" si="0"/>
        <v>#N/A</v>
      </c>
      <c r="N9" s="95" t="e">
        <f t="shared" si="0"/>
        <v>#N/A</v>
      </c>
      <c r="O9" s="95" t="e">
        <f t="shared" si="1"/>
        <v>#N/A</v>
      </c>
      <c r="P9" s="95" t="e">
        <f t="shared" si="1"/>
        <v>#N/A</v>
      </c>
      <c r="Q9" s="95" t="e">
        <f t="shared" si="1"/>
        <v>#N/A</v>
      </c>
      <c r="R9" s="95" t="e">
        <f t="shared" si="1"/>
        <v>#N/A</v>
      </c>
      <c r="S9" s="95" t="e">
        <f t="shared" si="1"/>
        <v>#N/A</v>
      </c>
      <c r="T9" s="95" t="e">
        <f t="shared" si="1"/>
        <v>#N/A</v>
      </c>
      <c r="U9" s="95" t="e">
        <f t="shared" si="1"/>
        <v>#N/A</v>
      </c>
      <c r="V9" s="95" t="e">
        <f t="shared" si="1"/>
        <v>#N/A</v>
      </c>
      <c r="W9" s="95" t="e">
        <f t="shared" si="1"/>
        <v>#N/A</v>
      </c>
      <c r="X9" s="95" t="e">
        <f t="shared" si="1"/>
        <v>#N/A</v>
      </c>
      <c r="Y9" s="95" t="e">
        <f t="shared" si="1"/>
        <v>#N/A</v>
      </c>
      <c r="Z9" s="95" t="e">
        <f t="shared" si="1"/>
        <v>#N/A</v>
      </c>
      <c r="AA9" s="153" t="e">
        <f t="shared" si="2"/>
        <v>#N/A</v>
      </c>
      <c r="AB9" s="94">
        <f t="shared" si="3"/>
        <v>0</v>
      </c>
    </row>
    <row r="10" spans="2:28">
      <c r="B10" s="176"/>
      <c r="C10" s="170"/>
      <c r="D10" s="217"/>
      <c r="E10" s="95" t="e">
        <f t="shared" si="0"/>
        <v>#N/A</v>
      </c>
      <c r="F10" s="95" t="e">
        <f t="shared" si="0"/>
        <v>#N/A</v>
      </c>
      <c r="G10" s="95" t="e">
        <f t="shared" si="0"/>
        <v>#N/A</v>
      </c>
      <c r="H10" s="95" t="e">
        <f t="shared" si="0"/>
        <v>#N/A</v>
      </c>
      <c r="I10" s="95" t="e">
        <f t="shared" si="0"/>
        <v>#N/A</v>
      </c>
      <c r="J10" s="95" t="e">
        <f t="shared" si="0"/>
        <v>#N/A</v>
      </c>
      <c r="K10" s="95" t="e">
        <f t="shared" si="0"/>
        <v>#N/A</v>
      </c>
      <c r="L10" s="95" t="e">
        <f t="shared" si="0"/>
        <v>#N/A</v>
      </c>
      <c r="M10" s="95" t="e">
        <f t="shared" si="0"/>
        <v>#N/A</v>
      </c>
      <c r="N10" s="95" t="e">
        <f t="shared" si="0"/>
        <v>#N/A</v>
      </c>
      <c r="O10" s="95" t="e">
        <f t="shared" si="1"/>
        <v>#N/A</v>
      </c>
      <c r="P10" s="95" t="e">
        <f t="shared" si="1"/>
        <v>#N/A</v>
      </c>
      <c r="Q10" s="95" t="e">
        <f t="shared" si="1"/>
        <v>#N/A</v>
      </c>
      <c r="R10" s="95" t="e">
        <f t="shared" si="1"/>
        <v>#N/A</v>
      </c>
      <c r="S10" s="95" t="e">
        <f t="shared" si="1"/>
        <v>#N/A</v>
      </c>
      <c r="T10" s="95" t="e">
        <f t="shared" si="1"/>
        <v>#N/A</v>
      </c>
      <c r="U10" s="95" t="e">
        <f t="shared" si="1"/>
        <v>#N/A</v>
      </c>
      <c r="V10" s="95" t="e">
        <f t="shared" si="1"/>
        <v>#N/A</v>
      </c>
      <c r="W10" s="95" t="e">
        <f t="shared" si="1"/>
        <v>#N/A</v>
      </c>
      <c r="X10" s="95" t="e">
        <f t="shared" si="1"/>
        <v>#N/A</v>
      </c>
      <c r="Y10" s="95" t="e">
        <f t="shared" si="1"/>
        <v>#N/A</v>
      </c>
      <c r="Z10" s="95" t="e">
        <f t="shared" si="1"/>
        <v>#N/A</v>
      </c>
      <c r="AA10" s="153" t="e">
        <f t="shared" si="2"/>
        <v>#N/A</v>
      </c>
      <c r="AB10" s="94">
        <f t="shared" si="3"/>
        <v>0</v>
      </c>
    </row>
    <row r="11" spans="2:28">
      <c r="B11" s="176"/>
      <c r="C11" s="170"/>
      <c r="D11" s="217"/>
      <c r="E11" s="95" t="e">
        <f t="shared" si="0"/>
        <v>#N/A</v>
      </c>
      <c r="F11" s="95" t="e">
        <f t="shared" si="0"/>
        <v>#N/A</v>
      </c>
      <c r="G11" s="95" t="e">
        <f t="shared" si="0"/>
        <v>#N/A</v>
      </c>
      <c r="H11" s="95" t="e">
        <f t="shared" si="0"/>
        <v>#N/A</v>
      </c>
      <c r="I11" s="95" t="e">
        <f t="shared" si="0"/>
        <v>#N/A</v>
      </c>
      <c r="J11" s="95" t="e">
        <f t="shared" si="0"/>
        <v>#N/A</v>
      </c>
      <c r="K11" s="95" t="e">
        <f t="shared" si="0"/>
        <v>#N/A</v>
      </c>
      <c r="L11" s="95" t="e">
        <f t="shared" si="0"/>
        <v>#N/A</v>
      </c>
      <c r="M11" s="95" t="e">
        <f t="shared" si="0"/>
        <v>#N/A</v>
      </c>
      <c r="N11" s="95" t="e">
        <f t="shared" si="0"/>
        <v>#N/A</v>
      </c>
      <c r="O11" s="95" t="e">
        <f t="shared" si="1"/>
        <v>#N/A</v>
      </c>
      <c r="P11" s="95" t="e">
        <f t="shared" si="1"/>
        <v>#N/A</v>
      </c>
      <c r="Q11" s="95" t="e">
        <f t="shared" si="1"/>
        <v>#N/A</v>
      </c>
      <c r="R11" s="95" t="e">
        <f t="shared" si="1"/>
        <v>#N/A</v>
      </c>
      <c r="S11" s="95" t="e">
        <f t="shared" si="1"/>
        <v>#N/A</v>
      </c>
      <c r="T11" s="95" t="e">
        <f t="shared" si="1"/>
        <v>#N/A</v>
      </c>
      <c r="U11" s="95" t="e">
        <f t="shared" si="1"/>
        <v>#N/A</v>
      </c>
      <c r="V11" s="95" t="e">
        <f t="shared" si="1"/>
        <v>#N/A</v>
      </c>
      <c r="W11" s="95" t="e">
        <f t="shared" si="1"/>
        <v>#N/A</v>
      </c>
      <c r="X11" s="95" t="e">
        <f t="shared" si="1"/>
        <v>#N/A</v>
      </c>
      <c r="Y11" s="95" t="e">
        <f t="shared" si="1"/>
        <v>#N/A</v>
      </c>
      <c r="Z11" s="95" t="e">
        <f t="shared" si="1"/>
        <v>#N/A</v>
      </c>
      <c r="AA11" s="153" t="e">
        <f t="shared" si="2"/>
        <v>#N/A</v>
      </c>
      <c r="AB11" s="94">
        <f t="shared" si="3"/>
        <v>0</v>
      </c>
    </row>
    <row r="12" spans="2:28">
      <c r="B12" s="176"/>
      <c r="C12" s="170"/>
      <c r="D12" s="217"/>
      <c r="E12" s="95" t="e">
        <f t="shared" si="0"/>
        <v>#N/A</v>
      </c>
      <c r="F12" s="95" t="e">
        <f t="shared" si="0"/>
        <v>#N/A</v>
      </c>
      <c r="G12" s="95" t="e">
        <f t="shared" si="0"/>
        <v>#N/A</v>
      </c>
      <c r="H12" s="95" t="e">
        <f t="shared" si="0"/>
        <v>#N/A</v>
      </c>
      <c r="I12" s="95" t="e">
        <f t="shared" si="0"/>
        <v>#N/A</v>
      </c>
      <c r="J12" s="95" t="e">
        <f t="shared" si="0"/>
        <v>#N/A</v>
      </c>
      <c r="K12" s="95" t="e">
        <f t="shared" si="0"/>
        <v>#N/A</v>
      </c>
      <c r="L12" s="95" t="e">
        <f t="shared" si="0"/>
        <v>#N/A</v>
      </c>
      <c r="M12" s="95" t="e">
        <f t="shared" si="0"/>
        <v>#N/A</v>
      </c>
      <c r="N12" s="95" t="e">
        <f t="shared" si="0"/>
        <v>#N/A</v>
      </c>
      <c r="O12" s="95" t="e">
        <f t="shared" si="1"/>
        <v>#N/A</v>
      </c>
      <c r="P12" s="95" t="e">
        <f t="shared" si="1"/>
        <v>#N/A</v>
      </c>
      <c r="Q12" s="95" t="e">
        <f t="shared" si="1"/>
        <v>#N/A</v>
      </c>
      <c r="R12" s="95" t="e">
        <f t="shared" si="1"/>
        <v>#N/A</v>
      </c>
      <c r="S12" s="95" t="e">
        <f t="shared" si="1"/>
        <v>#N/A</v>
      </c>
      <c r="T12" s="95" t="e">
        <f t="shared" si="1"/>
        <v>#N/A</v>
      </c>
      <c r="U12" s="95" t="e">
        <f t="shared" si="1"/>
        <v>#N/A</v>
      </c>
      <c r="V12" s="95" t="e">
        <f t="shared" si="1"/>
        <v>#N/A</v>
      </c>
      <c r="W12" s="95" t="e">
        <f t="shared" si="1"/>
        <v>#N/A</v>
      </c>
      <c r="X12" s="95" t="e">
        <f t="shared" si="1"/>
        <v>#N/A</v>
      </c>
      <c r="Y12" s="95" t="e">
        <f t="shared" si="1"/>
        <v>#N/A</v>
      </c>
      <c r="Z12" s="95" t="e">
        <f t="shared" si="1"/>
        <v>#N/A</v>
      </c>
      <c r="AA12" s="153" t="e">
        <f t="shared" si="2"/>
        <v>#N/A</v>
      </c>
      <c r="AB12" s="94">
        <f t="shared" si="3"/>
        <v>0</v>
      </c>
    </row>
    <row r="13" spans="2:28">
      <c r="B13" s="185"/>
      <c r="C13" s="170"/>
      <c r="D13" s="217"/>
      <c r="E13" s="95" t="e">
        <f t="shared" si="0"/>
        <v>#N/A</v>
      </c>
      <c r="F13" s="95" t="e">
        <f t="shared" si="0"/>
        <v>#N/A</v>
      </c>
      <c r="G13" s="95" t="e">
        <f t="shared" si="0"/>
        <v>#N/A</v>
      </c>
      <c r="H13" s="95" t="e">
        <f t="shared" si="0"/>
        <v>#N/A</v>
      </c>
      <c r="I13" s="95" t="e">
        <f t="shared" si="0"/>
        <v>#N/A</v>
      </c>
      <c r="J13" s="95" t="e">
        <f t="shared" si="0"/>
        <v>#N/A</v>
      </c>
      <c r="K13" s="95" t="e">
        <f t="shared" si="0"/>
        <v>#N/A</v>
      </c>
      <c r="L13" s="95" t="e">
        <f t="shared" si="0"/>
        <v>#N/A</v>
      </c>
      <c r="M13" s="95" t="e">
        <f t="shared" si="0"/>
        <v>#N/A</v>
      </c>
      <c r="N13" s="95" t="e">
        <f t="shared" si="0"/>
        <v>#N/A</v>
      </c>
      <c r="O13" s="95" t="e">
        <f t="shared" si="1"/>
        <v>#N/A</v>
      </c>
      <c r="P13" s="95" t="e">
        <f t="shared" si="1"/>
        <v>#N/A</v>
      </c>
      <c r="Q13" s="95" t="e">
        <f t="shared" si="1"/>
        <v>#N/A</v>
      </c>
      <c r="R13" s="95" t="e">
        <f t="shared" si="1"/>
        <v>#N/A</v>
      </c>
      <c r="S13" s="95" t="e">
        <f t="shared" si="1"/>
        <v>#N/A</v>
      </c>
      <c r="T13" s="95" t="e">
        <f t="shared" si="1"/>
        <v>#N/A</v>
      </c>
      <c r="U13" s="95" t="e">
        <f t="shared" si="1"/>
        <v>#N/A</v>
      </c>
      <c r="V13" s="95" t="e">
        <f t="shared" si="1"/>
        <v>#N/A</v>
      </c>
      <c r="W13" s="95" t="e">
        <f t="shared" si="1"/>
        <v>#N/A</v>
      </c>
      <c r="X13" s="95" t="e">
        <f t="shared" si="1"/>
        <v>#N/A</v>
      </c>
      <c r="Y13" s="95" t="e">
        <f t="shared" si="1"/>
        <v>#N/A</v>
      </c>
      <c r="Z13" s="95" t="e">
        <f t="shared" si="1"/>
        <v>#N/A</v>
      </c>
      <c r="AA13" s="153" t="e">
        <f t="shared" si="2"/>
        <v>#N/A</v>
      </c>
      <c r="AB13" s="94">
        <f t="shared" si="3"/>
        <v>0</v>
      </c>
    </row>
    <row r="14" spans="2:28">
      <c r="B14" s="176"/>
      <c r="C14" s="170"/>
      <c r="D14" s="217"/>
      <c r="E14" s="95" t="e">
        <f t="shared" ref="E14:N20" si="4">INDEX(scorematrix,MATCH($C14,renners,0),MATCH(E$3,etappes,0))</f>
        <v>#N/A</v>
      </c>
      <c r="F14" s="95" t="e">
        <f t="shared" si="4"/>
        <v>#N/A</v>
      </c>
      <c r="G14" s="95" t="e">
        <f t="shared" si="4"/>
        <v>#N/A</v>
      </c>
      <c r="H14" s="95" t="e">
        <f t="shared" si="4"/>
        <v>#N/A</v>
      </c>
      <c r="I14" s="95" t="e">
        <f t="shared" si="4"/>
        <v>#N/A</v>
      </c>
      <c r="J14" s="95" t="e">
        <f t="shared" si="4"/>
        <v>#N/A</v>
      </c>
      <c r="K14" s="95" t="e">
        <f t="shared" si="4"/>
        <v>#N/A</v>
      </c>
      <c r="L14" s="95" t="e">
        <f t="shared" si="4"/>
        <v>#N/A</v>
      </c>
      <c r="M14" s="95" t="e">
        <f t="shared" si="4"/>
        <v>#N/A</v>
      </c>
      <c r="N14" s="95" t="e">
        <f t="shared" si="4"/>
        <v>#N/A</v>
      </c>
      <c r="O14" s="95" t="e">
        <f t="shared" ref="O14:Z20" si="5">INDEX(scorematrix,MATCH($C14,renners,0),MATCH(O$3,etappes,0))</f>
        <v>#N/A</v>
      </c>
      <c r="P14" s="95" t="e">
        <f t="shared" si="5"/>
        <v>#N/A</v>
      </c>
      <c r="Q14" s="95" t="e">
        <f t="shared" si="5"/>
        <v>#N/A</v>
      </c>
      <c r="R14" s="95" t="e">
        <f t="shared" si="5"/>
        <v>#N/A</v>
      </c>
      <c r="S14" s="95" t="e">
        <f t="shared" si="5"/>
        <v>#N/A</v>
      </c>
      <c r="T14" s="95" t="e">
        <f t="shared" si="5"/>
        <v>#N/A</v>
      </c>
      <c r="U14" s="95" t="e">
        <f t="shared" si="5"/>
        <v>#N/A</v>
      </c>
      <c r="V14" s="95" t="e">
        <f t="shared" si="5"/>
        <v>#N/A</v>
      </c>
      <c r="W14" s="95" t="e">
        <f t="shared" si="5"/>
        <v>#N/A</v>
      </c>
      <c r="X14" s="95" t="e">
        <f t="shared" si="5"/>
        <v>#N/A</v>
      </c>
      <c r="Y14" s="95" t="e">
        <f t="shared" si="5"/>
        <v>#N/A</v>
      </c>
      <c r="Z14" s="95" t="e">
        <f t="shared" si="5"/>
        <v>#N/A</v>
      </c>
      <c r="AA14" s="153" t="e">
        <f t="shared" si="2"/>
        <v>#N/A</v>
      </c>
      <c r="AB14" s="94">
        <f t="shared" si="3"/>
        <v>0</v>
      </c>
    </row>
    <row r="15" spans="2:28">
      <c r="B15" s="176"/>
      <c r="C15" s="170"/>
      <c r="D15" s="217"/>
      <c r="E15" s="95" t="e">
        <f t="shared" si="4"/>
        <v>#N/A</v>
      </c>
      <c r="F15" s="95" t="e">
        <f t="shared" si="4"/>
        <v>#N/A</v>
      </c>
      <c r="G15" s="95" t="e">
        <f t="shared" si="4"/>
        <v>#N/A</v>
      </c>
      <c r="H15" s="95" t="e">
        <f t="shared" si="4"/>
        <v>#N/A</v>
      </c>
      <c r="I15" s="95" t="e">
        <f t="shared" si="4"/>
        <v>#N/A</v>
      </c>
      <c r="J15" s="95" t="e">
        <f t="shared" si="4"/>
        <v>#N/A</v>
      </c>
      <c r="K15" s="95" t="e">
        <f t="shared" si="4"/>
        <v>#N/A</v>
      </c>
      <c r="L15" s="95" t="e">
        <f t="shared" si="4"/>
        <v>#N/A</v>
      </c>
      <c r="M15" s="95" t="e">
        <f t="shared" si="4"/>
        <v>#N/A</v>
      </c>
      <c r="N15" s="95" t="e">
        <f t="shared" si="4"/>
        <v>#N/A</v>
      </c>
      <c r="O15" s="95" t="e">
        <f t="shared" si="5"/>
        <v>#N/A</v>
      </c>
      <c r="P15" s="95" t="e">
        <f t="shared" si="5"/>
        <v>#N/A</v>
      </c>
      <c r="Q15" s="95" t="e">
        <f t="shared" si="5"/>
        <v>#N/A</v>
      </c>
      <c r="R15" s="95" t="e">
        <f t="shared" si="5"/>
        <v>#N/A</v>
      </c>
      <c r="S15" s="95" t="e">
        <f t="shared" si="5"/>
        <v>#N/A</v>
      </c>
      <c r="T15" s="95" t="e">
        <f t="shared" si="5"/>
        <v>#N/A</v>
      </c>
      <c r="U15" s="95" t="e">
        <f t="shared" si="5"/>
        <v>#N/A</v>
      </c>
      <c r="V15" s="95" t="e">
        <f t="shared" si="5"/>
        <v>#N/A</v>
      </c>
      <c r="W15" s="95" t="e">
        <f t="shared" si="5"/>
        <v>#N/A</v>
      </c>
      <c r="X15" s="95" t="e">
        <f t="shared" si="5"/>
        <v>#N/A</v>
      </c>
      <c r="Y15" s="95" t="e">
        <f t="shared" si="5"/>
        <v>#N/A</v>
      </c>
      <c r="Z15" s="95" t="e">
        <f t="shared" si="5"/>
        <v>#N/A</v>
      </c>
      <c r="AA15" s="153" t="e">
        <f t="shared" si="2"/>
        <v>#N/A</v>
      </c>
      <c r="AB15" s="94">
        <f t="shared" si="3"/>
        <v>0</v>
      </c>
    </row>
    <row r="16" spans="2:28" s="140" customFormat="1">
      <c r="B16" s="176"/>
      <c r="C16" s="170"/>
      <c r="D16" s="217"/>
      <c r="E16" s="95" t="e">
        <f t="shared" si="4"/>
        <v>#N/A</v>
      </c>
      <c r="F16" s="95" t="e">
        <f t="shared" si="4"/>
        <v>#N/A</v>
      </c>
      <c r="G16" s="95" t="e">
        <f t="shared" si="4"/>
        <v>#N/A</v>
      </c>
      <c r="H16" s="95" t="e">
        <f t="shared" si="4"/>
        <v>#N/A</v>
      </c>
      <c r="I16" s="95" t="e">
        <f t="shared" si="4"/>
        <v>#N/A</v>
      </c>
      <c r="J16" s="95" t="e">
        <f t="shared" si="4"/>
        <v>#N/A</v>
      </c>
      <c r="K16" s="95" t="e">
        <f t="shared" si="4"/>
        <v>#N/A</v>
      </c>
      <c r="L16" s="95" t="e">
        <f t="shared" si="4"/>
        <v>#N/A</v>
      </c>
      <c r="M16" s="95" t="e">
        <f t="shared" si="4"/>
        <v>#N/A</v>
      </c>
      <c r="N16" s="95" t="e">
        <f t="shared" si="4"/>
        <v>#N/A</v>
      </c>
      <c r="O16" s="95" t="e">
        <f t="shared" si="5"/>
        <v>#N/A</v>
      </c>
      <c r="P16" s="95" t="e">
        <f t="shared" si="5"/>
        <v>#N/A</v>
      </c>
      <c r="Q16" s="95" t="e">
        <f t="shared" si="5"/>
        <v>#N/A</v>
      </c>
      <c r="R16" s="95" t="e">
        <f t="shared" si="5"/>
        <v>#N/A</v>
      </c>
      <c r="S16" s="95" t="e">
        <f t="shared" si="5"/>
        <v>#N/A</v>
      </c>
      <c r="T16" s="95" t="e">
        <f t="shared" si="5"/>
        <v>#N/A</v>
      </c>
      <c r="U16" s="95" t="e">
        <f t="shared" si="5"/>
        <v>#N/A</v>
      </c>
      <c r="V16" s="95" t="e">
        <f t="shared" si="5"/>
        <v>#N/A</v>
      </c>
      <c r="W16" s="95" t="e">
        <f t="shared" si="5"/>
        <v>#N/A</v>
      </c>
      <c r="X16" s="95" t="e">
        <f t="shared" si="5"/>
        <v>#N/A</v>
      </c>
      <c r="Y16" s="95" t="e">
        <f t="shared" si="5"/>
        <v>#N/A</v>
      </c>
      <c r="Z16" s="95" t="e">
        <f t="shared" si="5"/>
        <v>#N/A</v>
      </c>
      <c r="AA16" s="153" t="e">
        <f t="shared" si="2"/>
        <v>#N/A</v>
      </c>
      <c r="AB16" s="94">
        <f t="shared" si="3"/>
        <v>0</v>
      </c>
    </row>
    <row r="17" spans="2:28">
      <c r="B17" s="176"/>
      <c r="C17" s="170"/>
      <c r="D17" s="217"/>
      <c r="E17" s="95" t="e">
        <f t="shared" si="4"/>
        <v>#N/A</v>
      </c>
      <c r="F17" s="95" t="e">
        <f t="shared" si="4"/>
        <v>#N/A</v>
      </c>
      <c r="G17" s="95" t="e">
        <f t="shared" si="4"/>
        <v>#N/A</v>
      </c>
      <c r="H17" s="95" t="e">
        <f t="shared" si="4"/>
        <v>#N/A</v>
      </c>
      <c r="I17" s="95" t="e">
        <f t="shared" si="4"/>
        <v>#N/A</v>
      </c>
      <c r="J17" s="95" t="e">
        <f t="shared" si="4"/>
        <v>#N/A</v>
      </c>
      <c r="K17" s="95" t="e">
        <f t="shared" si="4"/>
        <v>#N/A</v>
      </c>
      <c r="L17" s="95" t="e">
        <f t="shared" si="4"/>
        <v>#N/A</v>
      </c>
      <c r="M17" s="95" t="e">
        <f t="shared" si="4"/>
        <v>#N/A</v>
      </c>
      <c r="N17" s="95" t="e">
        <f t="shared" si="4"/>
        <v>#N/A</v>
      </c>
      <c r="O17" s="95" t="e">
        <f t="shared" si="5"/>
        <v>#N/A</v>
      </c>
      <c r="P17" s="95" t="e">
        <f t="shared" si="5"/>
        <v>#N/A</v>
      </c>
      <c r="Q17" s="95" t="e">
        <f t="shared" si="5"/>
        <v>#N/A</v>
      </c>
      <c r="R17" s="95" t="e">
        <f t="shared" si="5"/>
        <v>#N/A</v>
      </c>
      <c r="S17" s="95" t="e">
        <f t="shared" si="5"/>
        <v>#N/A</v>
      </c>
      <c r="T17" s="95" t="e">
        <f t="shared" si="5"/>
        <v>#N/A</v>
      </c>
      <c r="U17" s="95" t="e">
        <f t="shared" si="5"/>
        <v>#N/A</v>
      </c>
      <c r="V17" s="95" t="e">
        <f t="shared" si="5"/>
        <v>#N/A</v>
      </c>
      <c r="W17" s="95" t="e">
        <f t="shared" si="5"/>
        <v>#N/A</v>
      </c>
      <c r="X17" s="95" t="e">
        <f t="shared" si="5"/>
        <v>#N/A</v>
      </c>
      <c r="Y17" s="95" t="e">
        <f t="shared" si="5"/>
        <v>#N/A</v>
      </c>
      <c r="Z17" s="95" t="e">
        <f t="shared" si="5"/>
        <v>#N/A</v>
      </c>
      <c r="AA17" s="153" t="e">
        <f t="shared" si="2"/>
        <v>#N/A</v>
      </c>
      <c r="AB17" s="94">
        <f t="shared" si="3"/>
        <v>0</v>
      </c>
    </row>
    <row r="18" spans="2:28">
      <c r="B18" s="176"/>
      <c r="C18" s="170"/>
      <c r="D18" s="217"/>
      <c r="E18" s="95" t="e">
        <f t="shared" si="4"/>
        <v>#N/A</v>
      </c>
      <c r="F18" s="95" t="e">
        <f t="shared" si="4"/>
        <v>#N/A</v>
      </c>
      <c r="G18" s="95" t="e">
        <f t="shared" si="4"/>
        <v>#N/A</v>
      </c>
      <c r="H18" s="95" t="e">
        <f t="shared" si="4"/>
        <v>#N/A</v>
      </c>
      <c r="I18" s="95" t="e">
        <f t="shared" si="4"/>
        <v>#N/A</v>
      </c>
      <c r="J18" s="95" t="e">
        <f t="shared" si="4"/>
        <v>#N/A</v>
      </c>
      <c r="K18" s="95" t="e">
        <f t="shared" si="4"/>
        <v>#N/A</v>
      </c>
      <c r="L18" s="95" t="e">
        <f t="shared" si="4"/>
        <v>#N/A</v>
      </c>
      <c r="M18" s="95" t="e">
        <f t="shared" si="4"/>
        <v>#N/A</v>
      </c>
      <c r="N18" s="95" t="e">
        <f t="shared" si="4"/>
        <v>#N/A</v>
      </c>
      <c r="O18" s="95" t="e">
        <f t="shared" si="5"/>
        <v>#N/A</v>
      </c>
      <c r="P18" s="95" t="e">
        <f t="shared" si="5"/>
        <v>#N/A</v>
      </c>
      <c r="Q18" s="95" t="e">
        <f t="shared" si="5"/>
        <v>#N/A</v>
      </c>
      <c r="R18" s="95" t="e">
        <f t="shared" si="5"/>
        <v>#N/A</v>
      </c>
      <c r="S18" s="95" t="e">
        <f t="shared" si="5"/>
        <v>#N/A</v>
      </c>
      <c r="T18" s="95" t="e">
        <f t="shared" si="5"/>
        <v>#N/A</v>
      </c>
      <c r="U18" s="95" t="e">
        <f t="shared" si="5"/>
        <v>#N/A</v>
      </c>
      <c r="V18" s="95" t="e">
        <f t="shared" si="5"/>
        <v>#N/A</v>
      </c>
      <c r="W18" s="95" t="e">
        <f t="shared" si="5"/>
        <v>#N/A</v>
      </c>
      <c r="X18" s="95" t="e">
        <f t="shared" si="5"/>
        <v>#N/A</v>
      </c>
      <c r="Y18" s="95" t="e">
        <f t="shared" si="5"/>
        <v>#N/A</v>
      </c>
      <c r="Z18" s="95" t="e">
        <f t="shared" si="5"/>
        <v>#N/A</v>
      </c>
      <c r="AA18" s="153" t="e">
        <f t="shared" si="2"/>
        <v>#N/A</v>
      </c>
      <c r="AB18" s="94">
        <f t="shared" si="3"/>
        <v>0</v>
      </c>
    </row>
    <row r="19" spans="2:28">
      <c r="B19" s="176"/>
      <c r="C19" s="170"/>
      <c r="D19" s="217"/>
      <c r="E19" s="95" t="e">
        <f t="shared" si="4"/>
        <v>#N/A</v>
      </c>
      <c r="F19" s="95" t="e">
        <f t="shared" si="4"/>
        <v>#N/A</v>
      </c>
      <c r="G19" s="95" t="e">
        <f t="shared" si="4"/>
        <v>#N/A</v>
      </c>
      <c r="H19" s="95" t="e">
        <f t="shared" si="4"/>
        <v>#N/A</v>
      </c>
      <c r="I19" s="95" t="e">
        <f t="shared" si="4"/>
        <v>#N/A</v>
      </c>
      <c r="J19" s="95" t="e">
        <f t="shared" si="4"/>
        <v>#N/A</v>
      </c>
      <c r="K19" s="95" t="e">
        <f t="shared" si="4"/>
        <v>#N/A</v>
      </c>
      <c r="L19" s="95" t="e">
        <f t="shared" si="4"/>
        <v>#N/A</v>
      </c>
      <c r="M19" s="95" t="e">
        <f t="shared" si="4"/>
        <v>#N/A</v>
      </c>
      <c r="N19" s="95" t="e">
        <f t="shared" si="4"/>
        <v>#N/A</v>
      </c>
      <c r="O19" s="95" t="e">
        <f t="shared" si="5"/>
        <v>#N/A</v>
      </c>
      <c r="P19" s="95" t="e">
        <f t="shared" si="5"/>
        <v>#N/A</v>
      </c>
      <c r="Q19" s="95" t="e">
        <f t="shared" si="5"/>
        <v>#N/A</v>
      </c>
      <c r="R19" s="95" t="e">
        <f t="shared" si="5"/>
        <v>#N/A</v>
      </c>
      <c r="S19" s="95" t="e">
        <f t="shared" si="5"/>
        <v>#N/A</v>
      </c>
      <c r="T19" s="95" t="e">
        <f t="shared" si="5"/>
        <v>#N/A</v>
      </c>
      <c r="U19" s="95" t="e">
        <f t="shared" si="5"/>
        <v>#N/A</v>
      </c>
      <c r="V19" s="95" t="e">
        <f t="shared" si="5"/>
        <v>#N/A</v>
      </c>
      <c r="W19" s="95" t="e">
        <f t="shared" si="5"/>
        <v>#N/A</v>
      </c>
      <c r="X19" s="95" t="e">
        <f t="shared" si="5"/>
        <v>#N/A</v>
      </c>
      <c r="Y19" s="95" t="e">
        <f t="shared" si="5"/>
        <v>#N/A</v>
      </c>
      <c r="Z19" s="95" t="e">
        <f t="shared" si="5"/>
        <v>#N/A</v>
      </c>
      <c r="AA19" s="153" t="e">
        <f t="shared" si="2"/>
        <v>#N/A</v>
      </c>
      <c r="AB19" s="94">
        <f>C19</f>
        <v>0</v>
      </c>
    </row>
    <row r="20" spans="2:28" ht="14.4" thickBot="1">
      <c r="B20" s="176"/>
      <c r="C20" s="170"/>
      <c r="D20" s="217"/>
      <c r="E20" s="95" t="e">
        <f t="shared" si="4"/>
        <v>#N/A</v>
      </c>
      <c r="F20" s="95" t="e">
        <f t="shared" si="4"/>
        <v>#N/A</v>
      </c>
      <c r="G20" s="95" t="e">
        <f t="shared" si="4"/>
        <v>#N/A</v>
      </c>
      <c r="H20" s="95" t="e">
        <f t="shared" si="4"/>
        <v>#N/A</v>
      </c>
      <c r="I20" s="95" t="e">
        <f t="shared" si="4"/>
        <v>#N/A</v>
      </c>
      <c r="J20" s="95" t="e">
        <f t="shared" si="4"/>
        <v>#N/A</v>
      </c>
      <c r="K20" s="95" t="e">
        <f t="shared" si="4"/>
        <v>#N/A</v>
      </c>
      <c r="L20" s="95" t="e">
        <f t="shared" si="4"/>
        <v>#N/A</v>
      </c>
      <c r="M20" s="95" t="e">
        <f t="shared" si="4"/>
        <v>#N/A</v>
      </c>
      <c r="N20" s="95" t="e">
        <f t="shared" si="4"/>
        <v>#N/A</v>
      </c>
      <c r="O20" s="95" t="e">
        <f t="shared" si="5"/>
        <v>#N/A</v>
      </c>
      <c r="P20" s="95" t="e">
        <f t="shared" si="5"/>
        <v>#N/A</v>
      </c>
      <c r="Q20" s="95" t="e">
        <f t="shared" si="5"/>
        <v>#N/A</v>
      </c>
      <c r="R20" s="95" t="e">
        <f t="shared" si="5"/>
        <v>#N/A</v>
      </c>
      <c r="S20" s="95" t="e">
        <f t="shared" si="5"/>
        <v>#N/A</v>
      </c>
      <c r="T20" s="95" t="e">
        <f t="shared" si="5"/>
        <v>#N/A</v>
      </c>
      <c r="U20" s="95" t="e">
        <f t="shared" si="5"/>
        <v>#N/A</v>
      </c>
      <c r="V20" s="95" t="e">
        <f t="shared" si="5"/>
        <v>#N/A</v>
      </c>
      <c r="W20" s="95" t="e">
        <f t="shared" si="5"/>
        <v>#N/A</v>
      </c>
      <c r="X20" s="95" t="e">
        <f t="shared" si="5"/>
        <v>#N/A</v>
      </c>
      <c r="Y20" s="95" t="e">
        <f t="shared" si="5"/>
        <v>#N/A</v>
      </c>
      <c r="Z20" s="95" t="e">
        <f t="shared" si="5"/>
        <v>#N/A</v>
      </c>
      <c r="AA20" s="153" t="e">
        <f t="shared" si="2"/>
        <v>#N/A</v>
      </c>
      <c r="AB20" s="94">
        <f>C20</f>
        <v>0</v>
      </c>
    </row>
    <row r="21" spans="2:28" s="141" customFormat="1">
      <c r="B21" s="177"/>
      <c r="C21" s="171"/>
      <c r="D21" s="218"/>
      <c r="E21" s="150"/>
      <c r="F21" s="150"/>
      <c r="G21" s="150"/>
      <c r="H21" s="150"/>
      <c r="I21" s="150"/>
      <c r="J21" s="150"/>
      <c r="K21" s="150"/>
      <c r="L21" s="150"/>
      <c r="M21" s="150"/>
      <c r="N21" s="150"/>
      <c r="O21" s="150"/>
      <c r="P21" s="150"/>
      <c r="Q21" s="150"/>
      <c r="R21" s="150"/>
      <c r="S21" s="150"/>
      <c r="T21" s="150"/>
      <c r="U21" s="150"/>
      <c r="V21" s="150"/>
      <c r="W21" s="150"/>
      <c r="X21" s="150"/>
      <c r="Y21" s="150"/>
      <c r="Z21" s="150"/>
      <c r="AA21" s="189">
        <f t="shared" si="2"/>
        <v>0</v>
      </c>
    </row>
    <row r="22" spans="2:28" s="97" customFormat="1">
      <c r="B22" s="178"/>
      <c r="C22" s="172"/>
      <c r="D22" s="172"/>
      <c r="E22" s="142" t="e">
        <f t="shared" ref="E22:AA22" si="6">SUM(E4:E21)</f>
        <v>#N/A</v>
      </c>
      <c r="F22" s="142" t="e">
        <f t="shared" ref="F22" si="7">SUM(F4:F21)</f>
        <v>#N/A</v>
      </c>
      <c r="G22" s="142" t="e">
        <f>SUM(G4:G21)</f>
        <v>#N/A</v>
      </c>
      <c r="H22" s="142" t="e">
        <f t="shared" si="6"/>
        <v>#N/A</v>
      </c>
      <c r="I22" s="142" t="e">
        <f t="shared" si="6"/>
        <v>#N/A</v>
      </c>
      <c r="J22" s="142" t="e">
        <f t="shared" si="6"/>
        <v>#N/A</v>
      </c>
      <c r="K22" s="142" t="e">
        <f t="shared" si="6"/>
        <v>#N/A</v>
      </c>
      <c r="L22" s="142" t="e">
        <f t="shared" si="6"/>
        <v>#N/A</v>
      </c>
      <c r="M22" s="142" t="e">
        <f t="shared" si="6"/>
        <v>#N/A</v>
      </c>
      <c r="N22" s="142" t="e">
        <f t="shared" si="6"/>
        <v>#N/A</v>
      </c>
      <c r="O22" s="142" t="e">
        <f t="shared" si="6"/>
        <v>#N/A</v>
      </c>
      <c r="P22" s="142" t="e">
        <f t="shared" si="6"/>
        <v>#N/A</v>
      </c>
      <c r="Q22" s="142" t="e">
        <f t="shared" si="6"/>
        <v>#N/A</v>
      </c>
      <c r="R22" s="142" t="e">
        <f t="shared" si="6"/>
        <v>#N/A</v>
      </c>
      <c r="S22" s="142" t="e">
        <f t="shared" si="6"/>
        <v>#N/A</v>
      </c>
      <c r="T22" s="142" t="e">
        <f t="shared" si="6"/>
        <v>#N/A</v>
      </c>
      <c r="U22" s="142" t="e">
        <f t="shared" si="6"/>
        <v>#N/A</v>
      </c>
      <c r="V22" s="142" t="e">
        <f t="shared" si="6"/>
        <v>#N/A</v>
      </c>
      <c r="W22" s="142" t="e">
        <f t="shared" si="6"/>
        <v>#N/A</v>
      </c>
      <c r="X22" s="142" t="e">
        <f t="shared" si="6"/>
        <v>#N/A</v>
      </c>
      <c r="Y22" s="142" t="e">
        <f t="shared" si="6"/>
        <v>#N/A</v>
      </c>
      <c r="Z22" s="142" t="e">
        <f t="shared" si="6"/>
        <v>#N/A</v>
      </c>
      <c r="AA22" s="190" t="e">
        <f t="shared" si="6"/>
        <v>#N/A</v>
      </c>
    </row>
    <row r="23" spans="2:28" s="143" customFormat="1">
      <c r="B23" s="179"/>
      <c r="C23" s="173"/>
      <c r="D23" s="173"/>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176"/>
      <c r="C24" s="174"/>
      <c r="D24" s="174"/>
      <c r="E24" s="160" t="e">
        <f t="shared" ref="E24:Z26" si="8">INDEX(scorematrix,MATCH($C24,renners,0),MATCH(E$3,etappes,0))</f>
        <v>#N/A</v>
      </c>
      <c r="F24" s="160" t="e">
        <f t="shared" si="8"/>
        <v>#N/A</v>
      </c>
      <c r="G24" s="160" t="e">
        <f t="shared" si="8"/>
        <v>#N/A</v>
      </c>
      <c r="H24" s="160" t="e">
        <f t="shared" si="8"/>
        <v>#N/A</v>
      </c>
      <c r="I24" s="160" t="e">
        <f t="shared" si="8"/>
        <v>#N/A</v>
      </c>
      <c r="J24" s="160" t="e">
        <f t="shared" si="8"/>
        <v>#N/A</v>
      </c>
      <c r="K24" s="160" t="e">
        <f t="shared" si="8"/>
        <v>#N/A</v>
      </c>
      <c r="L24" s="160" t="e">
        <f t="shared" si="8"/>
        <v>#N/A</v>
      </c>
      <c r="M24" s="188" t="e">
        <f t="shared" si="8"/>
        <v>#N/A</v>
      </c>
      <c r="N24" s="160" t="e">
        <f t="shared" si="8"/>
        <v>#N/A</v>
      </c>
      <c r="O24" s="160" t="e">
        <f t="shared" si="8"/>
        <v>#N/A</v>
      </c>
      <c r="P24" s="160" t="e">
        <f t="shared" si="8"/>
        <v>#N/A</v>
      </c>
      <c r="Q24" s="160" t="e">
        <f t="shared" si="8"/>
        <v>#N/A</v>
      </c>
      <c r="R24" s="160" t="e">
        <f t="shared" si="8"/>
        <v>#N/A</v>
      </c>
      <c r="S24" s="160" t="e">
        <f t="shared" si="8"/>
        <v>#N/A</v>
      </c>
      <c r="T24" s="160" t="e">
        <f t="shared" si="8"/>
        <v>#N/A</v>
      </c>
      <c r="U24" s="160" t="e">
        <f t="shared" si="8"/>
        <v>#N/A</v>
      </c>
      <c r="V24" s="160" t="e">
        <f t="shared" si="8"/>
        <v>#N/A</v>
      </c>
      <c r="W24" s="160" t="e">
        <f t="shared" si="8"/>
        <v>#N/A</v>
      </c>
      <c r="X24" s="160" t="e">
        <f t="shared" si="8"/>
        <v>#N/A</v>
      </c>
      <c r="Y24" s="160" t="e">
        <f t="shared" si="8"/>
        <v>#N/A</v>
      </c>
      <c r="Z24" s="160" t="e">
        <f t="shared" si="8"/>
        <v>#N/A</v>
      </c>
      <c r="AA24" s="192" t="e">
        <f>SUM(E24:Z24)</f>
        <v>#N/A</v>
      </c>
    </row>
    <row r="25" spans="2:28" s="145" customFormat="1">
      <c r="B25" s="176"/>
      <c r="C25" s="174"/>
      <c r="D25" s="174"/>
      <c r="E25" s="160" t="e">
        <f t="shared" si="8"/>
        <v>#N/A</v>
      </c>
      <c r="F25" s="160" t="e">
        <f t="shared" si="8"/>
        <v>#N/A</v>
      </c>
      <c r="G25" s="160" t="e">
        <f t="shared" si="8"/>
        <v>#N/A</v>
      </c>
      <c r="H25" s="160" t="e">
        <f t="shared" si="8"/>
        <v>#N/A</v>
      </c>
      <c r="I25" s="160" t="e">
        <f t="shared" si="8"/>
        <v>#N/A</v>
      </c>
      <c r="J25" s="160" t="e">
        <f t="shared" si="8"/>
        <v>#N/A</v>
      </c>
      <c r="K25" s="160" t="e">
        <f t="shared" si="8"/>
        <v>#N/A</v>
      </c>
      <c r="L25" s="160" t="e">
        <f t="shared" si="8"/>
        <v>#N/A</v>
      </c>
      <c r="M25" s="160" t="e">
        <f t="shared" si="8"/>
        <v>#N/A</v>
      </c>
      <c r="N25" s="160" t="e">
        <f t="shared" si="8"/>
        <v>#N/A</v>
      </c>
      <c r="O25" s="160" t="e">
        <f t="shared" si="8"/>
        <v>#N/A</v>
      </c>
      <c r="P25" s="160" t="e">
        <f t="shared" si="8"/>
        <v>#N/A</v>
      </c>
      <c r="Q25" s="160" t="e">
        <f t="shared" si="8"/>
        <v>#N/A</v>
      </c>
      <c r="R25" s="160" t="e">
        <f t="shared" si="8"/>
        <v>#N/A</v>
      </c>
      <c r="S25" s="160" t="e">
        <f t="shared" si="8"/>
        <v>#N/A</v>
      </c>
      <c r="T25" s="160" t="e">
        <f t="shared" si="8"/>
        <v>#N/A</v>
      </c>
      <c r="U25" s="160" t="e">
        <f t="shared" si="8"/>
        <v>#N/A</v>
      </c>
      <c r="V25" s="160" t="e">
        <f t="shared" si="8"/>
        <v>#N/A</v>
      </c>
      <c r="W25" s="160" t="e">
        <f t="shared" si="8"/>
        <v>#N/A</v>
      </c>
      <c r="X25" s="160" t="e">
        <f t="shared" si="8"/>
        <v>#N/A</v>
      </c>
      <c r="Y25" s="160" t="e">
        <f t="shared" si="8"/>
        <v>#N/A</v>
      </c>
      <c r="Z25" s="160" t="e">
        <f t="shared" si="8"/>
        <v>#N/A</v>
      </c>
      <c r="AA25" s="192" t="e">
        <f>SUM(E25:Z25)</f>
        <v>#N/A</v>
      </c>
    </row>
    <row r="26" spans="2:28" s="145" customFormat="1">
      <c r="B26" s="176"/>
      <c r="C26" s="174"/>
      <c r="D26" s="174"/>
      <c r="E26" s="160" t="e">
        <f t="shared" si="8"/>
        <v>#N/A</v>
      </c>
      <c r="F26" s="160" t="e">
        <f t="shared" si="8"/>
        <v>#N/A</v>
      </c>
      <c r="G26" s="160" t="e">
        <f t="shared" si="8"/>
        <v>#N/A</v>
      </c>
      <c r="H26" s="160" t="e">
        <f t="shared" si="8"/>
        <v>#N/A</v>
      </c>
      <c r="I26" s="160" t="e">
        <f t="shared" si="8"/>
        <v>#N/A</v>
      </c>
      <c r="J26" s="160" t="e">
        <f t="shared" si="8"/>
        <v>#N/A</v>
      </c>
      <c r="K26" s="160" t="e">
        <f t="shared" si="8"/>
        <v>#N/A</v>
      </c>
      <c r="L26" s="160" t="e">
        <f t="shared" si="8"/>
        <v>#N/A</v>
      </c>
      <c r="M26" s="160" t="e">
        <f t="shared" si="8"/>
        <v>#N/A</v>
      </c>
      <c r="N26" s="160" t="e">
        <f t="shared" si="8"/>
        <v>#N/A</v>
      </c>
      <c r="O26" s="160" t="e">
        <f t="shared" si="8"/>
        <v>#N/A</v>
      </c>
      <c r="P26" s="160" t="e">
        <f t="shared" si="8"/>
        <v>#N/A</v>
      </c>
      <c r="Q26" s="160" t="e">
        <f t="shared" si="8"/>
        <v>#N/A</v>
      </c>
      <c r="R26" s="160" t="e">
        <f t="shared" si="8"/>
        <v>#N/A</v>
      </c>
      <c r="S26" s="160" t="e">
        <f t="shared" si="8"/>
        <v>#N/A</v>
      </c>
      <c r="T26" s="160" t="e">
        <f t="shared" si="8"/>
        <v>#N/A</v>
      </c>
      <c r="U26" s="160" t="e">
        <f t="shared" si="8"/>
        <v>#N/A</v>
      </c>
      <c r="V26" s="160" t="e">
        <f t="shared" si="8"/>
        <v>#N/A</v>
      </c>
      <c r="W26" s="160" t="e">
        <f t="shared" si="8"/>
        <v>#N/A</v>
      </c>
      <c r="X26" s="160" t="e">
        <f t="shared" si="8"/>
        <v>#N/A</v>
      </c>
      <c r="Y26" s="160" t="e">
        <f t="shared" si="8"/>
        <v>#N/A</v>
      </c>
      <c r="Z26" s="160" t="e">
        <f t="shared" si="8"/>
        <v>#N/A</v>
      </c>
      <c r="AA26" s="192" t="e">
        <f>SUM(E26:Z26)</f>
        <v>#N/A</v>
      </c>
    </row>
    <row r="28" spans="2:28">
      <c r="B28" s="94" t="s">
        <v>96</v>
      </c>
    </row>
    <row r="29" spans="2:28">
      <c r="B29" s="181" t="s">
        <v>94</v>
      </c>
      <c r="C29" s="182" t="s">
        <v>75</v>
      </c>
      <c r="D29" s="219"/>
    </row>
  </sheetData>
  <phoneticPr fontId="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7">
    <tabColor indexed="12"/>
  </sheetPr>
  <dimension ref="C1:AB71"/>
  <sheetViews>
    <sheetView showZeros="0" workbookViewId="0">
      <selection activeCell="Y31" sqref="Y31"/>
    </sheetView>
  </sheetViews>
  <sheetFormatPr defaultRowHeight="13.2"/>
  <cols>
    <col min="1" max="1" width="2.6640625" customWidth="1"/>
    <col min="2" max="2" width="3.5546875" customWidth="1"/>
    <col min="3" max="4" width="12.33203125" style="40" customWidth="1"/>
    <col min="5" max="6" width="5.44140625" style="2" customWidth="1"/>
    <col min="7" max="7" width="5.44140625" style="5" customWidth="1"/>
    <col min="8" max="15" width="5.44140625" style="3" customWidth="1"/>
    <col min="16" max="16" width="5.44140625" style="4" customWidth="1"/>
    <col min="17" max="26" width="5.44140625" customWidth="1"/>
    <col min="27" max="27" width="6.33203125" style="1" customWidth="1"/>
    <col min="28" max="28" width="15" customWidth="1"/>
  </cols>
  <sheetData>
    <row r="1" spans="3:28">
      <c r="C1" s="17" t="s">
        <v>42</v>
      </c>
      <c r="D1" s="17"/>
    </row>
    <row r="2" spans="3:28">
      <c r="C2" s="1"/>
      <c r="D2" s="1"/>
      <c r="G2" s="3"/>
    </row>
    <row r="3" spans="3:28" s="4" customFormat="1" ht="13.8" thickBot="1">
      <c r="C3" s="28"/>
      <c r="D3" s="32"/>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20"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 t="shared" si="0"/>
        <v>#N/A</v>
      </c>
      <c r="AB20">
        <f t="shared" si="1"/>
        <v>0</v>
      </c>
    </row>
    <row r="21" spans="3:28" s="55" customFormat="1">
      <c r="C21" s="55" t="s">
        <v>15</v>
      </c>
      <c r="E21" s="56"/>
      <c r="F21" s="57"/>
      <c r="G21" s="56"/>
      <c r="H21" s="56"/>
      <c r="I21" s="56"/>
      <c r="J21" s="56"/>
      <c r="K21" s="56"/>
      <c r="L21" s="56"/>
      <c r="M21" s="56"/>
      <c r="N21" s="56"/>
      <c r="O21" s="56"/>
      <c r="P21" s="56"/>
      <c r="Q21" s="56"/>
      <c r="R21" s="56"/>
      <c r="S21" s="56"/>
      <c r="T21" s="56"/>
      <c r="U21" s="56"/>
      <c r="V21" s="56"/>
      <c r="W21" s="56"/>
      <c r="X21" s="56"/>
      <c r="Y21" s="56"/>
      <c r="Z21" s="56"/>
      <c r="AA21" s="58"/>
    </row>
    <row r="22" spans="3:28" s="1" customFormat="1">
      <c r="C22"/>
      <c r="D22"/>
      <c r="E22" s="53" t="e">
        <f t="shared" ref="E22:AA22" si="2">SUM(E4:E21)</f>
        <v>#N/A</v>
      </c>
      <c r="F22" s="53" t="e">
        <f t="shared" si="2"/>
        <v>#N/A</v>
      </c>
      <c r="G22" s="53" t="e">
        <f t="shared" si="2"/>
        <v>#N/A</v>
      </c>
      <c r="H22" s="53" t="e">
        <f t="shared" si="2"/>
        <v>#N/A</v>
      </c>
      <c r="I22" s="53" t="e">
        <f t="shared" si="2"/>
        <v>#N/A</v>
      </c>
      <c r="J22" s="53" t="e">
        <f t="shared" si="2"/>
        <v>#N/A</v>
      </c>
      <c r="K22" s="53" t="e">
        <f t="shared" si="2"/>
        <v>#N/A</v>
      </c>
      <c r="L22" s="53" t="e">
        <f t="shared" si="2"/>
        <v>#N/A</v>
      </c>
      <c r="M22" s="53" t="e">
        <f t="shared" si="2"/>
        <v>#N/A</v>
      </c>
      <c r="N22" s="53" t="e">
        <f t="shared" si="2"/>
        <v>#N/A</v>
      </c>
      <c r="O22" s="53" t="e">
        <f t="shared" si="2"/>
        <v>#N/A</v>
      </c>
      <c r="P22" s="53" t="e">
        <f t="shared" si="2"/>
        <v>#N/A</v>
      </c>
      <c r="Q22" s="53" t="e">
        <f t="shared" si="2"/>
        <v>#N/A</v>
      </c>
      <c r="R22" s="53" t="e">
        <f t="shared" si="2"/>
        <v>#N/A</v>
      </c>
      <c r="S22" s="53" t="e">
        <f t="shared" si="2"/>
        <v>#N/A</v>
      </c>
      <c r="T22" s="53" t="e">
        <f t="shared" si="2"/>
        <v>#N/A</v>
      </c>
      <c r="U22" s="53" t="e">
        <f t="shared" si="2"/>
        <v>#N/A</v>
      </c>
      <c r="V22" s="53" t="e">
        <f t="shared" si="2"/>
        <v>#N/A</v>
      </c>
      <c r="W22" s="53" t="e">
        <f t="shared" si="2"/>
        <v>#N/A</v>
      </c>
      <c r="X22" s="53" t="e">
        <f t="shared" si="2"/>
        <v>#N/A</v>
      </c>
      <c r="Y22" s="53" t="e">
        <f t="shared" si="2"/>
        <v>#N/A</v>
      </c>
      <c r="Z22" s="53" t="e">
        <f t="shared" si="2"/>
        <v>#N/A</v>
      </c>
      <c r="AA22" s="54" t="e">
        <f t="shared" si="2"/>
        <v>#N/A</v>
      </c>
    </row>
    <row r="23" spans="3:28" s="43" customFormat="1">
      <c r="C23"/>
      <c r="D23"/>
      <c r="E23" s="44"/>
      <c r="F23" s="44"/>
      <c r="G23" s="39"/>
      <c r="H23" s="44"/>
      <c r="I23" s="44"/>
      <c r="J23" s="44"/>
      <c r="K23" s="44"/>
      <c r="L23" s="44"/>
      <c r="M23" s="44"/>
      <c r="N23" s="44"/>
      <c r="O23" s="44"/>
      <c r="P23" s="44"/>
      <c r="Q23" s="44"/>
      <c r="R23" s="44"/>
      <c r="S23" s="44"/>
      <c r="T23" s="44"/>
      <c r="U23" s="44"/>
      <c r="V23" s="44"/>
      <c r="W23" s="44"/>
      <c r="X23" s="44"/>
      <c r="Y23" s="44"/>
      <c r="Z23" s="44"/>
      <c r="AA23" s="48"/>
    </row>
    <row r="24" spans="3:28" s="51" customFormat="1">
      <c r="C24"/>
      <c r="D24"/>
      <c r="E24" s="50" t="e">
        <f>VLOOKUP($C24,Score!$B$2:$X$78,2,0)</f>
        <v>#N/A</v>
      </c>
      <c r="F24" s="50" t="e">
        <f>VLOOKUP($C24,Score!$B$2:$X$78,2,0)</f>
        <v>#N/A</v>
      </c>
      <c r="G24" s="50" t="e">
        <f>VLOOKUP($C24,Score!$B$2:$X$78,2,0)</f>
        <v>#N/A</v>
      </c>
      <c r="H24" s="50" t="e">
        <f>VLOOKUP($C24,Score!$B$2:$X$78,2,0)</f>
        <v>#N/A</v>
      </c>
      <c r="I24" s="50" t="e">
        <f>VLOOKUP($C24,Score!$B$2:$X$78,2,0)</f>
        <v>#N/A</v>
      </c>
      <c r="J24" s="50" t="e">
        <f>VLOOKUP($C24,Score!$B$2:$X$78,2,0)</f>
        <v>#N/A</v>
      </c>
      <c r="K24" s="50" t="e">
        <f>VLOOKUP($C24,Score!$B$2:$X$78,2,0)</f>
        <v>#N/A</v>
      </c>
      <c r="L24" s="50" t="e">
        <f>VLOOKUP($C24,Score!$B$2:$X$78,2,0)</f>
        <v>#N/A</v>
      </c>
      <c r="M24" s="50" t="e">
        <f>VLOOKUP($C24,Score!$B$2:$X$78,2,0)</f>
        <v>#N/A</v>
      </c>
      <c r="N24" s="50" t="e">
        <f>VLOOKUP($C24,Score!$B$2:$X$78,2,0)</f>
        <v>#N/A</v>
      </c>
      <c r="O24" s="50" t="e">
        <f>VLOOKUP($C24,Score!$B$2:$X$78,2,0)</f>
        <v>#N/A</v>
      </c>
      <c r="P24" s="50" t="e">
        <f>VLOOKUP($C24,Score!$B$2:$X$78,2,0)</f>
        <v>#N/A</v>
      </c>
      <c r="Q24" s="50" t="e">
        <f>VLOOKUP($C24,Score!$B$2:$X$78,2,0)</f>
        <v>#N/A</v>
      </c>
      <c r="R24" s="50" t="e">
        <f>VLOOKUP($C24,Score!$B$2:$X$78,2,0)</f>
        <v>#N/A</v>
      </c>
      <c r="S24" s="50" t="e">
        <f>VLOOKUP($C24,Score!$B$2:$X$78,2,0)</f>
        <v>#N/A</v>
      </c>
      <c r="T24" s="50" t="e">
        <f>VLOOKUP($C24,Score!$B$2:$X$78,2,0)</f>
        <v>#N/A</v>
      </c>
      <c r="U24" s="50" t="e">
        <f>VLOOKUP($C24,Score!$B$2:$X$78,2,0)</f>
        <v>#N/A</v>
      </c>
      <c r="V24" s="50" t="e">
        <f>VLOOKUP($C24,Score!$B$2:$X$78,2,0)</f>
        <v>#N/A</v>
      </c>
      <c r="W24" s="50" t="e">
        <f>VLOOKUP($C24,Score!$B$2:$X$78,2,0)</f>
        <v>#N/A</v>
      </c>
      <c r="X24" s="50" t="e">
        <f>VLOOKUP($C24,Score!$B$2:$X$78,2,0)</f>
        <v>#N/A</v>
      </c>
      <c r="Y24" s="50" t="e">
        <f>VLOOKUP($C24,Score!$B$2:$X$78,2,0)</f>
        <v>#N/A</v>
      </c>
      <c r="Z24" s="50" t="e">
        <f>VLOOKUP($C24,Score!$B$2:$X$78,2,0)</f>
        <v>#N/A</v>
      </c>
      <c r="AA24" s="50" t="e">
        <f>VLOOKUP($C24,Score!$B$2:$X$78,2,0)</f>
        <v>#N/A</v>
      </c>
    </row>
    <row r="25" spans="3:28" s="51" customFormat="1">
      <c r="C25"/>
      <c r="D25"/>
      <c r="E25" s="50" t="e">
        <f>VLOOKUP($C25,Score!$B$2:$X$78,2,0)</f>
        <v>#N/A</v>
      </c>
      <c r="F25" s="50" t="e">
        <f>VLOOKUP($C25,Score!$B$2:$X$78,2,0)</f>
        <v>#N/A</v>
      </c>
      <c r="G25" s="50" t="e">
        <f>VLOOKUP($C25,Score!$B$2:$X$78,2,0)</f>
        <v>#N/A</v>
      </c>
      <c r="H25" s="50" t="e">
        <f>VLOOKUP($C25,Score!$B$2:$X$78,2,0)</f>
        <v>#N/A</v>
      </c>
      <c r="I25" s="50" t="e">
        <f>VLOOKUP($C25,Score!$B$2:$X$78,2,0)</f>
        <v>#N/A</v>
      </c>
      <c r="J25" s="50" t="e">
        <f>VLOOKUP($C25,Score!$B$2:$X$78,2,0)</f>
        <v>#N/A</v>
      </c>
      <c r="K25" s="50" t="e">
        <f>VLOOKUP($C25,Score!$B$2:$X$78,2,0)</f>
        <v>#N/A</v>
      </c>
      <c r="L25" s="50" t="e">
        <f>VLOOKUP($C25,Score!$B$2:$X$78,2,0)</f>
        <v>#N/A</v>
      </c>
      <c r="M25" s="50" t="e">
        <f>VLOOKUP($C25,Score!$B$2:$X$78,2,0)</f>
        <v>#N/A</v>
      </c>
      <c r="N25" s="50" t="e">
        <f>VLOOKUP($C25,Score!$B$2:$X$78,2,0)</f>
        <v>#N/A</v>
      </c>
      <c r="O25" s="50" t="e">
        <f>VLOOKUP($C25,Score!$B$2:$X$78,2,0)</f>
        <v>#N/A</v>
      </c>
      <c r="P25" s="50" t="e">
        <f>VLOOKUP($C25,Score!$B$2:$X$78,2,0)</f>
        <v>#N/A</v>
      </c>
      <c r="Q25" s="50" t="e">
        <f>VLOOKUP($C25,Score!$B$2:$X$78,2,0)</f>
        <v>#N/A</v>
      </c>
      <c r="R25" s="50" t="e">
        <f>VLOOKUP($C25,Score!$B$2:$X$78,2,0)</f>
        <v>#N/A</v>
      </c>
      <c r="S25" s="50" t="e">
        <f>VLOOKUP($C25,Score!$B$2:$X$78,2,0)</f>
        <v>#N/A</v>
      </c>
      <c r="T25" s="50" t="e">
        <f>VLOOKUP($C25,Score!$B$2:$X$78,2,0)</f>
        <v>#N/A</v>
      </c>
      <c r="U25" s="50" t="e">
        <f>VLOOKUP($C25,Score!$B$2:$X$78,2,0)</f>
        <v>#N/A</v>
      </c>
      <c r="V25" s="50" t="e">
        <f>VLOOKUP($C25,Score!$B$2:$X$78,2,0)</f>
        <v>#N/A</v>
      </c>
      <c r="W25" s="50" t="e">
        <f>VLOOKUP($C25,Score!$B$2:$X$78,2,0)</f>
        <v>#N/A</v>
      </c>
      <c r="X25" s="50" t="e">
        <f>VLOOKUP($C25,Score!$B$2:$X$78,2,0)</f>
        <v>#N/A</v>
      </c>
      <c r="Y25" s="50" t="e">
        <f>VLOOKUP($C25,Score!$B$2:$X$78,2,0)</f>
        <v>#N/A</v>
      </c>
      <c r="Z25" s="50" t="e">
        <f>VLOOKUP($C25,Score!$B$2:$X$78,2,0)</f>
        <v>#N/A</v>
      </c>
      <c r="AA25" s="50" t="e">
        <f>VLOOKUP($C25,Score!$B$2:$X$78,2,0)</f>
        <v>#N/A</v>
      </c>
    </row>
    <row r="26" spans="3:28" s="51" customFormat="1">
      <c r="C26"/>
      <c r="D26"/>
      <c r="E26" s="50" t="e">
        <f>VLOOKUP($C26,Score!$B$2:$X$78,2,0)</f>
        <v>#N/A</v>
      </c>
      <c r="F26" s="50" t="e">
        <f>VLOOKUP($C26,Score!$B$2:$X$78,2,0)</f>
        <v>#N/A</v>
      </c>
      <c r="G26" s="50" t="e">
        <f>VLOOKUP($C26,Score!$B$2:$X$78,2,0)</f>
        <v>#N/A</v>
      </c>
      <c r="H26" s="50" t="e">
        <f>VLOOKUP($C26,Score!$B$2:$X$78,2,0)</f>
        <v>#N/A</v>
      </c>
      <c r="I26" s="50" t="e">
        <f>VLOOKUP($C26,Score!$B$2:$X$78,2,0)</f>
        <v>#N/A</v>
      </c>
      <c r="J26" s="50" t="e">
        <f>VLOOKUP($C26,Score!$B$2:$X$78,2,0)</f>
        <v>#N/A</v>
      </c>
      <c r="K26" s="50" t="e">
        <f>VLOOKUP($C26,Score!$B$2:$X$78,2,0)</f>
        <v>#N/A</v>
      </c>
      <c r="L26" s="50" t="e">
        <f>VLOOKUP($C26,Score!$B$2:$X$78,2,0)</f>
        <v>#N/A</v>
      </c>
      <c r="M26" s="50" t="e">
        <f>VLOOKUP($C26,Score!$B$2:$X$78,2,0)</f>
        <v>#N/A</v>
      </c>
      <c r="N26" s="50" t="e">
        <f>VLOOKUP($C26,Score!$B$2:$X$78,2,0)</f>
        <v>#N/A</v>
      </c>
      <c r="O26" s="50" t="e">
        <f>VLOOKUP($C26,Score!$B$2:$X$78,2,0)</f>
        <v>#N/A</v>
      </c>
      <c r="P26" s="50" t="e">
        <f>VLOOKUP($C26,Score!$B$2:$X$78,2,0)</f>
        <v>#N/A</v>
      </c>
      <c r="Q26" s="50" t="e">
        <f>VLOOKUP($C26,Score!$B$2:$X$78,2,0)</f>
        <v>#N/A</v>
      </c>
      <c r="R26" s="50" t="e">
        <f>VLOOKUP($C26,Score!$B$2:$X$78,2,0)</f>
        <v>#N/A</v>
      </c>
      <c r="S26" s="50" t="e">
        <f>VLOOKUP($C26,Score!$B$2:$X$78,2,0)</f>
        <v>#N/A</v>
      </c>
      <c r="T26" s="50" t="e">
        <f>VLOOKUP($C26,Score!$B$2:$X$78,2,0)</f>
        <v>#N/A</v>
      </c>
      <c r="U26" s="50" t="e">
        <f>VLOOKUP($C26,Score!$B$2:$X$78,2,0)</f>
        <v>#N/A</v>
      </c>
      <c r="V26" s="50" t="e">
        <f>VLOOKUP($C26,Score!$B$2:$X$78,2,0)</f>
        <v>#N/A</v>
      </c>
      <c r="W26" s="50" t="e">
        <f>VLOOKUP($C26,Score!$B$2:$X$78,2,0)</f>
        <v>#N/A</v>
      </c>
      <c r="X26" s="50" t="e">
        <f>VLOOKUP($C26,Score!$B$2:$X$78,2,0)</f>
        <v>#N/A</v>
      </c>
      <c r="Y26" s="50" t="e">
        <f>VLOOKUP($C26,Score!$B$2:$X$78,2,0)</f>
        <v>#N/A</v>
      </c>
      <c r="Z26" s="50" t="e">
        <f>VLOOKUP($C26,Score!$B$2:$X$78,2,0)</f>
        <v>#N/A</v>
      </c>
      <c r="AA26" s="50" t="e">
        <f>VLOOKUP($C26,Score!$B$2:$X$78,2,0)</f>
        <v>#N/A</v>
      </c>
    </row>
    <row r="27" spans="3:28" s="41" customFormat="1">
      <c r="C27" s="27"/>
      <c r="D27" s="27"/>
      <c r="E27" s="33"/>
      <c r="F27" s="33"/>
      <c r="G27" s="34"/>
      <c r="H27" s="33"/>
      <c r="I27" s="33"/>
      <c r="J27" s="33"/>
      <c r="K27" s="33"/>
      <c r="L27" s="33"/>
      <c r="M27" s="33"/>
      <c r="N27" s="33"/>
      <c r="O27" s="33"/>
      <c r="AA27" s="37"/>
    </row>
    <row r="28" spans="3:28" s="41" customFormat="1">
      <c r="C28" s="45"/>
      <c r="D28" s="45"/>
      <c r="E28" s="33"/>
      <c r="F28" s="33"/>
      <c r="G28" s="34"/>
      <c r="H28" s="33"/>
      <c r="I28" s="33"/>
      <c r="J28" s="33"/>
      <c r="K28" s="33"/>
      <c r="L28" s="33"/>
      <c r="M28" s="33"/>
      <c r="N28" s="33"/>
      <c r="O28" s="33"/>
      <c r="AA28" s="37"/>
    </row>
    <row r="29" spans="3:28" s="41" customFormat="1">
      <c r="C29" s="27"/>
      <c r="D29" s="27"/>
      <c r="E29" s="33"/>
      <c r="F29" s="33"/>
      <c r="G29" s="34"/>
      <c r="H29" s="33"/>
      <c r="I29" s="33"/>
      <c r="J29" s="33"/>
      <c r="K29" s="33"/>
      <c r="L29" s="33"/>
      <c r="M29" s="33"/>
      <c r="N29" s="33"/>
      <c r="O29" s="33"/>
      <c r="AA29" s="37"/>
    </row>
    <row r="30" spans="3:28" s="41" customFormat="1">
      <c r="C30" s="27"/>
      <c r="D30" s="27"/>
      <c r="E30" s="33"/>
      <c r="F30" s="33"/>
      <c r="G30" s="34"/>
      <c r="H30" s="33"/>
      <c r="I30" s="33"/>
      <c r="J30" s="33"/>
      <c r="K30" s="33"/>
      <c r="L30" s="33"/>
      <c r="M30" s="33"/>
      <c r="N30" s="33"/>
      <c r="O30" s="33"/>
      <c r="AA30" s="37"/>
    </row>
    <row r="31" spans="3:28" s="41" customFormat="1">
      <c r="C31" s="27"/>
      <c r="D31" s="27"/>
      <c r="E31" s="33"/>
      <c r="F31" s="33"/>
      <c r="G31" s="34"/>
      <c r="H31" s="33"/>
      <c r="I31" s="33"/>
      <c r="J31" s="33"/>
      <c r="K31" s="33"/>
      <c r="L31" s="33"/>
      <c r="M31" s="33"/>
      <c r="N31" s="33"/>
      <c r="O31" s="33"/>
      <c r="AA31" s="37"/>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42"/>
      <c r="D41" s="42"/>
      <c r="E41" s="10"/>
      <c r="F41" s="10"/>
      <c r="G41" s="11"/>
      <c r="H41" s="12"/>
      <c r="I41" s="12"/>
      <c r="J41" s="12"/>
      <c r="K41" s="12"/>
      <c r="L41" s="12"/>
      <c r="M41" s="12"/>
      <c r="N41" s="12"/>
      <c r="O41" s="12"/>
      <c r="P41" s="13"/>
      <c r="AA41" s="15"/>
    </row>
    <row r="42" spans="3:27" s="14" customFormat="1">
      <c r="C42" s="42"/>
      <c r="D42" s="42"/>
      <c r="E42" s="10"/>
      <c r="F42" s="10"/>
      <c r="G42" s="11"/>
      <c r="H42" s="12"/>
      <c r="I42" s="12"/>
      <c r="J42" s="12"/>
      <c r="K42" s="12"/>
      <c r="L42" s="12"/>
      <c r="M42" s="12"/>
      <c r="N42" s="12"/>
      <c r="O42" s="12"/>
      <c r="P42" s="13"/>
      <c r="AA42" s="15"/>
    </row>
    <row r="43" spans="3:27" s="14" customFormat="1">
      <c r="C43" s="42"/>
      <c r="D43" s="42"/>
      <c r="E43" s="10"/>
      <c r="F43" s="10"/>
      <c r="G43" s="11"/>
      <c r="H43" s="12"/>
      <c r="I43" s="12"/>
      <c r="J43" s="12"/>
      <c r="K43" s="12"/>
      <c r="L43" s="12"/>
      <c r="M43" s="12"/>
      <c r="N43" s="12"/>
      <c r="O43" s="12"/>
      <c r="P43" s="13"/>
      <c r="AA43" s="15"/>
    </row>
    <row r="44" spans="3:27" s="14" customFormat="1">
      <c r="C44" s="42"/>
      <c r="D44" s="42"/>
      <c r="E44" s="10"/>
      <c r="F44" s="10"/>
      <c r="G44" s="11"/>
      <c r="H44" s="12"/>
      <c r="I44" s="12"/>
      <c r="J44" s="12"/>
      <c r="K44" s="12"/>
      <c r="L44" s="12"/>
      <c r="M44" s="12"/>
      <c r="N44" s="12"/>
      <c r="O44" s="12"/>
      <c r="P44" s="13"/>
      <c r="AA44" s="15"/>
    </row>
    <row r="45" spans="3:27" s="14" customFormat="1">
      <c r="C45" s="42"/>
      <c r="D45" s="42"/>
      <c r="E45" s="10"/>
      <c r="F45" s="10"/>
      <c r="G45" s="11"/>
      <c r="H45" s="12"/>
      <c r="I45" s="12"/>
      <c r="J45" s="12"/>
      <c r="K45" s="12"/>
      <c r="L45" s="12"/>
      <c r="M45" s="12"/>
      <c r="N45" s="12"/>
      <c r="O45" s="12"/>
      <c r="P45" s="13"/>
      <c r="AA45" s="15"/>
    </row>
    <row r="46" spans="3:27" s="14" customFormat="1">
      <c r="C46" s="42"/>
      <c r="D46" s="42"/>
      <c r="E46" s="10"/>
      <c r="F46" s="10"/>
      <c r="G46" s="11"/>
      <c r="H46" s="12"/>
      <c r="I46" s="12"/>
      <c r="J46" s="12"/>
      <c r="K46" s="12"/>
      <c r="L46" s="12"/>
      <c r="M46" s="12"/>
      <c r="N46" s="12"/>
      <c r="O46" s="12"/>
      <c r="P46" s="13"/>
      <c r="AA46" s="15"/>
    </row>
    <row r="47" spans="3:27" s="14" customFormat="1">
      <c r="C47" s="42"/>
      <c r="D47" s="42"/>
      <c r="E47" s="10"/>
      <c r="F47" s="10"/>
      <c r="G47" s="11"/>
      <c r="H47" s="12"/>
      <c r="I47" s="12"/>
      <c r="J47" s="12"/>
      <c r="K47" s="12"/>
      <c r="L47" s="12"/>
      <c r="M47" s="12"/>
      <c r="N47" s="12"/>
      <c r="O47" s="12"/>
      <c r="P47" s="13"/>
      <c r="AA47" s="15"/>
    </row>
    <row r="48" spans="3:27" s="14" customFormat="1">
      <c r="C48" s="42"/>
      <c r="D48" s="42"/>
      <c r="E48" s="10"/>
      <c r="F48" s="10"/>
      <c r="G48" s="11"/>
      <c r="H48" s="12"/>
      <c r="I48" s="12"/>
      <c r="J48" s="12"/>
      <c r="K48" s="12"/>
      <c r="L48" s="12"/>
      <c r="M48" s="12"/>
      <c r="N48" s="12"/>
      <c r="O48" s="12"/>
      <c r="P48" s="13"/>
      <c r="AA48" s="15"/>
    </row>
    <row r="49" spans="3:27" s="14" customFormat="1">
      <c r="C49" s="42"/>
      <c r="D49" s="42"/>
      <c r="E49" s="10"/>
      <c r="F49" s="10"/>
      <c r="G49" s="11"/>
      <c r="H49" s="12"/>
      <c r="I49" s="12"/>
      <c r="J49" s="12"/>
      <c r="K49" s="12"/>
      <c r="L49" s="12"/>
      <c r="M49" s="12"/>
      <c r="N49" s="12"/>
      <c r="O49" s="12"/>
      <c r="P49" s="13"/>
      <c r="AA49" s="15"/>
    </row>
    <row r="50" spans="3:27" s="14" customFormat="1">
      <c r="C50" s="42"/>
      <c r="D50" s="42"/>
      <c r="E50" s="10"/>
      <c r="F50" s="10"/>
      <c r="G50" s="11"/>
      <c r="H50" s="12"/>
      <c r="I50" s="12"/>
      <c r="J50" s="12"/>
      <c r="K50" s="12"/>
      <c r="L50" s="12"/>
      <c r="M50" s="12"/>
      <c r="N50" s="12"/>
      <c r="O50" s="12"/>
      <c r="P50" s="13"/>
      <c r="AA50" s="15"/>
    </row>
    <row r="51" spans="3:27" s="14" customFormat="1">
      <c r="C51" s="42"/>
      <c r="D51" s="42"/>
      <c r="E51" s="10"/>
      <c r="F51" s="10"/>
      <c r="G51" s="11"/>
      <c r="H51" s="12"/>
      <c r="I51" s="12"/>
      <c r="J51" s="12"/>
      <c r="K51" s="12"/>
      <c r="L51" s="12"/>
      <c r="M51" s="12"/>
      <c r="N51" s="12"/>
      <c r="O51" s="12"/>
      <c r="P51" s="13"/>
      <c r="AA51" s="15"/>
    </row>
    <row r="52" spans="3:27" s="14" customFormat="1">
      <c r="C52" s="42"/>
      <c r="D52" s="42"/>
      <c r="E52" s="10"/>
      <c r="F52" s="10"/>
      <c r="G52" s="11"/>
      <c r="H52" s="12"/>
      <c r="I52" s="12"/>
      <c r="J52" s="12"/>
      <c r="K52" s="12"/>
      <c r="L52" s="12"/>
      <c r="M52" s="12"/>
      <c r="N52" s="12"/>
      <c r="O52" s="12"/>
      <c r="P52" s="13"/>
      <c r="AA52" s="15"/>
    </row>
    <row r="53" spans="3:27" s="14" customFormat="1">
      <c r="C53" s="42"/>
      <c r="D53" s="42"/>
      <c r="E53" s="10"/>
      <c r="F53" s="10"/>
      <c r="G53" s="11"/>
      <c r="H53" s="12"/>
      <c r="I53" s="12"/>
      <c r="J53" s="12"/>
      <c r="K53" s="12"/>
      <c r="L53" s="12"/>
      <c r="M53" s="12"/>
      <c r="N53" s="12"/>
      <c r="O53" s="12"/>
      <c r="P53" s="13"/>
      <c r="AA53" s="15"/>
    </row>
    <row r="54" spans="3:27" s="14" customFormat="1">
      <c r="C54" s="42"/>
      <c r="D54" s="42"/>
      <c r="E54" s="10"/>
      <c r="F54" s="10"/>
      <c r="G54" s="11"/>
      <c r="H54" s="12"/>
      <c r="I54" s="12"/>
      <c r="J54" s="12"/>
      <c r="K54" s="12"/>
      <c r="L54" s="12"/>
      <c r="M54" s="12"/>
      <c r="N54" s="12"/>
      <c r="O54" s="12"/>
      <c r="P54" s="13"/>
      <c r="AA54" s="15"/>
    </row>
    <row r="55" spans="3:27" s="14" customFormat="1">
      <c r="C55" s="42"/>
      <c r="D55" s="42"/>
      <c r="E55" s="10"/>
      <c r="F55" s="10"/>
      <c r="G55" s="11"/>
      <c r="H55" s="12"/>
      <c r="I55" s="12"/>
      <c r="J55" s="12"/>
      <c r="K55" s="12"/>
      <c r="L55" s="12"/>
      <c r="M55" s="12"/>
      <c r="N55" s="12"/>
      <c r="O55" s="12"/>
      <c r="P55" s="13"/>
      <c r="AA55" s="15"/>
    </row>
    <row r="56" spans="3:27" s="14" customFormat="1">
      <c r="C56" s="42"/>
      <c r="D56" s="42"/>
      <c r="E56" s="10"/>
      <c r="F56" s="10"/>
      <c r="G56" s="11"/>
      <c r="H56" s="12"/>
      <c r="I56" s="12"/>
      <c r="J56" s="12"/>
      <c r="K56" s="12"/>
      <c r="L56" s="12"/>
      <c r="M56" s="12"/>
      <c r="N56" s="12"/>
      <c r="O56" s="12"/>
      <c r="P56" s="13"/>
      <c r="AA56" s="15"/>
    </row>
    <row r="57" spans="3:27" s="14" customFormat="1">
      <c r="C57" s="42"/>
      <c r="D57" s="42"/>
      <c r="E57" s="10"/>
      <c r="F57" s="10"/>
      <c r="G57" s="11"/>
      <c r="H57" s="12"/>
      <c r="I57" s="12"/>
      <c r="J57" s="12"/>
      <c r="K57" s="12"/>
      <c r="L57" s="12"/>
      <c r="M57" s="12"/>
      <c r="N57" s="12"/>
      <c r="O57" s="12"/>
      <c r="P57" s="13"/>
      <c r="AA57" s="15"/>
    </row>
    <row r="58" spans="3:27" s="14" customFormat="1">
      <c r="C58" s="42"/>
      <c r="D58" s="42"/>
      <c r="E58" s="10"/>
      <c r="F58" s="10"/>
      <c r="G58" s="11"/>
      <c r="H58" s="12"/>
      <c r="I58" s="12"/>
      <c r="J58" s="12"/>
      <c r="K58" s="12"/>
      <c r="L58" s="12"/>
      <c r="M58" s="12"/>
      <c r="N58" s="12"/>
      <c r="O58" s="12"/>
      <c r="P58" s="13"/>
      <c r="AA58" s="15"/>
    </row>
    <row r="59" spans="3:27" s="14" customFormat="1">
      <c r="C59" s="42"/>
      <c r="D59" s="42"/>
      <c r="E59" s="10"/>
      <c r="F59" s="10"/>
      <c r="G59" s="11"/>
      <c r="H59" s="12"/>
      <c r="I59" s="12"/>
      <c r="J59" s="12"/>
      <c r="K59" s="12"/>
      <c r="L59" s="12"/>
      <c r="M59" s="12"/>
      <c r="N59" s="12"/>
      <c r="O59" s="12"/>
      <c r="P59" s="13"/>
      <c r="AA59" s="15"/>
    </row>
    <row r="60" spans="3:27" s="14" customFormat="1">
      <c r="C60" s="42"/>
      <c r="D60" s="42"/>
      <c r="E60" s="10"/>
      <c r="F60" s="10"/>
      <c r="G60" s="11"/>
      <c r="H60" s="12"/>
      <c r="I60" s="12"/>
      <c r="J60" s="12"/>
      <c r="K60" s="12"/>
      <c r="L60" s="12"/>
      <c r="M60" s="12"/>
      <c r="N60" s="12"/>
      <c r="O60" s="12"/>
      <c r="P60" s="13"/>
      <c r="AA60" s="15"/>
    </row>
    <row r="61" spans="3:27" s="14" customFormat="1">
      <c r="C61" s="42"/>
      <c r="D61" s="42"/>
      <c r="E61" s="10"/>
      <c r="F61" s="10"/>
      <c r="G61" s="11"/>
      <c r="H61" s="12"/>
      <c r="I61" s="12"/>
      <c r="J61" s="12"/>
      <c r="K61" s="12"/>
      <c r="L61" s="12"/>
      <c r="M61" s="12"/>
      <c r="N61" s="12"/>
      <c r="O61" s="12"/>
      <c r="P61" s="13"/>
      <c r="AA61" s="15"/>
    </row>
    <row r="62" spans="3:27" s="14" customFormat="1">
      <c r="C62" s="42"/>
      <c r="D62" s="42"/>
      <c r="E62" s="10"/>
      <c r="F62" s="10"/>
      <c r="G62" s="11"/>
      <c r="H62" s="12"/>
      <c r="I62" s="12"/>
      <c r="J62" s="12"/>
      <c r="K62" s="12"/>
      <c r="L62" s="12"/>
      <c r="M62" s="12"/>
      <c r="N62" s="12"/>
      <c r="O62" s="12"/>
      <c r="P62" s="13"/>
      <c r="AA62" s="15"/>
    </row>
    <row r="63" spans="3:27" s="14" customFormat="1">
      <c r="C63" s="42"/>
      <c r="D63" s="42"/>
      <c r="E63" s="10"/>
      <c r="F63" s="10"/>
      <c r="G63" s="11"/>
      <c r="H63" s="12"/>
      <c r="I63" s="12"/>
      <c r="J63" s="12"/>
      <c r="K63" s="12"/>
      <c r="L63" s="12"/>
      <c r="M63" s="12"/>
      <c r="N63" s="12"/>
      <c r="O63" s="12"/>
      <c r="P63" s="13"/>
      <c r="AA63" s="15"/>
    </row>
    <row r="64" spans="3:27" s="14" customFormat="1">
      <c r="C64" s="42"/>
      <c r="D64" s="42"/>
      <c r="E64" s="10"/>
      <c r="F64" s="10"/>
      <c r="G64" s="11"/>
      <c r="H64" s="12"/>
      <c r="I64" s="12"/>
      <c r="J64" s="12"/>
      <c r="K64" s="12"/>
      <c r="L64" s="12"/>
      <c r="M64" s="12"/>
      <c r="N64" s="12"/>
      <c r="O64" s="12"/>
      <c r="P64" s="13"/>
      <c r="AA64" s="15"/>
    </row>
    <row r="65" spans="3:27" s="14" customFormat="1">
      <c r="C65" s="42"/>
      <c r="D65" s="42"/>
      <c r="E65" s="10"/>
      <c r="F65" s="10"/>
      <c r="G65" s="11"/>
      <c r="H65" s="12"/>
      <c r="I65" s="12"/>
      <c r="J65" s="12"/>
      <c r="K65" s="12"/>
      <c r="L65" s="12"/>
      <c r="M65" s="12"/>
      <c r="N65" s="12"/>
      <c r="O65" s="12"/>
      <c r="P65" s="13"/>
      <c r="AA65" s="15"/>
    </row>
    <row r="66" spans="3:27" s="14" customFormat="1">
      <c r="C66" s="42"/>
      <c r="D66" s="42"/>
      <c r="E66" s="10"/>
      <c r="F66" s="10"/>
      <c r="G66" s="11"/>
      <c r="H66" s="12"/>
      <c r="I66" s="12"/>
      <c r="J66" s="12"/>
      <c r="K66" s="12"/>
      <c r="L66" s="12"/>
      <c r="M66" s="12"/>
      <c r="N66" s="12"/>
      <c r="O66" s="12"/>
      <c r="P66" s="13"/>
      <c r="AA66" s="15"/>
    </row>
    <row r="67" spans="3:27" s="14" customFormat="1">
      <c r="C67" s="42"/>
      <c r="D67" s="42"/>
      <c r="E67" s="10"/>
      <c r="F67" s="10"/>
      <c r="G67" s="11"/>
      <c r="H67" s="12"/>
      <c r="I67" s="12"/>
      <c r="J67" s="12"/>
      <c r="K67" s="12"/>
      <c r="L67" s="12"/>
      <c r="M67" s="12"/>
      <c r="N67" s="12"/>
      <c r="O67" s="12"/>
      <c r="P67" s="13"/>
      <c r="AA67" s="15"/>
    </row>
    <row r="68" spans="3:27" s="14" customFormat="1">
      <c r="C68" s="42"/>
      <c r="D68" s="42"/>
      <c r="E68" s="10"/>
      <c r="F68" s="10"/>
      <c r="G68" s="11"/>
      <c r="H68" s="12"/>
      <c r="I68" s="12"/>
      <c r="J68" s="12"/>
      <c r="K68" s="12"/>
      <c r="L68" s="12"/>
      <c r="M68" s="12"/>
      <c r="N68" s="12"/>
      <c r="O68" s="12"/>
      <c r="P68" s="13"/>
      <c r="AA68" s="15"/>
    </row>
    <row r="69" spans="3:27" s="14" customFormat="1">
      <c r="C69" s="42"/>
      <c r="D69" s="42"/>
      <c r="E69" s="10"/>
      <c r="F69" s="10"/>
      <c r="G69" s="11"/>
      <c r="H69" s="12"/>
      <c r="I69" s="12"/>
      <c r="J69" s="12"/>
      <c r="K69" s="12"/>
      <c r="L69" s="12"/>
      <c r="M69" s="12"/>
      <c r="N69" s="12"/>
      <c r="O69" s="12"/>
      <c r="P69" s="13"/>
      <c r="AA69" s="15"/>
    </row>
    <row r="70" spans="3:27" s="14" customFormat="1">
      <c r="C70" s="42"/>
      <c r="D70" s="42"/>
      <c r="E70" s="10"/>
      <c r="F70" s="10"/>
      <c r="G70" s="11"/>
      <c r="H70" s="12"/>
      <c r="I70" s="12"/>
      <c r="J70" s="12"/>
      <c r="K70" s="12"/>
      <c r="L70" s="12"/>
      <c r="M70" s="12"/>
      <c r="N70" s="12"/>
      <c r="O70" s="12"/>
      <c r="P70" s="13"/>
      <c r="AA70" s="15"/>
    </row>
    <row r="71" spans="3:27" s="14" customFormat="1">
      <c r="C71" s="42"/>
      <c r="D71" s="42"/>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FFC000"/>
  </sheetPr>
  <dimension ref="A1:S69"/>
  <sheetViews>
    <sheetView showGridLines="0" zoomScaleNormal="100" workbookViewId="0">
      <pane ySplit="1" topLeftCell="A26" activePane="bottomLeft" state="frozen"/>
      <selection activeCell="H34" sqref="H34"/>
      <selection pane="bottomLeft" activeCell="F43" sqref="F43"/>
    </sheetView>
  </sheetViews>
  <sheetFormatPr defaultColWidth="8" defaultRowHeight="13.8"/>
  <cols>
    <col min="1" max="1" width="13" style="195" customWidth="1"/>
    <col min="2" max="13" width="10" style="216" customWidth="1"/>
    <col min="14" max="14" width="4.44140625" style="194" customWidth="1"/>
    <col min="15" max="15" width="9.6640625" style="195" bestFit="1" customWidth="1"/>
    <col min="16" max="16384" width="8" style="195"/>
  </cols>
  <sheetData>
    <row r="1" spans="1:19" s="312" customFormat="1" ht="14.4" thickBot="1">
      <c r="A1" s="310"/>
      <c r="B1" s="311" t="s">
        <v>148</v>
      </c>
      <c r="C1" s="311" t="s">
        <v>190</v>
      </c>
      <c r="D1" s="311" t="s">
        <v>235</v>
      </c>
      <c r="E1" s="311" t="s">
        <v>122</v>
      </c>
      <c r="F1" s="311" t="s">
        <v>80</v>
      </c>
      <c r="G1" s="311" t="s">
        <v>82</v>
      </c>
      <c r="H1" s="311" t="s">
        <v>206</v>
      </c>
      <c r="I1" s="311" t="s">
        <v>191</v>
      </c>
      <c r="J1" s="311" t="s">
        <v>189</v>
      </c>
      <c r="K1" s="311" t="s">
        <v>351</v>
      </c>
      <c r="L1" s="311" t="s">
        <v>81</v>
      </c>
      <c r="M1" s="311" t="s">
        <v>214</v>
      </c>
      <c r="N1" s="194"/>
    </row>
    <row r="2" spans="1:19" s="262" customFormat="1" ht="14.4" thickTop="1">
      <c r="A2" s="313" t="s">
        <v>220</v>
      </c>
      <c r="B2" s="197" t="str">
        <f t="shared" ref="B2:M10" ca="1" si="0">IF(ISERROR(VLOOKUP($A2,INDIRECT(B$1&amp;"!"&amp;"c4:c27"),1,0)),"",$N2)</f>
        <v/>
      </c>
      <c r="C2" s="197" t="str">
        <f t="shared" ca="1" si="0"/>
        <v/>
      </c>
      <c r="D2" s="197" t="str">
        <f t="shared" ca="1" si="0"/>
        <v/>
      </c>
      <c r="E2" s="197" t="str">
        <f t="shared" ca="1" si="0"/>
        <v/>
      </c>
      <c r="F2" s="197" t="str">
        <f t="shared" ca="1" si="0"/>
        <v/>
      </c>
      <c r="G2" s="197" t="str">
        <f t="shared" ca="1" si="0"/>
        <v/>
      </c>
      <c r="H2" s="197">
        <f t="shared" ca="1" si="0"/>
        <v>1</v>
      </c>
      <c r="I2" s="197" t="str">
        <f t="shared" ca="1" si="0"/>
        <v/>
      </c>
      <c r="J2" s="197" t="str">
        <f t="shared" ca="1" si="0"/>
        <v/>
      </c>
      <c r="K2" s="197" t="str">
        <f t="shared" ca="1" si="0"/>
        <v/>
      </c>
      <c r="L2" s="197" t="str">
        <f t="shared" ca="1" si="0"/>
        <v/>
      </c>
      <c r="M2" s="197" t="str">
        <f t="shared" ca="1" si="0"/>
        <v/>
      </c>
      <c r="N2" s="314">
        <f ca="1">COUNTIF(Teams!$4:$27,A2)</f>
        <v>1</v>
      </c>
      <c r="O2" s="199">
        <f ca="1">VLOOKUP(A2,Score!B:Z,25,0)</f>
        <v>7.0191013203695869</v>
      </c>
    </row>
    <row r="3" spans="1:19" s="262" customFormat="1">
      <c r="A3" s="313" t="s">
        <v>323</v>
      </c>
      <c r="B3" s="197" t="str">
        <f t="shared" ca="1" si="0"/>
        <v/>
      </c>
      <c r="C3" s="197" t="str">
        <f t="shared" ca="1" si="0"/>
        <v/>
      </c>
      <c r="D3" s="197" t="str">
        <f t="shared" ca="1" si="0"/>
        <v/>
      </c>
      <c r="E3" s="197" t="str">
        <f t="shared" ca="1" si="0"/>
        <v/>
      </c>
      <c r="F3" s="197" t="str">
        <f t="shared" ca="1" si="0"/>
        <v/>
      </c>
      <c r="G3" s="197" t="str">
        <f t="shared" ca="1" si="0"/>
        <v/>
      </c>
      <c r="H3" s="197" t="str">
        <f t="shared" ca="1" si="0"/>
        <v/>
      </c>
      <c r="I3" s="197" t="str">
        <f t="shared" ca="1" si="0"/>
        <v/>
      </c>
      <c r="J3" s="197" t="str">
        <f t="shared" ca="1" si="0"/>
        <v/>
      </c>
      <c r="K3" s="197" t="str">
        <f t="shared" ca="1" si="0"/>
        <v/>
      </c>
      <c r="L3" s="197" t="str">
        <f t="shared" ca="1" si="0"/>
        <v/>
      </c>
      <c r="M3" s="197">
        <f t="shared" ca="1" si="0"/>
        <v>1</v>
      </c>
      <c r="N3" s="314">
        <f ca="1">COUNTIF(Teams!$4:$27,A3)</f>
        <v>1</v>
      </c>
      <c r="O3" s="199">
        <f ca="1">VLOOKUP(A3,Score!B:Z,25,0)</f>
        <v>6.905920733659354E-3</v>
      </c>
    </row>
    <row r="4" spans="1:19" s="262" customFormat="1">
      <c r="A4" s="313" t="s">
        <v>349</v>
      </c>
      <c r="B4" s="197" t="str">
        <f t="shared" ca="1" si="0"/>
        <v/>
      </c>
      <c r="C4" s="197" t="str">
        <f t="shared" ca="1" si="0"/>
        <v/>
      </c>
      <c r="D4" s="197" t="str">
        <f t="shared" ca="1" si="0"/>
        <v/>
      </c>
      <c r="E4" s="197" t="str">
        <f t="shared" ca="1" si="0"/>
        <v/>
      </c>
      <c r="F4" s="197" t="str">
        <f t="shared" ca="1" si="0"/>
        <v/>
      </c>
      <c r="G4" s="197" t="str">
        <f t="shared" ca="1" si="0"/>
        <v/>
      </c>
      <c r="H4" s="197" t="str">
        <f t="shared" ca="1" si="0"/>
        <v/>
      </c>
      <c r="I4" s="197" t="str">
        <f t="shared" ca="1" si="0"/>
        <v/>
      </c>
      <c r="J4" s="197" t="str">
        <f t="shared" ca="1" si="0"/>
        <v/>
      </c>
      <c r="K4" s="197">
        <f t="shared" ca="1" si="0"/>
        <v>1</v>
      </c>
      <c r="L4" s="197" t="str">
        <f t="shared" ca="1" si="0"/>
        <v/>
      </c>
      <c r="M4" s="197" t="str">
        <f t="shared" ca="1" si="0"/>
        <v/>
      </c>
      <c r="N4" s="314">
        <f ca="1">COUNTIF(Teams!$4:$27,A4)</f>
        <v>1</v>
      </c>
      <c r="O4" s="199">
        <f ca="1">VLOOKUP(A4,Score!B:Z,25,0)</f>
        <v>11.058646615237274</v>
      </c>
    </row>
    <row r="5" spans="1:19" s="262" customFormat="1">
      <c r="A5" s="313" t="s">
        <v>279</v>
      </c>
      <c r="B5" s="197" t="str">
        <f t="shared" ca="1" si="0"/>
        <v/>
      </c>
      <c r="C5" s="197" t="str">
        <f t="shared" ca="1" si="0"/>
        <v/>
      </c>
      <c r="D5" s="197" t="str">
        <f t="shared" ca="1" si="0"/>
        <v/>
      </c>
      <c r="E5" s="197" t="str">
        <f t="shared" ca="1" si="0"/>
        <v/>
      </c>
      <c r="F5" s="197" t="str">
        <f t="shared" ca="1" si="0"/>
        <v/>
      </c>
      <c r="G5" s="197" t="str">
        <f t="shared" ca="1" si="0"/>
        <v/>
      </c>
      <c r="H5" s="197" t="str">
        <f t="shared" ca="1" si="0"/>
        <v/>
      </c>
      <c r="I5" s="197" t="str">
        <f t="shared" ca="1" si="0"/>
        <v/>
      </c>
      <c r="J5" s="197" t="str">
        <f t="shared" ca="1" si="0"/>
        <v/>
      </c>
      <c r="K5" s="197" t="str">
        <f t="shared" ca="1" si="0"/>
        <v/>
      </c>
      <c r="L5" s="197">
        <f t="shared" ca="1" si="0"/>
        <v>1</v>
      </c>
      <c r="M5" s="197" t="str">
        <f t="shared" ca="1" si="0"/>
        <v/>
      </c>
      <c r="N5" s="314">
        <f ca="1">COUNTIF(Teams!$4:$27,A5)</f>
        <v>1</v>
      </c>
      <c r="O5" s="199">
        <f ca="1">VLOOKUP(A5,Score!B:Z,25,0)</f>
        <v>54.054533670550349</v>
      </c>
    </row>
    <row r="6" spans="1:19" s="262" customFormat="1">
      <c r="A6" s="313" t="s">
        <v>346</v>
      </c>
      <c r="B6" s="197" t="str">
        <f t="shared" ca="1" si="0"/>
        <v/>
      </c>
      <c r="C6" s="197" t="str">
        <f t="shared" ca="1" si="0"/>
        <v/>
      </c>
      <c r="D6" s="197" t="str">
        <f t="shared" ca="1" si="0"/>
        <v/>
      </c>
      <c r="E6" s="197" t="str">
        <f t="shared" ca="1" si="0"/>
        <v/>
      </c>
      <c r="F6" s="197" t="str">
        <f t="shared" ca="1" si="0"/>
        <v/>
      </c>
      <c r="G6" s="197" t="str">
        <f t="shared" ca="1" si="0"/>
        <v/>
      </c>
      <c r="H6" s="197" t="str">
        <f t="shared" ca="1" si="0"/>
        <v/>
      </c>
      <c r="I6" s="197" t="str">
        <f t="shared" ca="1" si="0"/>
        <v/>
      </c>
      <c r="J6" s="197" t="str">
        <f t="shared" ca="1" si="0"/>
        <v/>
      </c>
      <c r="K6" s="197">
        <f t="shared" ca="1" si="0"/>
        <v>1</v>
      </c>
      <c r="L6" s="197" t="str">
        <f t="shared" ca="1" si="0"/>
        <v/>
      </c>
      <c r="M6" s="197" t="str">
        <f t="shared" ca="1" si="0"/>
        <v/>
      </c>
      <c r="N6" s="314">
        <f ca="1">COUNTIF(Teams!$4:$27,A6)</f>
        <v>1</v>
      </c>
      <c r="O6" s="199">
        <f ca="1">VLOOKUP(A6,Score!B:Z,25,0)</f>
        <v>3.0269420799053991E-2</v>
      </c>
    </row>
    <row r="7" spans="1:19" s="262" customFormat="1">
      <c r="A7" s="313" t="s">
        <v>86</v>
      </c>
      <c r="B7" s="197" t="str">
        <f t="shared" ca="1" si="0"/>
        <v/>
      </c>
      <c r="C7" s="197" t="str">
        <f t="shared" ca="1" si="0"/>
        <v/>
      </c>
      <c r="D7" s="197" t="str">
        <f t="shared" ca="1" si="0"/>
        <v/>
      </c>
      <c r="E7" s="197" t="str">
        <f t="shared" ca="1" si="0"/>
        <v/>
      </c>
      <c r="F7" s="197" t="str">
        <f t="shared" ca="1" si="0"/>
        <v/>
      </c>
      <c r="G7" s="197" t="str">
        <f t="shared" ca="1" si="0"/>
        <v/>
      </c>
      <c r="H7" s="197" t="str">
        <f t="shared" ca="1" si="0"/>
        <v/>
      </c>
      <c r="I7" s="197" t="str">
        <f t="shared" ca="1" si="0"/>
        <v/>
      </c>
      <c r="J7" s="197" t="str">
        <f t="shared" ca="1" si="0"/>
        <v/>
      </c>
      <c r="K7" s="197" t="str">
        <f t="shared" ca="1" si="0"/>
        <v/>
      </c>
      <c r="L7" s="197">
        <f t="shared" ca="1" si="0"/>
        <v>1</v>
      </c>
      <c r="M7" s="197" t="str">
        <f t="shared" ca="1" si="0"/>
        <v/>
      </c>
      <c r="N7" s="314">
        <f ca="1">COUNTIF(Teams!$4:$27,A7)</f>
        <v>1</v>
      </c>
      <c r="O7" s="199">
        <f ca="1">VLOOKUP(A7,Score!B:Z,25,0)</f>
        <v>27.062501140673955</v>
      </c>
    </row>
    <row r="8" spans="1:19" s="262" customFormat="1">
      <c r="A8" s="346" t="s">
        <v>182</v>
      </c>
      <c r="B8" s="197" t="str">
        <f t="shared" ca="1" si="0"/>
        <v/>
      </c>
      <c r="C8" s="197" t="str">
        <f t="shared" ca="1" si="0"/>
        <v/>
      </c>
      <c r="D8" s="197" t="str">
        <f t="shared" ca="1" si="0"/>
        <v/>
      </c>
      <c r="E8" s="197" t="str">
        <f t="shared" ca="1" si="0"/>
        <v/>
      </c>
      <c r="F8" s="197" t="str">
        <f t="shared" ca="1" si="0"/>
        <v/>
      </c>
      <c r="G8" s="197" t="str">
        <f t="shared" ca="1" si="0"/>
        <v/>
      </c>
      <c r="H8" s="197" t="str">
        <f t="shared" ca="1" si="0"/>
        <v/>
      </c>
      <c r="I8" s="197" t="str">
        <f t="shared" ca="1" si="0"/>
        <v/>
      </c>
      <c r="J8" s="197" t="str">
        <f t="shared" ca="1" si="0"/>
        <v/>
      </c>
      <c r="K8" s="197" t="str">
        <f t="shared" ca="1" si="0"/>
        <v/>
      </c>
      <c r="L8" s="343">
        <f t="shared" ca="1" si="0"/>
        <v>1</v>
      </c>
      <c r="M8" s="197" t="str">
        <f t="shared" ca="1" si="0"/>
        <v/>
      </c>
      <c r="N8" s="314">
        <f ca="1">COUNTIF(Teams!$4:$27,A8)</f>
        <v>1</v>
      </c>
      <c r="O8" s="199">
        <f ca="1">VLOOKUP(A8,Score!B:Z,25,0)</f>
        <v>76.002630716447058</v>
      </c>
    </row>
    <row r="9" spans="1:19" s="262" customFormat="1">
      <c r="A9" s="313" t="s">
        <v>226</v>
      </c>
      <c r="B9" s="197" t="str">
        <f t="shared" ca="1" si="0"/>
        <v/>
      </c>
      <c r="C9" s="197" t="str">
        <f t="shared" ca="1" si="0"/>
        <v/>
      </c>
      <c r="D9" s="197" t="str">
        <f t="shared" ca="1" si="0"/>
        <v/>
      </c>
      <c r="E9" s="197" t="str">
        <f t="shared" ca="1" si="0"/>
        <v/>
      </c>
      <c r="F9" s="197" t="str">
        <f t="shared" ca="1" si="0"/>
        <v/>
      </c>
      <c r="G9" s="197" t="str">
        <f t="shared" ca="1" si="0"/>
        <v/>
      </c>
      <c r="H9" s="197" t="str">
        <f t="shared" ca="1" si="0"/>
        <v/>
      </c>
      <c r="I9" s="197" t="str">
        <f t="shared" ca="1" si="0"/>
        <v/>
      </c>
      <c r="J9" s="197" t="str">
        <f t="shared" ca="1" si="0"/>
        <v/>
      </c>
      <c r="K9" s="197" t="str">
        <f t="shared" ca="1" si="0"/>
        <v/>
      </c>
      <c r="L9" s="197" t="str">
        <f t="shared" ca="1" si="0"/>
        <v/>
      </c>
      <c r="M9" s="197">
        <f t="shared" ca="1" si="0"/>
        <v>1</v>
      </c>
      <c r="N9" s="314">
        <f ca="1">COUNTIF(Teams!$4:$27,A9)</f>
        <v>1</v>
      </c>
      <c r="O9" s="199">
        <f ca="1">VLOOKUP(A9,Score!B:Z,25,0)</f>
        <v>70.055432046916366</v>
      </c>
    </row>
    <row r="10" spans="1:19" s="262" customFormat="1">
      <c r="A10" s="313" t="s">
        <v>229</v>
      </c>
      <c r="B10" s="197" t="str">
        <f t="shared" ca="1" si="0"/>
        <v/>
      </c>
      <c r="C10" s="197" t="str">
        <f t="shared" ca="1" si="0"/>
        <v/>
      </c>
      <c r="D10" s="197" t="str">
        <f t="shared" ca="1" si="0"/>
        <v/>
      </c>
      <c r="E10" s="197" t="str">
        <f t="shared" ca="1" si="0"/>
        <v/>
      </c>
      <c r="F10" s="197" t="str">
        <f t="shared" ca="1" si="0"/>
        <v/>
      </c>
      <c r="G10" s="197" t="str">
        <f t="shared" ca="1" si="0"/>
        <v/>
      </c>
      <c r="H10" s="197" t="str">
        <f t="shared" ca="1" si="0"/>
        <v/>
      </c>
      <c r="I10" s="197" t="str">
        <f t="shared" ca="1" si="0"/>
        <v/>
      </c>
      <c r="J10" s="197" t="str">
        <f t="shared" ca="1" si="0"/>
        <v/>
      </c>
      <c r="K10" s="197" t="str">
        <f t="shared" ca="1" si="0"/>
        <v/>
      </c>
      <c r="L10" s="197">
        <f t="shared" ca="1" si="0"/>
        <v>1</v>
      </c>
      <c r="M10" s="197" t="str">
        <f t="shared" ca="1" si="0"/>
        <v/>
      </c>
      <c r="N10" s="314">
        <f ca="1">COUNTIF(Teams!$4:$27,A10)</f>
        <v>1</v>
      </c>
      <c r="O10" s="199">
        <f ca="1">VLOOKUP(A10,Score!B:Z,25,0)</f>
        <v>63.056645820372019</v>
      </c>
    </row>
    <row r="11" spans="1:19" s="262" customFormat="1">
      <c r="A11" s="313" t="s">
        <v>337</v>
      </c>
      <c r="B11" s="197" t="str">
        <f t="shared" ref="B11:M21" ca="1" si="1">IF(ISERROR(VLOOKUP($A11,INDIRECT(B$1&amp;"!"&amp;"c4:c27"),1,0)),"",$N11)</f>
        <v/>
      </c>
      <c r="C11" s="197" t="str">
        <f t="shared" ca="1" si="1"/>
        <v/>
      </c>
      <c r="D11" s="197" t="str">
        <f t="shared" ca="1" si="1"/>
        <v/>
      </c>
      <c r="E11" s="197" t="str">
        <f t="shared" ca="1" si="1"/>
        <v/>
      </c>
      <c r="F11" s="197" t="str">
        <f t="shared" ca="1" si="1"/>
        <v/>
      </c>
      <c r="G11" s="197" t="str">
        <f t="shared" ca="1" si="1"/>
        <v/>
      </c>
      <c r="H11" s="197" t="str">
        <f t="shared" ca="1" si="1"/>
        <v/>
      </c>
      <c r="I11" s="197" t="str">
        <f t="shared" ca="1" si="1"/>
        <v/>
      </c>
      <c r="J11" s="197">
        <f t="shared" ca="1" si="1"/>
        <v>1</v>
      </c>
      <c r="K11" s="197" t="str">
        <f t="shared" ca="1" si="1"/>
        <v/>
      </c>
      <c r="L11" s="197" t="str">
        <f t="shared" ca="1" si="1"/>
        <v/>
      </c>
      <c r="M11" s="197" t="str">
        <f t="shared" ca="1" si="1"/>
        <v/>
      </c>
      <c r="N11" s="314">
        <f ca="1">COUNTIF(Teams!$4:$27,A11)</f>
        <v>1</v>
      </c>
      <c r="O11" s="199">
        <f ca="1">VLOOKUP(A11,Score!B:Z,25,0)</f>
        <v>45.075693283141057</v>
      </c>
    </row>
    <row r="12" spans="1:19" s="262" customFormat="1">
      <c r="A12" s="313" t="s">
        <v>119</v>
      </c>
      <c r="B12" s="197" t="str">
        <f t="shared" ca="1" si="1"/>
        <v/>
      </c>
      <c r="C12" s="197" t="str">
        <f t="shared" ca="1" si="1"/>
        <v/>
      </c>
      <c r="D12" s="197" t="str">
        <f t="shared" ca="1" si="1"/>
        <v/>
      </c>
      <c r="E12" s="197" t="str">
        <f t="shared" ca="1" si="1"/>
        <v/>
      </c>
      <c r="F12" s="197" t="str">
        <f t="shared" ca="1" si="1"/>
        <v/>
      </c>
      <c r="G12" s="197" t="str">
        <f t="shared" ca="1" si="1"/>
        <v/>
      </c>
      <c r="H12" s="197" t="str">
        <f t="shared" ca="1" si="1"/>
        <v/>
      </c>
      <c r="I12" s="197" t="str">
        <f t="shared" ca="1" si="1"/>
        <v/>
      </c>
      <c r="J12" s="197">
        <f t="shared" ca="1" si="1"/>
        <v>1</v>
      </c>
      <c r="K12" s="197" t="str">
        <f t="shared" ca="1" si="1"/>
        <v/>
      </c>
      <c r="L12" s="197" t="str">
        <f t="shared" ca="1" si="1"/>
        <v/>
      </c>
      <c r="M12" s="197" t="str">
        <f t="shared" ca="1" si="1"/>
        <v/>
      </c>
      <c r="N12" s="314">
        <f ca="1">COUNTIF(Teams!$4:$27,A12)</f>
        <v>1</v>
      </c>
      <c r="O12" s="199">
        <f ca="1">VLOOKUP(A12,Score!B:Z,25,0)</f>
        <v>28.09956739415243</v>
      </c>
    </row>
    <row r="13" spans="1:19" s="262" customFormat="1">
      <c r="A13" s="313" t="s">
        <v>340</v>
      </c>
      <c r="B13" s="197" t="str">
        <f t="shared" ca="1" si="1"/>
        <v/>
      </c>
      <c r="C13" s="197" t="str">
        <f t="shared" ca="1" si="1"/>
        <v/>
      </c>
      <c r="D13" s="197" t="str">
        <f t="shared" ca="1" si="1"/>
        <v/>
      </c>
      <c r="E13" s="197" t="str">
        <f t="shared" ca="1" si="1"/>
        <v/>
      </c>
      <c r="F13" s="197" t="str">
        <f t="shared" ca="1" si="1"/>
        <v/>
      </c>
      <c r="G13" s="197" t="str">
        <f t="shared" ca="1" si="1"/>
        <v/>
      </c>
      <c r="H13" s="197" t="str">
        <f t="shared" ca="1" si="1"/>
        <v/>
      </c>
      <c r="I13" s="197" t="str">
        <f t="shared" ca="1" si="1"/>
        <v/>
      </c>
      <c r="J13" s="197">
        <f t="shared" ca="1" si="1"/>
        <v>1</v>
      </c>
      <c r="K13" s="197" t="str">
        <f t="shared" ca="1" si="1"/>
        <v/>
      </c>
      <c r="L13" s="197" t="str">
        <f t="shared" ca="1" si="1"/>
        <v/>
      </c>
      <c r="M13" s="197" t="str">
        <f t="shared" ca="1" si="1"/>
        <v/>
      </c>
      <c r="N13" s="314">
        <f ca="1">COUNTIF(Teams!$4:$27,A13)</f>
        <v>1</v>
      </c>
      <c r="O13" s="199">
        <f ca="1">VLOOKUP(A13,Score!B:Z,25,0)</f>
        <v>115.0603735439917</v>
      </c>
    </row>
    <row r="14" spans="1:19" s="262" customFormat="1">
      <c r="A14" s="346" t="s">
        <v>245</v>
      </c>
      <c r="B14" s="197" t="str">
        <f t="shared" ca="1" si="1"/>
        <v/>
      </c>
      <c r="C14" s="343">
        <f t="shared" ca="1" si="1"/>
        <v>1</v>
      </c>
      <c r="D14" s="197" t="str">
        <f t="shared" ca="1" si="1"/>
        <v/>
      </c>
      <c r="E14" s="197" t="str">
        <f t="shared" ca="1" si="1"/>
        <v/>
      </c>
      <c r="F14" s="197" t="str">
        <f t="shared" ca="1" si="1"/>
        <v/>
      </c>
      <c r="G14" s="197" t="str">
        <f t="shared" ca="1" si="1"/>
        <v/>
      </c>
      <c r="H14" s="197" t="str">
        <f t="shared" ca="1" si="1"/>
        <v/>
      </c>
      <c r="I14" s="197" t="str">
        <f t="shared" ca="1" si="1"/>
        <v/>
      </c>
      <c r="J14" s="197" t="str">
        <f t="shared" ca="1" si="1"/>
        <v/>
      </c>
      <c r="K14" s="197" t="str">
        <f t="shared" ca="1" si="1"/>
        <v/>
      </c>
      <c r="L14" s="197" t="str">
        <f t="shared" ca="1" si="1"/>
        <v/>
      </c>
      <c r="M14" s="197" t="str">
        <f t="shared" ca="1" si="1"/>
        <v/>
      </c>
      <c r="N14" s="314">
        <f ca="1">COUNTIF(Teams!$4:$27,A14)</f>
        <v>1</v>
      </c>
      <c r="O14" s="199">
        <f ca="1">VLOOKUP(A14,Score!B:Z,25,0)</f>
        <v>177.07945849142075</v>
      </c>
    </row>
    <row r="15" spans="1:19" s="262" customFormat="1">
      <c r="A15" s="346" t="s">
        <v>248</v>
      </c>
      <c r="B15" s="197" t="str">
        <f t="shared" ca="1" si="1"/>
        <v/>
      </c>
      <c r="C15" s="197" t="str">
        <f t="shared" ca="1" si="1"/>
        <v/>
      </c>
      <c r="D15" s="197" t="str">
        <f t="shared" ca="1" si="1"/>
        <v/>
      </c>
      <c r="E15" s="197" t="str">
        <f t="shared" ca="1" si="1"/>
        <v/>
      </c>
      <c r="F15" s="343">
        <f t="shared" ca="1" si="1"/>
        <v>1</v>
      </c>
      <c r="G15" s="197" t="str">
        <f t="shared" ca="1" si="1"/>
        <v/>
      </c>
      <c r="H15" s="197" t="str">
        <f t="shared" ca="1" si="1"/>
        <v/>
      </c>
      <c r="I15" s="197" t="str">
        <f t="shared" ca="1" si="1"/>
        <v/>
      </c>
      <c r="J15" s="197" t="str">
        <f t="shared" ca="1" si="1"/>
        <v/>
      </c>
      <c r="K15" s="197" t="str">
        <f t="shared" ca="1" si="1"/>
        <v/>
      </c>
      <c r="L15" s="197" t="str">
        <f t="shared" ca="1" si="1"/>
        <v/>
      </c>
      <c r="M15" s="197" t="str">
        <f t="shared" ca="1" si="1"/>
        <v/>
      </c>
      <c r="N15" s="314">
        <f ca="1">COUNTIF(Teams!$4:$27,A15)</f>
        <v>1</v>
      </c>
      <c r="O15" s="199">
        <f ca="1">VLOOKUP(A15,Score!B:Z,25,0)</f>
        <v>255.08009517837525</v>
      </c>
    </row>
    <row r="16" spans="1:19" s="315" customFormat="1">
      <c r="A16" s="346" t="s">
        <v>113</v>
      </c>
      <c r="B16" s="197" t="str">
        <f t="shared" ca="1" si="1"/>
        <v/>
      </c>
      <c r="C16" s="197" t="str">
        <f t="shared" ca="1" si="1"/>
        <v/>
      </c>
      <c r="D16" s="197" t="str">
        <f t="shared" ca="1" si="1"/>
        <v/>
      </c>
      <c r="E16" s="197" t="str">
        <f t="shared" ca="1" si="1"/>
        <v/>
      </c>
      <c r="F16" s="197" t="str">
        <f t="shared" ca="1" si="1"/>
        <v/>
      </c>
      <c r="G16" s="343">
        <f t="shared" ca="1" si="1"/>
        <v>1</v>
      </c>
      <c r="H16" s="197" t="str">
        <f t="shared" ca="1" si="1"/>
        <v/>
      </c>
      <c r="I16" s="197" t="str">
        <f t="shared" ca="1" si="1"/>
        <v/>
      </c>
      <c r="J16" s="197" t="str">
        <f t="shared" ca="1" si="1"/>
        <v/>
      </c>
      <c r="K16" s="197" t="str">
        <f t="shared" ca="1" si="1"/>
        <v/>
      </c>
      <c r="L16" s="197" t="str">
        <f t="shared" ca="1" si="1"/>
        <v/>
      </c>
      <c r="M16" s="197" t="str">
        <f t="shared" ca="1" si="1"/>
        <v/>
      </c>
      <c r="N16" s="314">
        <f ca="1">COUNTIF(Teams!$4:$27,A16)</f>
        <v>1</v>
      </c>
      <c r="O16" s="199">
        <f ca="1">VLOOKUP(A16,Score!B:Z,25,0)</f>
        <v>100.0301138112909</v>
      </c>
      <c r="P16" s="262"/>
      <c r="Q16" s="262"/>
      <c r="R16" s="262"/>
      <c r="S16" s="262"/>
    </row>
    <row r="17" spans="1:19" s="262" customFormat="1">
      <c r="A17" s="313" t="s">
        <v>325</v>
      </c>
      <c r="B17" s="197" t="str">
        <f t="shared" ca="1" si="1"/>
        <v/>
      </c>
      <c r="C17" s="197" t="str">
        <f t="shared" ca="1" si="1"/>
        <v/>
      </c>
      <c r="D17" s="197" t="str">
        <f t="shared" ca="1" si="1"/>
        <v/>
      </c>
      <c r="E17" s="197" t="str">
        <f t="shared" ca="1" si="1"/>
        <v/>
      </c>
      <c r="F17" s="197" t="str">
        <f t="shared" ca="1" si="1"/>
        <v/>
      </c>
      <c r="G17" s="197" t="str">
        <f t="shared" ca="1" si="1"/>
        <v/>
      </c>
      <c r="H17" s="197" t="str">
        <f t="shared" ca="1" si="1"/>
        <v/>
      </c>
      <c r="I17" s="197" t="str">
        <f t="shared" ca="1" si="1"/>
        <v/>
      </c>
      <c r="J17" s="197" t="str">
        <f t="shared" ca="1" si="1"/>
        <v/>
      </c>
      <c r="K17" s="197" t="str">
        <f t="shared" ca="1" si="1"/>
        <v/>
      </c>
      <c r="L17" s="197" t="str">
        <f t="shared" ca="1" si="1"/>
        <v/>
      </c>
      <c r="M17" s="197">
        <f t="shared" ca="1" si="1"/>
        <v>1</v>
      </c>
      <c r="N17" s="314">
        <f ca="1">COUNTIF(Teams!$4:$27,A17)</f>
        <v>1</v>
      </c>
      <c r="O17" s="199">
        <f ca="1">VLOOKUP(A17,Score!B:Z,25,0)</f>
        <v>7.0270811367670077E-2</v>
      </c>
    </row>
    <row r="18" spans="1:19" s="262" customFormat="1">
      <c r="A18" s="313" t="s">
        <v>324</v>
      </c>
      <c r="B18" s="197" t="str">
        <f t="shared" ca="1" si="1"/>
        <v/>
      </c>
      <c r="C18" s="197" t="str">
        <f t="shared" ca="1" si="1"/>
        <v/>
      </c>
      <c r="D18" s="197" t="str">
        <f t="shared" ca="1" si="1"/>
        <v/>
      </c>
      <c r="E18" s="197" t="str">
        <f t="shared" ca="1" si="1"/>
        <v/>
      </c>
      <c r="F18" s="197" t="str">
        <f t="shared" ca="1" si="1"/>
        <v/>
      </c>
      <c r="G18" s="197" t="str">
        <f t="shared" ca="1" si="1"/>
        <v/>
      </c>
      <c r="H18" s="197" t="str">
        <f t="shared" ca="1" si="1"/>
        <v/>
      </c>
      <c r="I18" s="197" t="str">
        <f t="shared" ca="1" si="1"/>
        <v/>
      </c>
      <c r="J18" s="197" t="str">
        <f t="shared" ca="1" si="1"/>
        <v/>
      </c>
      <c r="K18" s="197" t="str">
        <f t="shared" ca="1" si="1"/>
        <v/>
      </c>
      <c r="L18" s="197" t="str">
        <f t="shared" ca="1" si="1"/>
        <v/>
      </c>
      <c r="M18" s="197">
        <f t="shared" ca="1" si="1"/>
        <v>1</v>
      </c>
      <c r="N18" s="314">
        <f ca="1">COUNTIF(Teams!$4:$27,A18)</f>
        <v>1</v>
      </c>
      <c r="O18" s="199">
        <f ca="1">VLOOKUP(A18,Score!B:Z,25,0)</f>
        <v>13.06678840371212</v>
      </c>
    </row>
    <row r="19" spans="1:19" s="262" customFormat="1">
      <c r="A19" s="313" t="s">
        <v>278</v>
      </c>
      <c r="B19" s="197" t="str">
        <f t="shared" ca="1" si="1"/>
        <v/>
      </c>
      <c r="C19" s="197" t="str">
        <f t="shared" ca="1" si="1"/>
        <v/>
      </c>
      <c r="D19" s="197" t="str">
        <f t="shared" ca="1" si="1"/>
        <v/>
      </c>
      <c r="E19" s="197" t="str">
        <f t="shared" ca="1" si="1"/>
        <v/>
      </c>
      <c r="F19" s="197" t="str">
        <f t="shared" ca="1" si="1"/>
        <v/>
      </c>
      <c r="G19" s="197" t="str">
        <f t="shared" ca="1" si="1"/>
        <v/>
      </c>
      <c r="H19" s="197">
        <f t="shared" ca="1" si="1"/>
        <v>1</v>
      </c>
      <c r="I19" s="197" t="str">
        <f t="shared" ca="1" si="1"/>
        <v/>
      </c>
      <c r="J19" s="197" t="str">
        <f t="shared" ca="1" si="1"/>
        <v/>
      </c>
      <c r="K19" s="197" t="str">
        <f t="shared" ca="1" si="1"/>
        <v/>
      </c>
      <c r="L19" s="197" t="str">
        <f t="shared" ca="1" si="1"/>
        <v/>
      </c>
      <c r="M19" s="197" t="str">
        <f t="shared" ca="1" si="1"/>
        <v/>
      </c>
      <c r="N19" s="314">
        <f ca="1">COUNTIF(Teams!$4:$27,A19)</f>
        <v>1</v>
      </c>
      <c r="O19" s="199">
        <f ca="1">VLOOKUP(A19,Score!B:Z,25,0)</f>
        <v>96.038211164485247</v>
      </c>
    </row>
    <row r="20" spans="1:19" s="262" customFormat="1">
      <c r="A20" s="313" t="s">
        <v>281</v>
      </c>
      <c r="B20" s="197" t="str">
        <f t="shared" ca="1" si="1"/>
        <v/>
      </c>
      <c r="C20" s="197" t="str">
        <f t="shared" ca="1" si="1"/>
        <v/>
      </c>
      <c r="D20" s="197" t="str">
        <f t="shared" ca="1" si="1"/>
        <v/>
      </c>
      <c r="E20" s="197" t="str">
        <f t="shared" ca="1" si="1"/>
        <v/>
      </c>
      <c r="F20" s="197" t="str">
        <f t="shared" ca="1" si="1"/>
        <v/>
      </c>
      <c r="G20" s="197" t="str">
        <f t="shared" ca="1" si="1"/>
        <v/>
      </c>
      <c r="H20" s="197" t="str">
        <f t="shared" ca="1" si="1"/>
        <v/>
      </c>
      <c r="I20" s="197" t="str">
        <f t="shared" ca="1" si="1"/>
        <v/>
      </c>
      <c r="J20" s="197" t="str">
        <f t="shared" ca="1" si="1"/>
        <v/>
      </c>
      <c r="K20" s="197" t="str">
        <f t="shared" ca="1" si="1"/>
        <v/>
      </c>
      <c r="L20" s="197">
        <f t="shared" ca="1" si="1"/>
        <v>1</v>
      </c>
      <c r="M20" s="197" t="str">
        <f t="shared" ca="1" si="1"/>
        <v/>
      </c>
      <c r="N20" s="314">
        <f ca="1">COUNTIF(Teams!$4:$27,A20)</f>
        <v>1</v>
      </c>
      <c r="O20" s="199">
        <f ca="1">VLOOKUP(A20,Score!B:Z,25,0)</f>
        <v>54.052273756450802</v>
      </c>
    </row>
    <row r="21" spans="1:19" s="262" customFormat="1">
      <c r="A21" s="318" t="s">
        <v>280</v>
      </c>
      <c r="B21" s="204" t="str">
        <f t="shared" ca="1" si="1"/>
        <v/>
      </c>
      <c r="C21" s="204" t="str">
        <f t="shared" ca="1" si="1"/>
        <v/>
      </c>
      <c r="D21" s="204" t="str">
        <f t="shared" ca="1" si="1"/>
        <v/>
      </c>
      <c r="E21" s="204" t="str">
        <f t="shared" ca="1" si="1"/>
        <v/>
      </c>
      <c r="F21" s="204" t="str">
        <f t="shared" ca="1" si="1"/>
        <v/>
      </c>
      <c r="G21" s="204" t="str">
        <f t="shared" ca="1" si="1"/>
        <v/>
      </c>
      <c r="H21" s="204" t="str">
        <f t="shared" ca="1" si="1"/>
        <v/>
      </c>
      <c r="I21" s="204" t="str">
        <f t="shared" ca="1" si="1"/>
        <v/>
      </c>
      <c r="J21" s="204" t="str">
        <f t="shared" ca="1" si="1"/>
        <v/>
      </c>
      <c r="K21" s="204" t="str">
        <f t="shared" ca="1" si="1"/>
        <v/>
      </c>
      <c r="L21" s="204">
        <f t="shared" ca="1" si="1"/>
        <v>1</v>
      </c>
      <c r="M21" s="204" t="str">
        <f t="shared" ca="1" si="1"/>
        <v/>
      </c>
      <c r="N21" s="319">
        <f ca="1">COUNTIF(Teams!$4:$27,A21)</f>
        <v>1</v>
      </c>
      <c r="O21" s="320">
        <f ca="1">VLOOKUP(A21,Score!B:Z,25,0)</f>
        <v>26.028781910090153</v>
      </c>
    </row>
    <row r="22" spans="1:19" s="262" customFormat="1">
      <c r="A22" s="313" t="s">
        <v>302</v>
      </c>
      <c r="B22" s="197" t="str">
        <f t="shared" ref="B22:M31" ca="1" si="2">IF(ISERROR(VLOOKUP($A22,INDIRECT(B$1&amp;"!"&amp;"c4:c27"),1,0)),"",$N22)</f>
        <v/>
      </c>
      <c r="C22" s="197" t="str">
        <f t="shared" ca="1" si="2"/>
        <v/>
      </c>
      <c r="D22" s="197" t="str">
        <f t="shared" ca="1" si="2"/>
        <v/>
      </c>
      <c r="E22" s="197">
        <f t="shared" ca="1" si="2"/>
        <v>2</v>
      </c>
      <c r="F22" s="197" t="str">
        <f t="shared" ca="1" si="2"/>
        <v/>
      </c>
      <c r="G22" s="197" t="str">
        <f t="shared" ca="1" si="2"/>
        <v/>
      </c>
      <c r="H22" s="197" t="str">
        <f t="shared" ca="1" si="2"/>
        <v/>
      </c>
      <c r="I22" s="197" t="str">
        <f t="shared" ca="1" si="2"/>
        <v/>
      </c>
      <c r="J22" s="197" t="str">
        <f t="shared" ca="1" si="2"/>
        <v/>
      </c>
      <c r="K22" s="197">
        <f t="shared" ca="1" si="2"/>
        <v>2</v>
      </c>
      <c r="L22" s="197" t="str">
        <f t="shared" ca="1" si="2"/>
        <v/>
      </c>
      <c r="M22" s="197" t="str">
        <f t="shared" ca="1" si="2"/>
        <v/>
      </c>
      <c r="N22" s="314">
        <f ca="1">COUNTIF(Teams!$4:$27,A22)</f>
        <v>2</v>
      </c>
      <c r="O22" s="199">
        <f ca="1">VLOOKUP(A22,Score!B:Z,25,0)</f>
        <v>104.04686180977619</v>
      </c>
    </row>
    <row r="23" spans="1:19" s="262" customFormat="1">
      <c r="A23" s="313" t="s">
        <v>52</v>
      </c>
      <c r="B23" s="197" t="str">
        <f t="shared" ca="1" si="2"/>
        <v/>
      </c>
      <c r="C23" s="197" t="str">
        <f t="shared" ca="1" si="2"/>
        <v/>
      </c>
      <c r="D23" s="197" t="str">
        <f t="shared" ca="1" si="2"/>
        <v/>
      </c>
      <c r="E23" s="197" t="str">
        <f t="shared" ca="1" si="2"/>
        <v/>
      </c>
      <c r="F23" s="197">
        <f t="shared" ca="1" si="2"/>
        <v>2</v>
      </c>
      <c r="G23" s="197" t="str">
        <f t="shared" ca="1" si="2"/>
        <v/>
      </c>
      <c r="H23" s="197" t="str">
        <f t="shared" ca="1" si="2"/>
        <v/>
      </c>
      <c r="I23" s="197">
        <f t="shared" ca="1" si="2"/>
        <v>2</v>
      </c>
      <c r="J23" s="197" t="str">
        <f t="shared" ca="1" si="2"/>
        <v/>
      </c>
      <c r="K23" s="197" t="str">
        <f t="shared" ca="1" si="2"/>
        <v/>
      </c>
      <c r="L23" s="197" t="str">
        <f t="shared" ca="1" si="2"/>
        <v/>
      </c>
      <c r="M23" s="197" t="str">
        <f t="shared" ca="1" si="2"/>
        <v/>
      </c>
      <c r="N23" s="314">
        <f ca="1">COUNTIF(Teams!$4:$27,A23)</f>
        <v>2</v>
      </c>
      <c r="O23" s="199">
        <f ca="1">VLOOKUP(A23,Score!B:Z,25,0)</f>
        <v>48.004053285702568</v>
      </c>
    </row>
    <row r="24" spans="1:19" s="262" customFormat="1">
      <c r="A24" s="346" t="s">
        <v>127</v>
      </c>
      <c r="B24" s="197" t="str">
        <f t="shared" ca="1" si="2"/>
        <v/>
      </c>
      <c r="C24" s="197" t="str">
        <f t="shared" ca="1" si="2"/>
        <v/>
      </c>
      <c r="D24" s="197" t="str">
        <f t="shared" ca="1" si="2"/>
        <v/>
      </c>
      <c r="E24" s="343">
        <f t="shared" ca="1" si="2"/>
        <v>2</v>
      </c>
      <c r="F24" s="197" t="str">
        <f t="shared" ca="1" si="2"/>
        <v/>
      </c>
      <c r="G24" s="197" t="str">
        <f t="shared" ca="1" si="2"/>
        <v/>
      </c>
      <c r="H24" s="197" t="str">
        <f t="shared" ca="1" si="2"/>
        <v/>
      </c>
      <c r="I24" s="197" t="str">
        <f t="shared" ca="1" si="2"/>
        <v/>
      </c>
      <c r="J24" s="197" t="str">
        <f t="shared" ca="1" si="2"/>
        <v/>
      </c>
      <c r="K24" s="343">
        <f t="shared" ca="1" si="2"/>
        <v>2</v>
      </c>
      <c r="L24" s="197" t="str">
        <f t="shared" ca="1" si="2"/>
        <v/>
      </c>
      <c r="M24" s="197" t="str">
        <f t="shared" ca="1" si="2"/>
        <v/>
      </c>
      <c r="N24" s="314">
        <f ca="1">COUNTIF(Teams!$4:$27,A24)</f>
        <v>2</v>
      </c>
      <c r="O24" s="199">
        <f ca="1">VLOOKUP(A24,Score!B:Z,25,0)</f>
        <v>264.06950400498454</v>
      </c>
    </row>
    <row r="25" spans="1:19" s="262" customFormat="1">
      <c r="A25" s="347" t="s">
        <v>221</v>
      </c>
      <c r="B25" s="204" t="str">
        <f t="shared" ca="1" si="2"/>
        <v/>
      </c>
      <c r="C25" s="204" t="str">
        <f t="shared" ca="1" si="2"/>
        <v/>
      </c>
      <c r="D25" s="344">
        <f t="shared" ca="1" si="2"/>
        <v>2</v>
      </c>
      <c r="E25" s="204" t="str">
        <f t="shared" ca="1" si="2"/>
        <v/>
      </c>
      <c r="F25" s="204" t="str">
        <f t="shared" ca="1" si="2"/>
        <v/>
      </c>
      <c r="G25" s="204" t="str">
        <f t="shared" ca="1" si="2"/>
        <v/>
      </c>
      <c r="H25" s="204" t="str">
        <f t="shared" ca="1" si="2"/>
        <v/>
      </c>
      <c r="I25" s="344">
        <f t="shared" ca="1" si="2"/>
        <v>2</v>
      </c>
      <c r="J25" s="204" t="str">
        <f t="shared" ca="1" si="2"/>
        <v/>
      </c>
      <c r="K25" s="204" t="str">
        <f t="shared" ca="1" si="2"/>
        <v/>
      </c>
      <c r="L25" s="204" t="str">
        <f t="shared" ca="1" si="2"/>
        <v/>
      </c>
      <c r="M25" s="204" t="str">
        <f t="shared" ca="1" si="2"/>
        <v/>
      </c>
      <c r="N25" s="319">
        <f ca="1">COUNTIF(Teams!$4:$27,A25)</f>
        <v>2</v>
      </c>
      <c r="O25" s="320">
        <f ca="1">VLOOKUP(A25,Score!B:Z,25,0)</f>
        <v>237.08506228460507</v>
      </c>
    </row>
    <row r="26" spans="1:19" s="262" customFormat="1">
      <c r="A26" s="313" t="s">
        <v>260</v>
      </c>
      <c r="B26" s="197" t="str">
        <f t="shared" ca="1" si="2"/>
        <v/>
      </c>
      <c r="C26" s="197" t="str">
        <f t="shared" ca="1" si="2"/>
        <v/>
      </c>
      <c r="D26" s="197" t="str">
        <f t="shared" ca="1" si="2"/>
        <v/>
      </c>
      <c r="E26" s="197" t="str">
        <f t="shared" ca="1" si="2"/>
        <v/>
      </c>
      <c r="F26" s="197" t="str">
        <f t="shared" ca="1" si="2"/>
        <v/>
      </c>
      <c r="G26" s="197">
        <f t="shared" ca="1" si="2"/>
        <v>3</v>
      </c>
      <c r="H26" s="197">
        <f t="shared" ca="1" si="2"/>
        <v>3</v>
      </c>
      <c r="I26" s="197">
        <f t="shared" ca="1" si="2"/>
        <v>3</v>
      </c>
      <c r="J26" s="197" t="str">
        <f t="shared" ca="1" si="2"/>
        <v/>
      </c>
      <c r="K26" s="197" t="str">
        <f t="shared" ca="1" si="2"/>
        <v/>
      </c>
      <c r="L26" s="197" t="str">
        <f t="shared" ca="1" si="2"/>
        <v/>
      </c>
      <c r="M26" s="197" t="str">
        <f t="shared" ca="1" si="2"/>
        <v/>
      </c>
      <c r="N26" s="314">
        <f ca="1">COUNTIF(Teams!$4:$27,A26)</f>
        <v>3</v>
      </c>
      <c r="O26" s="199">
        <f ca="1">VLOOKUP(A26,Score!B:Z,25,0)</f>
        <v>82.021647538499622</v>
      </c>
    </row>
    <row r="27" spans="1:19" s="262" customFormat="1">
      <c r="A27" s="313" t="s">
        <v>165</v>
      </c>
      <c r="B27" s="197" t="str">
        <f t="shared" ca="1" si="2"/>
        <v/>
      </c>
      <c r="C27" s="197" t="str">
        <f t="shared" ca="1" si="2"/>
        <v/>
      </c>
      <c r="D27" s="197">
        <f t="shared" ca="1" si="2"/>
        <v>3</v>
      </c>
      <c r="E27" s="197" t="str">
        <f t="shared" ca="1" si="2"/>
        <v/>
      </c>
      <c r="F27" s="197" t="str">
        <f t="shared" ca="1" si="2"/>
        <v/>
      </c>
      <c r="G27" s="197">
        <f t="shared" ca="1" si="2"/>
        <v>3</v>
      </c>
      <c r="H27" s="197" t="str">
        <f t="shared" ca="1" si="2"/>
        <v/>
      </c>
      <c r="I27" s="197" t="str">
        <f t="shared" ca="1" si="2"/>
        <v/>
      </c>
      <c r="J27" s="197" t="str">
        <f t="shared" ca="1" si="2"/>
        <v/>
      </c>
      <c r="K27" s="197" t="str">
        <f t="shared" ca="1" si="2"/>
        <v/>
      </c>
      <c r="L27" s="197" t="str">
        <f t="shared" ca="1" si="2"/>
        <v/>
      </c>
      <c r="M27" s="197">
        <f t="shared" ca="1" si="2"/>
        <v>3</v>
      </c>
      <c r="N27" s="314">
        <f ca="1">COUNTIF(Teams!$4:$27,A27)</f>
        <v>3</v>
      </c>
      <c r="O27" s="199">
        <f ca="1">VLOOKUP(A27,Score!B:Z,25,0)</f>
        <v>142.06456752185426</v>
      </c>
    </row>
    <row r="28" spans="1:19" s="262" customFormat="1">
      <c r="A28" s="313" t="s">
        <v>84</v>
      </c>
      <c r="B28" s="197" t="str">
        <f t="shared" ca="1" si="2"/>
        <v/>
      </c>
      <c r="C28" s="197" t="str">
        <f t="shared" ca="1" si="2"/>
        <v/>
      </c>
      <c r="D28" s="197" t="str">
        <f t="shared" ca="1" si="2"/>
        <v/>
      </c>
      <c r="E28" s="197" t="str">
        <f t="shared" ca="1" si="2"/>
        <v/>
      </c>
      <c r="F28" s="197" t="str">
        <f t="shared" ca="1" si="2"/>
        <v/>
      </c>
      <c r="G28" s="197">
        <f t="shared" ca="1" si="2"/>
        <v>3</v>
      </c>
      <c r="H28" s="197" t="str">
        <f t="shared" ca="1" si="2"/>
        <v/>
      </c>
      <c r="I28" s="197">
        <f t="shared" ca="1" si="2"/>
        <v>3</v>
      </c>
      <c r="J28" s="197">
        <f t="shared" ca="1" si="2"/>
        <v>3</v>
      </c>
      <c r="K28" s="197" t="str">
        <f t="shared" ca="1" si="2"/>
        <v/>
      </c>
      <c r="L28" s="197" t="str">
        <f t="shared" ca="1" si="2"/>
        <v/>
      </c>
      <c r="M28" s="197" t="str">
        <f t="shared" ca="1" si="2"/>
        <v/>
      </c>
      <c r="N28" s="314">
        <f ca="1">COUNTIF(Teams!$4:$27,A28)</f>
        <v>3</v>
      </c>
      <c r="O28" s="199">
        <f ca="1">VLOOKUP(A28,Score!B:Z,25,0)</f>
        <v>100.02430104077374</v>
      </c>
    </row>
    <row r="29" spans="1:19" s="262" customFormat="1">
      <c r="A29" s="313" t="s">
        <v>216</v>
      </c>
      <c r="B29" s="197" t="str">
        <f t="shared" ca="1" si="2"/>
        <v/>
      </c>
      <c r="C29" s="197" t="str">
        <f t="shared" ca="1" si="2"/>
        <v/>
      </c>
      <c r="D29" s="197" t="str">
        <f t="shared" ca="1" si="2"/>
        <v/>
      </c>
      <c r="E29" s="197" t="str">
        <f t="shared" ca="1" si="2"/>
        <v/>
      </c>
      <c r="F29" s="197" t="str">
        <f t="shared" ca="1" si="2"/>
        <v/>
      </c>
      <c r="G29" s="197" t="str">
        <f t="shared" ca="1" si="2"/>
        <v/>
      </c>
      <c r="H29" s="197">
        <f t="shared" ca="1" si="2"/>
        <v>3</v>
      </c>
      <c r="I29" s="197" t="str">
        <f t="shared" ca="1" si="2"/>
        <v/>
      </c>
      <c r="J29" s="197" t="str">
        <f t="shared" ca="1" si="2"/>
        <v/>
      </c>
      <c r="K29" s="197">
        <f t="shared" ca="1" si="2"/>
        <v>3</v>
      </c>
      <c r="L29" s="197" t="str">
        <f t="shared" ca="1" si="2"/>
        <v/>
      </c>
      <c r="M29" s="197">
        <f t="shared" ca="1" si="2"/>
        <v>3</v>
      </c>
      <c r="N29" s="314">
        <f ca="1">COUNTIF(Teams!$4:$27,A29)</f>
        <v>3</v>
      </c>
      <c r="O29" s="199">
        <f ca="1">VLOOKUP(A29,Score!B:Z,25,0)</f>
        <v>2.2283386634909939E-2</v>
      </c>
      <c r="S29" s="315"/>
    </row>
    <row r="30" spans="1:19" s="262" customFormat="1">
      <c r="A30" s="355" t="s">
        <v>240</v>
      </c>
      <c r="B30" s="197" t="str">
        <f t="shared" ca="1" si="2"/>
        <v/>
      </c>
      <c r="C30" s="197">
        <f t="shared" ca="1" si="2"/>
        <v>3</v>
      </c>
      <c r="D30" s="197">
        <f t="shared" ca="1" si="2"/>
        <v>3</v>
      </c>
      <c r="E30" s="197" t="str">
        <f t="shared" ca="1" si="2"/>
        <v/>
      </c>
      <c r="F30" s="197" t="str">
        <f t="shared" ca="1" si="2"/>
        <v/>
      </c>
      <c r="G30" s="197" t="str">
        <f t="shared" ca="1" si="2"/>
        <v/>
      </c>
      <c r="H30" s="197" t="str">
        <f t="shared" ca="1" si="2"/>
        <v/>
      </c>
      <c r="I30" s="197" t="str">
        <f t="shared" ca="1" si="2"/>
        <v/>
      </c>
      <c r="J30" s="197">
        <f t="shared" ca="1" si="2"/>
        <v>3</v>
      </c>
      <c r="K30" s="197" t="str">
        <f t="shared" ca="1" si="2"/>
        <v/>
      </c>
      <c r="L30" s="197" t="str">
        <f t="shared" ca="1" si="2"/>
        <v/>
      </c>
      <c r="M30" s="197" t="str">
        <f t="shared" ca="1" si="2"/>
        <v/>
      </c>
      <c r="N30" s="314">
        <f ca="1">COUNTIF(Teams!$4:$27,A30)</f>
        <v>3</v>
      </c>
      <c r="O30" s="199">
        <f ca="1">VLOOKUP(A30,Score!B:Z,25,0)</f>
        <v>1.7260791051733938E-2</v>
      </c>
    </row>
    <row r="31" spans="1:19" s="262" customFormat="1">
      <c r="A31" s="313" t="s">
        <v>303</v>
      </c>
      <c r="B31" s="197" t="str">
        <f t="shared" ca="1" si="2"/>
        <v/>
      </c>
      <c r="C31" s="197" t="str">
        <f t="shared" ca="1" si="2"/>
        <v/>
      </c>
      <c r="D31" s="197" t="str">
        <f t="shared" ca="1" si="2"/>
        <v/>
      </c>
      <c r="E31" s="197">
        <f t="shared" ca="1" si="2"/>
        <v>3</v>
      </c>
      <c r="F31" s="197" t="str">
        <f t="shared" ca="1" si="2"/>
        <v/>
      </c>
      <c r="G31" s="197" t="str">
        <f t="shared" ca="1" si="2"/>
        <v/>
      </c>
      <c r="H31" s="197" t="str">
        <f t="shared" ca="1" si="2"/>
        <v/>
      </c>
      <c r="I31" s="197" t="str">
        <f t="shared" ca="1" si="2"/>
        <v/>
      </c>
      <c r="J31" s="197">
        <f t="shared" ca="1" si="2"/>
        <v>3</v>
      </c>
      <c r="K31" s="197">
        <f t="shared" ca="1" si="2"/>
        <v>3</v>
      </c>
      <c r="L31" s="197" t="str">
        <f t="shared" ca="1" si="2"/>
        <v/>
      </c>
      <c r="M31" s="197" t="str">
        <f t="shared" ca="1" si="2"/>
        <v/>
      </c>
      <c r="N31" s="314">
        <f ca="1">COUNTIF(Teams!$4:$27,A31)</f>
        <v>3</v>
      </c>
      <c r="O31" s="199">
        <f ca="1">VLOOKUP(A31,Score!B:Z,25,0)</f>
        <v>9.6878941812040945E-2</v>
      </c>
    </row>
    <row r="32" spans="1:19" s="262" customFormat="1">
      <c r="A32" s="313" t="s">
        <v>282</v>
      </c>
      <c r="B32" s="197" t="str">
        <f t="shared" ref="B32:M41" ca="1" si="3">IF(ISERROR(VLOOKUP($A32,INDIRECT(B$1&amp;"!"&amp;"c4:c27"),1,0)),"",$N32)</f>
        <v/>
      </c>
      <c r="C32" s="197" t="str">
        <f t="shared" ca="1" si="3"/>
        <v/>
      </c>
      <c r="D32" s="197" t="str">
        <f t="shared" ca="1" si="3"/>
        <v/>
      </c>
      <c r="E32" s="197" t="str">
        <f t="shared" ca="1" si="3"/>
        <v/>
      </c>
      <c r="F32" s="197" t="str">
        <f t="shared" ca="1" si="3"/>
        <v/>
      </c>
      <c r="G32" s="197" t="str">
        <f t="shared" ca="1" si="3"/>
        <v/>
      </c>
      <c r="H32" s="197" t="str">
        <f t="shared" ca="1" si="3"/>
        <v/>
      </c>
      <c r="I32" s="197">
        <f t="shared" ca="1" si="3"/>
        <v>3</v>
      </c>
      <c r="J32" s="197">
        <f t="shared" ca="1" si="3"/>
        <v>3</v>
      </c>
      <c r="K32" s="197" t="str">
        <f t="shared" ca="1" si="3"/>
        <v/>
      </c>
      <c r="L32" s="197">
        <f t="shared" ca="1" si="3"/>
        <v>3</v>
      </c>
      <c r="M32" s="197" t="str">
        <f t="shared" ca="1" si="3"/>
        <v/>
      </c>
      <c r="N32" s="314">
        <f ca="1">COUNTIF(Teams!$4:$27,A32)</f>
        <v>3</v>
      </c>
      <c r="O32" s="199">
        <f ca="1">VLOOKUP(A32,Score!B:Z,25,0)</f>
        <v>22.090982594912507</v>
      </c>
    </row>
    <row r="33" spans="1:15" s="262" customFormat="1">
      <c r="A33" s="318" t="s">
        <v>118</v>
      </c>
      <c r="B33" s="204">
        <f t="shared" ca="1" si="3"/>
        <v>3</v>
      </c>
      <c r="C33" s="204" t="str">
        <f t="shared" ca="1" si="3"/>
        <v/>
      </c>
      <c r="D33" s="204" t="str">
        <f t="shared" ca="1" si="3"/>
        <v/>
      </c>
      <c r="E33" s="204" t="str">
        <f t="shared" ca="1" si="3"/>
        <v/>
      </c>
      <c r="F33" s="204">
        <f t="shared" ca="1" si="3"/>
        <v>3</v>
      </c>
      <c r="G33" s="204" t="str">
        <f t="shared" ca="1" si="3"/>
        <v/>
      </c>
      <c r="H33" s="204" t="str">
        <f t="shared" ca="1" si="3"/>
        <v/>
      </c>
      <c r="I33" s="204" t="str">
        <f t="shared" ca="1" si="3"/>
        <v/>
      </c>
      <c r="J33" s="204" t="str">
        <f t="shared" ca="1" si="3"/>
        <v/>
      </c>
      <c r="K33" s="204" t="str">
        <f t="shared" ca="1" si="3"/>
        <v/>
      </c>
      <c r="L33" s="204" t="str">
        <f t="shared" ca="1" si="3"/>
        <v/>
      </c>
      <c r="M33" s="204">
        <f t="shared" ca="1" si="3"/>
        <v>3</v>
      </c>
      <c r="N33" s="319">
        <f ca="1">COUNTIF(Teams!$4:$27,A33)</f>
        <v>3</v>
      </c>
      <c r="O33" s="320">
        <f ca="1">VLOOKUP(A33,Score!B:Z,25,0)</f>
        <v>37.097074911212545</v>
      </c>
    </row>
    <row r="34" spans="1:15" s="262" customFormat="1">
      <c r="A34" s="348" t="s">
        <v>70</v>
      </c>
      <c r="B34" s="342" t="str">
        <f t="shared" ca="1" si="3"/>
        <v/>
      </c>
      <c r="C34" s="342" t="str">
        <f t="shared" ca="1" si="3"/>
        <v/>
      </c>
      <c r="D34" s="342" t="str">
        <f t="shared" ca="1" si="3"/>
        <v/>
      </c>
      <c r="E34" s="342" t="str">
        <f t="shared" ca="1" si="3"/>
        <v/>
      </c>
      <c r="F34" s="342" t="str">
        <f t="shared" ca="1" si="3"/>
        <v/>
      </c>
      <c r="G34" s="342">
        <f t="shared" ca="1" si="3"/>
        <v>4</v>
      </c>
      <c r="H34" s="342">
        <f t="shared" ca="1" si="3"/>
        <v>4</v>
      </c>
      <c r="I34" s="342" t="str">
        <f t="shared" ca="1" si="3"/>
        <v/>
      </c>
      <c r="J34" s="342">
        <f t="shared" ca="1" si="3"/>
        <v>4</v>
      </c>
      <c r="K34" s="342">
        <f t="shared" ca="1" si="3"/>
        <v>4</v>
      </c>
      <c r="L34" s="342" t="str">
        <f t="shared" ca="1" si="3"/>
        <v/>
      </c>
      <c r="M34" s="342" t="str">
        <f t="shared" ca="1" si="3"/>
        <v/>
      </c>
      <c r="N34" s="349">
        <f ca="1">COUNTIF(Teams!$4:$27,A34)</f>
        <v>4</v>
      </c>
      <c r="O34" s="350">
        <f ca="1">VLOOKUP(A34,Score!B:Z,25,0)</f>
        <v>122.04417149935375</v>
      </c>
    </row>
    <row r="35" spans="1:15" s="262" customFormat="1">
      <c r="A35" s="318" t="s">
        <v>91</v>
      </c>
      <c r="B35" s="204" t="str">
        <f t="shared" ca="1" si="3"/>
        <v/>
      </c>
      <c r="C35" s="204">
        <f t="shared" ca="1" si="3"/>
        <v>4</v>
      </c>
      <c r="D35" s="204" t="str">
        <f t="shared" ca="1" si="3"/>
        <v/>
      </c>
      <c r="E35" s="204">
        <f t="shared" ca="1" si="3"/>
        <v>4</v>
      </c>
      <c r="F35" s="204" t="str">
        <f t="shared" ca="1" si="3"/>
        <v/>
      </c>
      <c r="G35" s="204" t="str">
        <f t="shared" ca="1" si="3"/>
        <v/>
      </c>
      <c r="H35" s="204" t="str">
        <f t="shared" ca="1" si="3"/>
        <v/>
      </c>
      <c r="I35" s="204">
        <f t="shared" ca="1" si="3"/>
        <v>4</v>
      </c>
      <c r="J35" s="204" t="str">
        <f t="shared" ca="1" si="3"/>
        <v/>
      </c>
      <c r="K35" s="204">
        <f t="shared" ca="1" si="3"/>
        <v>4</v>
      </c>
      <c r="L35" s="204" t="str">
        <f t="shared" ca="1" si="3"/>
        <v/>
      </c>
      <c r="M35" s="204" t="str">
        <f t="shared" ca="1" si="3"/>
        <v/>
      </c>
      <c r="N35" s="319">
        <f ca="1">COUNTIF(Teams!$4:$27,A35)</f>
        <v>4</v>
      </c>
      <c r="O35" s="320">
        <f ca="1">VLOOKUP(A35,Score!B:Z,25,0)</f>
        <v>116.0500805588597</v>
      </c>
    </row>
    <row r="36" spans="1:15" s="262" customFormat="1">
      <c r="A36" s="313" t="s">
        <v>231</v>
      </c>
      <c r="B36" s="197">
        <f t="shared" ca="1" si="3"/>
        <v>5</v>
      </c>
      <c r="C36" s="197" t="str">
        <f t="shared" ca="1" si="3"/>
        <v/>
      </c>
      <c r="D36" s="197">
        <f t="shared" ca="1" si="3"/>
        <v>5</v>
      </c>
      <c r="E36" s="197" t="str">
        <f t="shared" ca="1" si="3"/>
        <v/>
      </c>
      <c r="F36" s="197" t="str">
        <f t="shared" ca="1" si="3"/>
        <v/>
      </c>
      <c r="G36" s="197">
        <f t="shared" ca="1" si="3"/>
        <v>5</v>
      </c>
      <c r="H36" s="197" t="str">
        <f t="shared" ca="1" si="3"/>
        <v/>
      </c>
      <c r="I36" s="197" t="str">
        <f t="shared" ca="1" si="3"/>
        <v/>
      </c>
      <c r="J36" s="197" t="str">
        <f t="shared" ca="1" si="3"/>
        <v/>
      </c>
      <c r="K36" s="197" t="str">
        <f t="shared" ca="1" si="3"/>
        <v/>
      </c>
      <c r="L36" s="197">
        <f t="shared" ca="1" si="3"/>
        <v>5</v>
      </c>
      <c r="M36" s="197">
        <f t="shared" ca="1" si="3"/>
        <v>5</v>
      </c>
      <c r="N36" s="314">
        <f ca="1">COUNTIF(Teams!$4:$27,A36)</f>
        <v>5</v>
      </c>
      <c r="O36" s="199">
        <f ca="1">VLOOKUP(A36,Score!B:Z,25,0)</f>
        <v>65.093085547617974</v>
      </c>
    </row>
    <row r="37" spans="1:15" s="262" customFormat="1">
      <c r="A37" s="313" t="s">
        <v>105</v>
      </c>
      <c r="B37" s="197">
        <f t="shared" ca="1" si="3"/>
        <v>5</v>
      </c>
      <c r="C37" s="197">
        <f t="shared" ca="1" si="3"/>
        <v>5</v>
      </c>
      <c r="D37" s="197">
        <f t="shared" ca="1" si="3"/>
        <v>5</v>
      </c>
      <c r="E37" s="197" t="str">
        <f t="shared" ca="1" si="3"/>
        <v/>
      </c>
      <c r="F37" s="197">
        <f t="shared" ca="1" si="3"/>
        <v>5</v>
      </c>
      <c r="G37" s="197" t="str">
        <f t="shared" ca="1" si="3"/>
        <v/>
      </c>
      <c r="H37" s="197" t="str">
        <f t="shared" ca="1" si="3"/>
        <v/>
      </c>
      <c r="I37" s="197">
        <f t="shared" ca="1" si="3"/>
        <v>5</v>
      </c>
      <c r="J37" s="197" t="str">
        <f t="shared" ca="1" si="3"/>
        <v/>
      </c>
      <c r="K37" s="197" t="str">
        <f t="shared" ca="1" si="3"/>
        <v/>
      </c>
      <c r="L37" s="197" t="str">
        <f t="shared" ca="1" si="3"/>
        <v/>
      </c>
      <c r="M37" s="197" t="str">
        <f t="shared" ca="1" si="3"/>
        <v/>
      </c>
      <c r="N37" s="314">
        <f ca="1">COUNTIF(Teams!$4:$27,A37)</f>
        <v>5</v>
      </c>
      <c r="O37" s="199">
        <f ca="1">VLOOKUP(A37,Score!B:Z,25,0)</f>
        <v>241.049165623199</v>
      </c>
    </row>
    <row r="38" spans="1:15" s="262" customFormat="1">
      <c r="A38" s="356" t="s">
        <v>198</v>
      </c>
      <c r="B38" s="204">
        <f t="shared" ca="1" si="3"/>
        <v>5</v>
      </c>
      <c r="C38" s="204">
        <f t="shared" ca="1" si="3"/>
        <v>5</v>
      </c>
      <c r="D38" s="204">
        <f t="shared" ca="1" si="3"/>
        <v>5</v>
      </c>
      <c r="E38" s="204">
        <f t="shared" ca="1" si="3"/>
        <v>5</v>
      </c>
      <c r="F38" s="204">
        <f t="shared" ca="1" si="3"/>
        <v>5</v>
      </c>
      <c r="G38" s="204" t="str">
        <f t="shared" ca="1" si="3"/>
        <v/>
      </c>
      <c r="H38" s="204" t="str">
        <f t="shared" ca="1" si="3"/>
        <v/>
      </c>
      <c r="I38" s="204" t="str">
        <f t="shared" ca="1" si="3"/>
        <v/>
      </c>
      <c r="J38" s="204" t="str">
        <f t="shared" ca="1" si="3"/>
        <v/>
      </c>
      <c r="K38" s="204" t="str">
        <f t="shared" ca="1" si="3"/>
        <v/>
      </c>
      <c r="L38" s="204" t="str">
        <f t="shared" ca="1" si="3"/>
        <v/>
      </c>
      <c r="M38" s="204" t="str">
        <f t="shared" ca="1" si="3"/>
        <v/>
      </c>
      <c r="N38" s="319">
        <f ca="1">COUNTIF(Teams!$4:$27,A38)</f>
        <v>5</v>
      </c>
      <c r="O38" s="320">
        <f ca="1">VLOOKUP(A38,Score!B:Z,25,0)</f>
        <v>1.2655944708530775E-2</v>
      </c>
    </row>
    <row r="39" spans="1:15" s="262" customFormat="1" ht="14.4" thickBot="1">
      <c r="A39" s="351" t="s">
        <v>112</v>
      </c>
      <c r="B39" s="352">
        <f t="shared" ca="1" si="3"/>
        <v>6</v>
      </c>
      <c r="C39" s="352" t="str">
        <f t="shared" ca="1" si="3"/>
        <v/>
      </c>
      <c r="D39" s="352" t="str">
        <f t="shared" ca="1" si="3"/>
        <v/>
      </c>
      <c r="E39" s="352">
        <f t="shared" ca="1" si="3"/>
        <v>6</v>
      </c>
      <c r="F39" s="352">
        <f t="shared" ca="1" si="3"/>
        <v>6</v>
      </c>
      <c r="G39" s="352" t="str">
        <f t="shared" ca="1" si="3"/>
        <v/>
      </c>
      <c r="H39" s="352" t="str">
        <f t="shared" ca="1" si="3"/>
        <v/>
      </c>
      <c r="I39" s="352">
        <f t="shared" ca="1" si="3"/>
        <v>6</v>
      </c>
      <c r="J39" s="352" t="str">
        <f t="shared" ca="1" si="3"/>
        <v/>
      </c>
      <c r="K39" s="352">
        <f t="shared" ca="1" si="3"/>
        <v>6</v>
      </c>
      <c r="L39" s="352" t="str">
        <f t="shared" ca="1" si="3"/>
        <v/>
      </c>
      <c r="M39" s="352">
        <f t="shared" ca="1" si="3"/>
        <v>6</v>
      </c>
      <c r="N39" s="353">
        <f ca="1">COUNTIF(Teams!$4:$27,A39)</f>
        <v>6</v>
      </c>
      <c r="O39" s="354">
        <f ca="1">VLOOKUP(A39,Score!B:Z,25,0)</f>
        <v>121.07513679097575</v>
      </c>
    </row>
    <row r="40" spans="1:15" s="262" customFormat="1">
      <c r="A40" s="313" t="s">
        <v>130</v>
      </c>
      <c r="B40" s="197">
        <f t="shared" ca="1" si="3"/>
        <v>8</v>
      </c>
      <c r="C40" s="197">
        <f t="shared" ca="1" si="3"/>
        <v>8</v>
      </c>
      <c r="D40" s="197">
        <f t="shared" ca="1" si="3"/>
        <v>8</v>
      </c>
      <c r="E40" s="197">
        <f t="shared" ca="1" si="3"/>
        <v>8</v>
      </c>
      <c r="F40" s="197">
        <f t="shared" ca="1" si="3"/>
        <v>8</v>
      </c>
      <c r="G40" s="197">
        <f t="shared" ca="1" si="3"/>
        <v>8</v>
      </c>
      <c r="H40" s="197">
        <f t="shared" ca="1" si="3"/>
        <v>8</v>
      </c>
      <c r="I40" s="197">
        <f t="shared" ca="1" si="3"/>
        <v>8</v>
      </c>
      <c r="J40" s="197" t="str">
        <f t="shared" ca="1" si="3"/>
        <v/>
      </c>
      <c r="K40" s="197" t="str">
        <f t="shared" ca="1" si="3"/>
        <v/>
      </c>
      <c r="L40" s="197" t="str">
        <f t="shared" ca="1" si="3"/>
        <v/>
      </c>
      <c r="M40" s="197" t="str">
        <f t="shared" ca="1" si="3"/>
        <v/>
      </c>
      <c r="N40" s="314">
        <f ca="1">COUNTIF(Teams!$4:$27,A40)</f>
        <v>8</v>
      </c>
      <c r="O40" s="199">
        <f ca="1">VLOOKUP(A40,Score!B:Z,25,0)</f>
        <v>125.03457278117838</v>
      </c>
    </row>
    <row r="41" spans="1:15" s="262" customFormat="1">
      <c r="A41" s="313" t="s">
        <v>200</v>
      </c>
      <c r="B41" s="197">
        <f t="shared" ca="1" si="3"/>
        <v>8</v>
      </c>
      <c r="C41" s="197">
        <f t="shared" ca="1" si="3"/>
        <v>8</v>
      </c>
      <c r="D41" s="197">
        <f t="shared" ca="1" si="3"/>
        <v>8</v>
      </c>
      <c r="E41" s="197">
        <f t="shared" ca="1" si="3"/>
        <v>8</v>
      </c>
      <c r="F41" s="197">
        <f t="shared" ca="1" si="3"/>
        <v>8</v>
      </c>
      <c r="G41" s="197" t="str">
        <f t="shared" ca="1" si="3"/>
        <v/>
      </c>
      <c r="H41" s="197">
        <f t="shared" ca="1" si="3"/>
        <v>8</v>
      </c>
      <c r="I41" s="197">
        <f t="shared" ca="1" si="3"/>
        <v>8</v>
      </c>
      <c r="J41" s="197" t="str">
        <f t="shared" ca="1" si="3"/>
        <v/>
      </c>
      <c r="K41" s="197" t="str">
        <f t="shared" ca="1" si="3"/>
        <v/>
      </c>
      <c r="L41" s="197" t="str">
        <f t="shared" ca="1" si="3"/>
        <v/>
      </c>
      <c r="M41" s="197">
        <f t="shared" ca="1" si="3"/>
        <v>8</v>
      </c>
      <c r="N41" s="314">
        <f ca="1">COUNTIF(Teams!$4:$27,A41)</f>
        <v>8</v>
      </c>
      <c r="O41" s="199">
        <f ca="1">VLOOKUP(A41,Score!B:Z,25,0)</f>
        <v>298.05243185002541</v>
      </c>
    </row>
    <row r="42" spans="1:15" s="262" customFormat="1">
      <c r="A42" s="356" t="s">
        <v>44</v>
      </c>
      <c r="B42" s="204">
        <f t="shared" ref="B42:M51" ca="1" si="4">IF(ISERROR(VLOOKUP($A42,INDIRECT(B$1&amp;"!"&amp;"c4:c27"),1,0)),"",$N42)</f>
        <v>8</v>
      </c>
      <c r="C42" s="204" t="str">
        <f t="shared" ca="1" si="4"/>
        <v/>
      </c>
      <c r="D42" s="204">
        <f t="shared" ca="1" si="4"/>
        <v>8</v>
      </c>
      <c r="E42" s="204">
        <f t="shared" ca="1" si="4"/>
        <v>8</v>
      </c>
      <c r="F42" s="204">
        <f t="shared" ca="1" si="4"/>
        <v>8</v>
      </c>
      <c r="G42" s="204" t="str">
        <f t="shared" ca="1" si="4"/>
        <v/>
      </c>
      <c r="H42" s="204">
        <f t="shared" ca="1" si="4"/>
        <v>8</v>
      </c>
      <c r="I42" s="204" t="str">
        <f t="shared" ca="1" si="4"/>
        <v/>
      </c>
      <c r="J42" s="204">
        <f t="shared" ca="1" si="4"/>
        <v>8</v>
      </c>
      <c r="K42" s="204">
        <f t="shared" ca="1" si="4"/>
        <v>8</v>
      </c>
      <c r="L42" s="204" t="str">
        <f t="shared" ca="1" si="4"/>
        <v/>
      </c>
      <c r="M42" s="204">
        <f t="shared" ca="1" si="4"/>
        <v>8</v>
      </c>
      <c r="N42" s="319">
        <f ca="1">COUNTIF(Teams!$4:$27,A42)</f>
        <v>8</v>
      </c>
      <c r="O42" s="320">
        <f ca="1">VLOOKUP(A42,Score!B:Z,25,0)</f>
        <v>33.099982953655292</v>
      </c>
    </row>
    <row r="43" spans="1:15" s="262" customFormat="1">
      <c r="A43" s="313" t="s">
        <v>243</v>
      </c>
      <c r="B43" s="197">
        <f t="shared" ca="1" si="4"/>
        <v>9</v>
      </c>
      <c r="C43" s="197">
        <f t="shared" ca="1" si="4"/>
        <v>9</v>
      </c>
      <c r="D43" s="197">
        <f t="shared" ca="1" si="4"/>
        <v>9</v>
      </c>
      <c r="E43" s="197">
        <f t="shared" ca="1" si="4"/>
        <v>9</v>
      </c>
      <c r="F43" s="197" t="str">
        <f t="shared" ca="1" si="4"/>
        <v/>
      </c>
      <c r="G43" s="197">
        <f t="shared" ca="1" si="4"/>
        <v>9</v>
      </c>
      <c r="H43" s="197">
        <f t="shared" ca="1" si="4"/>
        <v>9</v>
      </c>
      <c r="I43" s="197" t="str">
        <f t="shared" ca="1" si="4"/>
        <v/>
      </c>
      <c r="J43" s="197">
        <f t="shared" ca="1" si="4"/>
        <v>9</v>
      </c>
      <c r="K43" s="197">
        <f t="shared" ca="1" si="4"/>
        <v>9</v>
      </c>
      <c r="L43" s="197">
        <f t="shared" ca="1" si="4"/>
        <v>9</v>
      </c>
      <c r="M43" s="197" t="str">
        <f t="shared" ca="1" si="4"/>
        <v/>
      </c>
      <c r="N43" s="314">
        <f ca="1">COUNTIF(Teams!$4:$27,A43)</f>
        <v>9</v>
      </c>
      <c r="O43" s="199">
        <f ca="1">VLOOKUP(A43,Score!B:Z,25,0)</f>
        <v>47.089298795162897</v>
      </c>
    </row>
    <row r="44" spans="1:15" s="262" customFormat="1">
      <c r="A44" s="313" t="s">
        <v>171</v>
      </c>
      <c r="B44" s="197">
        <f t="shared" ca="1" si="4"/>
        <v>9</v>
      </c>
      <c r="C44" s="197">
        <f t="shared" ca="1" si="4"/>
        <v>9</v>
      </c>
      <c r="D44" s="197">
        <f t="shared" ca="1" si="4"/>
        <v>9</v>
      </c>
      <c r="E44" s="197">
        <f t="shared" ca="1" si="4"/>
        <v>9</v>
      </c>
      <c r="F44" s="197">
        <f t="shared" ca="1" si="4"/>
        <v>9</v>
      </c>
      <c r="G44" s="197">
        <f t="shared" ca="1" si="4"/>
        <v>9</v>
      </c>
      <c r="H44" s="197">
        <f t="shared" ca="1" si="4"/>
        <v>9</v>
      </c>
      <c r="I44" s="197" t="str">
        <f t="shared" ca="1" si="4"/>
        <v/>
      </c>
      <c r="J44" s="197">
        <f t="shared" ca="1" si="4"/>
        <v>9</v>
      </c>
      <c r="K44" s="197" t="str">
        <f t="shared" ca="1" si="4"/>
        <v/>
      </c>
      <c r="L44" s="197">
        <f t="shared" ca="1" si="4"/>
        <v>9</v>
      </c>
      <c r="M44" s="197" t="str">
        <f t="shared" ca="1" si="4"/>
        <v/>
      </c>
      <c r="N44" s="314">
        <f ca="1">COUNTIF(Teams!$4:$27,A44)</f>
        <v>9</v>
      </c>
      <c r="O44" s="199">
        <f ca="1">VLOOKUP(A44,Score!B:Z,25,0)</f>
        <v>78.03523460066333</v>
      </c>
    </row>
    <row r="45" spans="1:15" s="262" customFormat="1">
      <c r="A45" s="313" t="s">
        <v>154</v>
      </c>
      <c r="B45" s="197">
        <f t="shared" ca="1" si="4"/>
        <v>9</v>
      </c>
      <c r="C45" s="197">
        <f t="shared" ca="1" si="4"/>
        <v>9</v>
      </c>
      <c r="D45" s="197" t="str">
        <f t="shared" ca="1" si="4"/>
        <v/>
      </c>
      <c r="E45" s="197" t="str">
        <f t="shared" ca="1" si="4"/>
        <v/>
      </c>
      <c r="F45" s="197">
        <f t="shared" ca="1" si="4"/>
        <v>9</v>
      </c>
      <c r="G45" s="197">
        <f t="shared" ca="1" si="4"/>
        <v>9</v>
      </c>
      <c r="H45" s="197" t="str">
        <f t="shared" ca="1" si="4"/>
        <v/>
      </c>
      <c r="I45" s="197">
        <f t="shared" ca="1" si="4"/>
        <v>9</v>
      </c>
      <c r="J45" s="197">
        <f t="shared" ca="1" si="4"/>
        <v>9</v>
      </c>
      <c r="K45" s="197">
        <f t="shared" ca="1" si="4"/>
        <v>9</v>
      </c>
      <c r="L45" s="197">
        <f t="shared" ca="1" si="4"/>
        <v>9</v>
      </c>
      <c r="M45" s="197">
        <f t="shared" ca="1" si="4"/>
        <v>9</v>
      </c>
      <c r="N45" s="314">
        <f ca="1">COUNTIF(Teams!$4:$27,A45)</f>
        <v>9</v>
      </c>
      <c r="O45" s="199">
        <f ca="1">VLOOKUP(A45,Score!B:Z,25,0)</f>
        <v>128.00907381152805</v>
      </c>
    </row>
    <row r="46" spans="1:15" s="262" customFormat="1">
      <c r="A46" s="313" t="s">
        <v>202</v>
      </c>
      <c r="B46" s="197">
        <f t="shared" ca="1" si="4"/>
        <v>9</v>
      </c>
      <c r="C46" s="197">
        <f t="shared" ca="1" si="4"/>
        <v>9</v>
      </c>
      <c r="D46" s="197">
        <f t="shared" ca="1" si="4"/>
        <v>9</v>
      </c>
      <c r="E46" s="197" t="str">
        <f t="shared" ca="1" si="4"/>
        <v/>
      </c>
      <c r="F46" s="197">
        <f t="shared" ca="1" si="4"/>
        <v>9</v>
      </c>
      <c r="G46" s="197">
        <f t="shared" ca="1" si="4"/>
        <v>9</v>
      </c>
      <c r="H46" s="197">
        <f t="shared" ca="1" si="4"/>
        <v>9</v>
      </c>
      <c r="I46" s="197">
        <f t="shared" ca="1" si="4"/>
        <v>9</v>
      </c>
      <c r="J46" s="197" t="str">
        <f t="shared" ca="1" si="4"/>
        <v/>
      </c>
      <c r="K46" s="197">
        <f t="shared" ca="1" si="4"/>
        <v>9</v>
      </c>
      <c r="L46" s="197">
        <f t="shared" ca="1" si="4"/>
        <v>9</v>
      </c>
      <c r="M46" s="197" t="str">
        <f t="shared" ca="1" si="4"/>
        <v/>
      </c>
      <c r="N46" s="314">
        <f ca="1">COUNTIF(Teams!$4:$27,A46)</f>
        <v>9</v>
      </c>
      <c r="O46" s="199">
        <f ca="1">VLOOKUP(A46,Score!B:Z,25,0)</f>
        <v>182.03593988624741</v>
      </c>
    </row>
    <row r="47" spans="1:15" s="262" customFormat="1">
      <c r="A47" s="318" t="s">
        <v>75</v>
      </c>
      <c r="B47" s="204">
        <f t="shared" ca="1" si="4"/>
        <v>9</v>
      </c>
      <c r="C47" s="204">
        <f t="shared" ca="1" si="4"/>
        <v>9</v>
      </c>
      <c r="D47" s="204" t="str">
        <f t="shared" ca="1" si="4"/>
        <v/>
      </c>
      <c r="E47" s="204">
        <f t="shared" ca="1" si="4"/>
        <v>9</v>
      </c>
      <c r="F47" s="204">
        <f t="shared" ca="1" si="4"/>
        <v>9</v>
      </c>
      <c r="G47" s="204">
        <f t="shared" ca="1" si="4"/>
        <v>9</v>
      </c>
      <c r="H47" s="204">
        <f t="shared" ca="1" si="4"/>
        <v>9</v>
      </c>
      <c r="I47" s="204">
        <f t="shared" ca="1" si="4"/>
        <v>9</v>
      </c>
      <c r="J47" s="204">
        <f t="shared" ca="1" si="4"/>
        <v>9</v>
      </c>
      <c r="K47" s="204" t="str">
        <f t="shared" ca="1" si="4"/>
        <v/>
      </c>
      <c r="L47" s="204" t="str">
        <f t="shared" ca="1" si="4"/>
        <v/>
      </c>
      <c r="M47" s="204">
        <f t="shared" ca="1" si="4"/>
        <v>9</v>
      </c>
      <c r="N47" s="319">
        <f ca="1">COUNTIF(Teams!$4:$27,A47)</f>
        <v>9</v>
      </c>
      <c r="O47" s="320">
        <f ca="1">VLOOKUP(A47,Score!B:Z,25,0)</f>
        <v>363.06351184747467</v>
      </c>
    </row>
    <row r="48" spans="1:15" s="262" customFormat="1">
      <c r="A48" s="313" t="s">
        <v>151</v>
      </c>
      <c r="B48" s="342" t="str">
        <f t="shared" ca="1" si="4"/>
        <v/>
      </c>
      <c r="C48" s="342">
        <f t="shared" ca="1" si="4"/>
        <v>10</v>
      </c>
      <c r="D48" s="342">
        <f t="shared" ca="1" si="4"/>
        <v>10</v>
      </c>
      <c r="E48" s="342">
        <f t="shared" ca="1" si="4"/>
        <v>10</v>
      </c>
      <c r="F48" s="342">
        <f t="shared" ca="1" si="4"/>
        <v>10</v>
      </c>
      <c r="G48" s="342">
        <f t="shared" ca="1" si="4"/>
        <v>10</v>
      </c>
      <c r="H48" s="342">
        <f t="shared" ca="1" si="4"/>
        <v>10</v>
      </c>
      <c r="I48" s="342">
        <f t="shared" ca="1" si="4"/>
        <v>10</v>
      </c>
      <c r="J48" s="342">
        <f t="shared" ca="1" si="4"/>
        <v>10</v>
      </c>
      <c r="K48" s="342" t="str">
        <f t="shared" ca="1" si="4"/>
        <v/>
      </c>
      <c r="L48" s="342">
        <f t="shared" ca="1" si="4"/>
        <v>10</v>
      </c>
      <c r="M48" s="342">
        <f t="shared" ca="1" si="4"/>
        <v>10</v>
      </c>
      <c r="N48" s="314">
        <f ca="1">COUNTIF(Teams!$4:$27,A48)</f>
        <v>10</v>
      </c>
      <c r="O48" s="199">
        <f ca="1">VLOOKUP(A48,Score!B:Z,25,0)</f>
        <v>64.004078220764413</v>
      </c>
    </row>
    <row r="49" spans="1:18" s="262" customFormat="1">
      <c r="A49" s="318" t="s">
        <v>233</v>
      </c>
      <c r="B49" s="204">
        <f t="shared" ca="1" si="4"/>
        <v>10</v>
      </c>
      <c r="C49" s="204">
        <f t="shared" ca="1" si="4"/>
        <v>10</v>
      </c>
      <c r="D49" s="204">
        <f t="shared" ca="1" si="4"/>
        <v>10</v>
      </c>
      <c r="E49" s="204">
        <f t="shared" ca="1" si="4"/>
        <v>10</v>
      </c>
      <c r="F49" s="204" t="str">
        <f t="shared" ca="1" si="4"/>
        <v/>
      </c>
      <c r="G49" s="204">
        <f t="shared" ca="1" si="4"/>
        <v>10</v>
      </c>
      <c r="H49" s="204">
        <f t="shared" ca="1" si="4"/>
        <v>10</v>
      </c>
      <c r="I49" s="204">
        <f t="shared" ca="1" si="4"/>
        <v>10</v>
      </c>
      <c r="J49" s="204" t="str">
        <f t="shared" ca="1" si="4"/>
        <v/>
      </c>
      <c r="K49" s="204">
        <f t="shared" ca="1" si="4"/>
        <v>10</v>
      </c>
      <c r="L49" s="204">
        <f t="shared" ca="1" si="4"/>
        <v>10</v>
      </c>
      <c r="M49" s="204">
        <f t="shared" ca="1" si="4"/>
        <v>10</v>
      </c>
      <c r="N49" s="319">
        <f ca="1">COUNTIF(Teams!$4:$27,A49)</f>
        <v>10</v>
      </c>
      <c r="O49" s="320">
        <f ca="1">VLOOKUP(A49,Score!B:Z,25,0)</f>
        <v>241.01827223594739</v>
      </c>
    </row>
    <row r="50" spans="1:18" s="262" customFormat="1">
      <c r="A50" s="355" t="s">
        <v>213</v>
      </c>
      <c r="B50" s="197">
        <f t="shared" ca="1" si="4"/>
        <v>11</v>
      </c>
      <c r="C50" s="197">
        <f t="shared" ca="1" si="4"/>
        <v>11</v>
      </c>
      <c r="D50" s="197">
        <f t="shared" ca="1" si="4"/>
        <v>11</v>
      </c>
      <c r="E50" s="197">
        <f t="shared" ca="1" si="4"/>
        <v>11</v>
      </c>
      <c r="F50" s="197">
        <f t="shared" ca="1" si="4"/>
        <v>11</v>
      </c>
      <c r="G50" s="197">
        <f t="shared" ca="1" si="4"/>
        <v>11</v>
      </c>
      <c r="H50" s="197">
        <f t="shared" ca="1" si="4"/>
        <v>11</v>
      </c>
      <c r="I50" s="197" t="str">
        <f t="shared" ca="1" si="4"/>
        <v/>
      </c>
      <c r="J50" s="197">
        <f t="shared" ca="1" si="4"/>
        <v>11</v>
      </c>
      <c r="K50" s="197">
        <f t="shared" ca="1" si="4"/>
        <v>11</v>
      </c>
      <c r="L50" s="197">
        <f t="shared" ca="1" si="4"/>
        <v>11</v>
      </c>
      <c r="M50" s="197">
        <f t="shared" ca="1" si="4"/>
        <v>11</v>
      </c>
      <c r="N50" s="314">
        <f ca="1">COUNTIF(Teams!$4:$27,A50)</f>
        <v>11</v>
      </c>
      <c r="O50" s="199">
        <f ca="1">VLOOKUP(A50,Score!B:Z,25,0)</f>
        <v>1.5192218276981384E-2</v>
      </c>
    </row>
    <row r="51" spans="1:18" s="262" customFormat="1">
      <c r="A51" s="318" t="s">
        <v>242</v>
      </c>
      <c r="B51" s="204">
        <f t="shared" ca="1" si="4"/>
        <v>11</v>
      </c>
      <c r="C51" s="204">
        <f t="shared" ca="1" si="4"/>
        <v>11</v>
      </c>
      <c r="D51" s="204">
        <f t="shared" ca="1" si="4"/>
        <v>11</v>
      </c>
      <c r="E51" s="204">
        <f t="shared" ca="1" si="4"/>
        <v>11</v>
      </c>
      <c r="F51" s="204">
        <f t="shared" ca="1" si="4"/>
        <v>11</v>
      </c>
      <c r="G51" s="204">
        <f t="shared" ca="1" si="4"/>
        <v>11</v>
      </c>
      <c r="H51" s="204">
        <f t="shared" ca="1" si="4"/>
        <v>11</v>
      </c>
      <c r="I51" s="204">
        <f t="shared" ca="1" si="4"/>
        <v>11</v>
      </c>
      <c r="J51" s="204">
        <f t="shared" ca="1" si="4"/>
        <v>11</v>
      </c>
      <c r="K51" s="204">
        <f t="shared" ca="1" si="4"/>
        <v>11</v>
      </c>
      <c r="L51" s="204">
        <f t="shared" ca="1" si="4"/>
        <v>11</v>
      </c>
      <c r="M51" s="204" t="str">
        <f t="shared" ca="1" si="4"/>
        <v/>
      </c>
      <c r="N51" s="319">
        <f ca="1">COUNTIF(Teams!$4:$27,A51)</f>
        <v>11</v>
      </c>
      <c r="O51" s="320">
        <f ca="1">VLOOKUP(A51,Score!B:Z,25,0)</f>
        <v>240.01329255329725</v>
      </c>
    </row>
    <row r="52" spans="1:18" s="262" customFormat="1">
      <c r="A52" s="313" t="s">
        <v>239</v>
      </c>
      <c r="B52" s="197">
        <f t="shared" ref="B52:M60" ca="1" si="5">IF(ISERROR(VLOOKUP($A52,INDIRECT(B$1&amp;"!"&amp;"c4:c27"),1,0)),"",$N52)</f>
        <v>12</v>
      </c>
      <c r="C52" s="197">
        <f t="shared" ca="1" si="5"/>
        <v>12</v>
      </c>
      <c r="D52" s="197">
        <f t="shared" ca="1" si="5"/>
        <v>12</v>
      </c>
      <c r="E52" s="197">
        <f t="shared" ca="1" si="5"/>
        <v>12</v>
      </c>
      <c r="F52" s="197">
        <f t="shared" ca="1" si="5"/>
        <v>12</v>
      </c>
      <c r="G52" s="197">
        <f t="shared" ca="1" si="5"/>
        <v>12</v>
      </c>
      <c r="H52" s="197">
        <f t="shared" ca="1" si="5"/>
        <v>12</v>
      </c>
      <c r="I52" s="197">
        <f t="shared" ca="1" si="5"/>
        <v>12</v>
      </c>
      <c r="J52" s="197">
        <f t="shared" ca="1" si="5"/>
        <v>12</v>
      </c>
      <c r="K52" s="197">
        <f t="shared" ca="1" si="5"/>
        <v>12</v>
      </c>
      <c r="L52" s="197">
        <f t="shared" ca="1" si="5"/>
        <v>12</v>
      </c>
      <c r="M52" s="197">
        <f t="shared" ca="1" si="5"/>
        <v>12</v>
      </c>
      <c r="N52" s="314">
        <f ca="1">COUNTIF(Teams!$4:$27,A52)</f>
        <v>12</v>
      </c>
      <c r="O52" s="199">
        <f ca="1">VLOOKUP(A52,Score!B:Z,25,0)</f>
        <v>155.01471988537023</v>
      </c>
    </row>
    <row r="53" spans="1:18" s="262" customFormat="1">
      <c r="A53" s="313" t="s">
        <v>156</v>
      </c>
      <c r="B53" s="197">
        <f t="shared" ca="1" si="5"/>
        <v>12</v>
      </c>
      <c r="C53" s="197">
        <f t="shared" ca="1" si="5"/>
        <v>12</v>
      </c>
      <c r="D53" s="197">
        <f t="shared" ca="1" si="5"/>
        <v>12</v>
      </c>
      <c r="E53" s="197">
        <f t="shared" ca="1" si="5"/>
        <v>12</v>
      </c>
      <c r="F53" s="197">
        <f t="shared" ca="1" si="5"/>
        <v>12</v>
      </c>
      <c r="G53" s="197">
        <f t="shared" ca="1" si="5"/>
        <v>12</v>
      </c>
      <c r="H53" s="197">
        <f t="shared" ca="1" si="5"/>
        <v>12</v>
      </c>
      <c r="I53" s="197">
        <f t="shared" ca="1" si="5"/>
        <v>12</v>
      </c>
      <c r="J53" s="197">
        <f t="shared" ca="1" si="5"/>
        <v>12</v>
      </c>
      <c r="K53" s="197">
        <f t="shared" ca="1" si="5"/>
        <v>12</v>
      </c>
      <c r="L53" s="197">
        <f t="shared" ca="1" si="5"/>
        <v>12</v>
      </c>
      <c r="M53" s="197">
        <f t="shared" ca="1" si="5"/>
        <v>12</v>
      </c>
      <c r="N53" s="314">
        <f ca="1">COUNTIF(Teams!$4:$27,A53)</f>
        <v>12</v>
      </c>
      <c r="O53" s="199">
        <f ca="1">VLOOKUP(A53,Score!B:Z,25,0)</f>
        <v>472.01070520640775</v>
      </c>
    </row>
    <row r="54" spans="1:18" s="262" customFormat="1">
      <c r="A54" s="355" t="s">
        <v>195</v>
      </c>
      <c r="B54" s="197">
        <f t="shared" ca="1" si="5"/>
        <v>12</v>
      </c>
      <c r="C54" s="197">
        <f t="shared" ca="1" si="5"/>
        <v>12</v>
      </c>
      <c r="D54" s="197">
        <f t="shared" ca="1" si="5"/>
        <v>12</v>
      </c>
      <c r="E54" s="197">
        <f t="shared" ca="1" si="5"/>
        <v>12</v>
      </c>
      <c r="F54" s="197">
        <f t="shared" ca="1" si="5"/>
        <v>12</v>
      </c>
      <c r="G54" s="197">
        <f t="shared" ca="1" si="5"/>
        <v>12</v>
      </c>
      <c r="H54" s="197">
        <f t="shared" ca="1" si="5"/>
        <v>12</v>
      </c>
      <c r="I54" s="197">
        <f t="shared" ca="1" si="5"/>
        <v>12</v>
      </c>
      <c r="J54" s="197">
        <f t="shared" ca="1" si="5"/>
        <v>12</v>
      </c>
      <c r="K54" s="197">
        <f t="shared" ca="1" si="5"/>
        <v>12</v>
      </c>
      <c r="L54" s="197">
        <f t="shared" ca="1" si="5"/>
        <v>12</v>
      </c>
      <c r="M54" s="197">
        <f t="shared" ca="1" si="5"/>
        <v>12</v>
      </c>
      <c r="N54" s="314">
        <f ca="1">COUNTIF(Teams!$4:$27,A54)</f>
        <v>12</v>
      </c>
      <c r="O54" s="199">
        <f ca="1">VLOOKUP(A54,Score!B:Z,25,0)</f>
        <v>53.09832151756261</v>
      </c>
    </row>
    <row r="55" spans="1:18" s="262" customFormat="1">
      <c r="A55" s="313" t="s">
        <v>228</v>
      </c>
      <c r="B55" s="197">
        <f t="shared" ca="1" si="5"/>
        <v>12</v>
      </c>
      <c r="C55" s="197">
        <f t="shared" ca="1" si="5"/>
        <v>12</v>
      </c>
      <c r="D55" s="197">
        <f t="shared" ca="1" si="5"/>
        <v>12</v>
      </c>
      <c r="E55" s="197">
        <f t="shared" ca="1" si="5"/>
        <v>12</v>
      </c>
      <c r="F55" s="197">
        <f t="shared" ca="1" si="5"/>
        <v>12</v>
      </c>
      <c r="G55" s="197">
        <f t="shared" ca="1" si="5"/>
        <v>12</v>
      </c>
      <c r="H55" s="197">
        <f t="shared" ca="1" si="5"/>
        <v>12</v>
      </c>
      <c r="I55" s="197">
        <f t="shared" ca="1" si="5"/>
        <v>12</v>
      </c>
      <c r="J55" s="197">
        <f t="shared" ca="1" si="5"/>
        <v>12</v>
      </c>
      <c r="K55" s="197">
        <f t="shared" ca="1" si="5"/>
        <v>12</v>
      </c>
      <c r="L55" s="197">
        <f t="shared" ca="1" si="5"/>
        <v>12</v>
      </c>
      <c r="M55" s="197">
        <f t="shared" ca="1" si="5"/>
        <v>12</v>
      </c>
      <c r="N55" s="314">
        <f ca="1">COUNTIF(Teams!$4:$27,A55)</f>
        <v>12</v>
      </c>
      <c r="O55" s="199">
        <f ca="1">VLOOKUP(A55,Score!B:Z,25,0)</f>
        <v>588.09902077888091</v>
      </c>
    </row>
    <row r="56" spans="1:18" s="262" customFormat="1" hidden="1">
      <c r="A56" s="313"/>
      <c r="B56" s="197" t="str">
        <f t="shared" ca="1" si="5"/>
        <v/>
      </c>
      <c r="C56" s="197" t="str">
        <f t="shared" ca="1" si="5"/>
        <v/>
      </c>
      <c r="D56" s="197" t="str">
        <f t="shared" ca="1" si="5"/>
        <v/>
      </c>
      <c r="E56" s="197" t="str">
        <f t="shared" ca="1" si="5"/>
        <v/>
      </c>
      <c r="F56" s="197" t="str">
        <f t="shared" ca="1" si="5"/>
        <v/>
      </c>
      <c r="G56" s="197" t="str">
        <f t="shared" ca="1" si="5"/>
        <v/>
      </c>
      <c r="H56" s="197" t="str">
        <f t="shared" ca="1" si="5"/>
        <v/>
      </c>
      <c r="I56" s="197" t="str">
        <f t="shared" ca="1" si="5"/>
        <v/>
      </c>
      <c r="J56" s="197" t="str">
        <f t="shared" ca="1" si="5"/>
        <v/>
      </c>
      <c r="K56" s="197" t="str">
        <f t="shared" ca="1" si="5"/>
        <v/>
      </c>
      <c r="L56" s="197" t="str">
        <f t="shared" ca="1" si="5"/>
        <v/>
      </c>
      <c r="M56" s="197" t="str">
        <f t="shared" ca="1" si="5"/>
        <v/>
      </c>
      <c r="N56" s="314"/>
      <c r="O56" s="199" t="e">
        <f>VLOOKUP(A56,Score!B:Z,25,0)</f>
        <v>#N/A</v>
      </c>
    </row>
    <row r="57" spans="1:18" s="262" customFormat="1" hidden="1">
      <c r="A57" s="313"/>
      <c r="B57" s="197" t="str">
        <f t="shared" ca="1" si="5"/>
        <v/>
      </c>
      <c r="C57" s="197" t="str">
        <f t="shared" ca="1" si="5"/>
        <v/>
      </c>
      <c r="D57" s="197" t="str">
        <f t="shared" ca="1" si="5"/>
        <v/>
      </c>
      <c r="E57" s="197" t="str">
        <f t="shared" ca="1" si="5"/>
        <v/>
      </c>
      <c r="F57" s="197" t="str">
        <f t="shared" ca="1" si="5"/>
        <v/>
      </c>
      <c r="G57" s="197" t="str">
        <f t="shared" ca="1" si="5"/>
        <v/>
      </c>
      <c r="H57" s="197" t="str">
        <f t="shared" ca="1" si="5"/>
        <v/>
      </c>
      <c r="I57" s="197" t="str">
        <f t="shared" ca="1" si="5"/>
        <v/>
      </c>
      <c r="J57" s="197" t="str">
        <f t="shared" ca="1" si="5"/>
        <v/>
      </c>
      <c r="K57" s="197" t="str">
        <f t="shared" ca="1" si="5"/>
        <v/>
      </c>
      <c r="L57" s="197" t="str">
        <f t="shared" ca="1" si="5"/>
        <v/>
      </c>
      <c r="M57" s="197" t="str">
        <f t="shared" ca="1" si="5"/>
        <v/>
      </c>
      <c r="N57" s="314"/>
      <c r="O57" s="199" t="e">
        <f>VLOOKUP(A57,Score!B:Z,25,0)</f>
        <v>#N/A</v>
      </c>
    </row>
    <row r="58" spans="1:18" hidden="1">
      <c r="A58" s="196"/>
      <c r="B58" s="197" t="str">
        <f t="shared" ca="1" si="5"/>
        <v/>
      </c>
      <c r="C58" s="197" t="str">
        <f t="shared" ca="1" si="5"/>
        <v/>
      </c>
      <c r="D58" s="197" t="str">
        <f t="shared" ca="1" si="5"/>
        <v/>
      </c>
      <c r="E58" s="197" t="str">
        <f t="shared" ca="1" si="5"/>
        <v/>
      </c>
      <c r="F58" s="197" t="str">
        <f t="shared" ca="1" si="5"/>
        <v/>
      </c>
      <c r="G58" s="197" t="str">
        <f t="shared" ca="1" si="5"/>
        <v/>
      </c>
      <c r="H58" s="197" t="str">
        <f t="shared" ca="1" si="5"/>
        <v/>
      </c>
      <c r="I58" s="197" t="str">
        <f t="shared" ca="1" si="5"/>
        <v/>
      </c>
      <c r="J58" s="197" t="str">
        <f t="shared" ca="1" si="5"/>
        <v/>
      </c>
      <c r="K58" s="197" t="str">
        <f t="shared" ca="1" si="5"/>
        <v/>
      </c>
      <c r="L58" s="197" t="str">
        <f t="shared" ca="1" si="5"/>
        <v/>
      </c>
      <c r="M58" s="197" t="str">
        <f t="shared" ca="1" si="5"/>
        <v/>
      </c>
      <c r="N58" s="198"/>
      <c r="O58" s="199" t="e">
        <f>VLOOKUP(A58,Score!B:Z,25,0)</f>
        <v>#N/A</v>
      </c>
      <c r="P58" s="202"/>
      <c r="Q58" s="202"/>
      <c r="R58" s="202"/>
    </row>
    <row r="59" spans="1:18" hidden="1">
      <c r="A59" s="196"/>
      <c r="B59" s="197" t="str">
        <f t="shared" ca="1" si="5"/>
        <v/>
      </c>
      <c r="C59" s="197" t="str">
        <f t="shared" ca="1" si="5"/>
        <v/>
      </c>
      <c r="D59" s="197" t="str">
        <f t="shared" ca="1" si="5"/>
        <v/>
      </c>
      <c r="E59" s="197" t="str">
        <f t="shared" ca="1" si="5"/>
        <v/>
      </c>
      <c r="F59" s="197" t="str">
        <f t="shared" ca="1" si="5"/>
        <v/>
      </c>
      <c r="G59" s="197" t="str">
        <f t="shared" ca="1" si="5"/>
        <v/>
      </c>
      <c r="H59" s="197" t="str">
        <f t="shared" ca="1" si="5"/>
        <v/>
      </c>
      <c r="I59" s="197" t="str">
        <f t="shared" ca="1" si="5"/>
        <v/>
      </c>
      <c r="J59" s="197" t="str">
        <f t="shared" ca="1" si="5"/>
        <v/>
      </c>
      <c r="K59" s="197" t="str">
        <f t="shared" ca="1" si="5"/>
        <v/>
      </c>
      <c r="L59" s="197" t="str">
        <f t="shared" ca="1" si="5"/>
        <v/>
      </c>
      <c r="M59" s="197" t="str">
        <f t="shared" ca="1" si="5"/>
        <v/>
      </c>
      <c r="N59" s="198"/>
      <c r="O59" s="199" t="e">
        <f>VLOOKUP(A59,Score!B:Z,25,0)</f>
        <v>#N/A</v>
      </c>
    </row>
    <row r="60" spans="1:18" hidden="1">
      <c r="A60" s="196"/>
      <c r="B60" s="197" t="str">
        <f t="shared" ca="1" si="5"/>
        <v/>
      </c>
      <c r="C60" s="197" t="str">
        <f t="shared" ca="1" si="5"/>
        <v/>
      </c>
      <c r="D60" s="197" t="str">
        <f t="shared" ca="1" si="5"/>
        <v/>
      </c>
      <c r="E60" s="197" t="str">
        <f t="shared" ca="1" si="5"/>
        <v/>
      </c>
      <c r="F60" s="197" t="str">
        <f t="shared" ca="1" si="5"/>
        <v/>
      </c>
      <c r="G60" s="197" t="str">
        <f t="shared" ca="1" si="5"/>
        <v/>
      </c>
      <c r="H60" s="197" t="str">
        <f t="shared" ca="1" si="5"/>
        <v/>
      </c>
      <c r="I60" s="197" t="str">
        <f t="shared" ca="1" si="5"/>
        <v/>
      </c>
      <c r="J60" s="197" t="str">
        <f t="shared" ca="1" si="5"/>
        <v/>
      </c>
      <c r="K60" s="197" t="str">
        <f t="shared" ca="1" si="5"/>
        <v/>
      </c>
      <c r="L60" s="197" t="str">
        <f t="shared" ca="1" si="5"/>
        <v/>
      </c>
      <c r="M60" s="197" t="str">
        <f t="shared" ca="1" si="5"/>
        <v/>
      </c>
      <c r="N60" s="198"/>
      <c r="O60" s="199" t="e">
        <f>VLOOKUP(A60,Score!B:Z,25,0)</f>
        <v>#N/A</v>
      </c>
    </row>
    <row r="61" spans="1:18" ht="14.4" thickBot="1">
      <c r="A61" s="279"/>
      <c r="B61" s="280" t="str">
        <f t="shared" ref="B61:M61" ca="1" si="6">IF(B67&lt;&gt;20,"Onvolledig","")</f>
        <v/>
      </c>
      <c r="C61" s="280" t="str">
        <f t="shared" ca="1" si="6"/>
        <v/>
      </c>
      <c r="D61" s="280" t="str">
        <f t="shared" ca="1" si="6"/>
        <v/>
      </c>
      <c r="E61" s="280" t="str">
        <f t="shared" ca="1" si="6"/>
        <v/>
      </c>
      <c r="F61" s="280" t="str">
        <f t="shared" ca="1" si="6"/>
        <v/>
      </c>
      <c r="G61" s="280" t="str">
        <f t="shared" ca="1" si="6"/>
        <v/>
      </c>
      <c r="H61" s="280" t="str">
        <f t="shared" ca="1" si="6"/>
        <v/>
      </c>
      <c r="I61" s="280" t="str">
        <f t="shared" ca="1" si="6"/>
        <v/>
      </c>
      <c r="J61" s="280" t="str">
        <f t="shared" ca="1" si="6"/>
        <v/>
      </c>
      <c r="K61" s="280" t="str">
        <f ca="1">IF(K67&lt;&gt;20,"Onvolledig","")</f>
        <v/>
      </c>
      <c r="L61" s="280" t="str">
        <f t="shared" ca="1" si="6"/>
        <v/>
      </c>
      <c r="M61" s="280" t="str">
        <f t="shared" ca="1" si="6"/>
        <v/>
      </c>
      <c r="N61" s="281"/>
      <c r="O61" s="279"/>
    </row>
    <row r="62" spans="1:18">
      <c r="A62" s="202" t="s">
        <v>3</v>
      </c>
      <c r="B62" s="214">
        <f t="shared" ref="B62:M62" ca="1" si="7">AVERAGE(B1:B60)</f>
        <v>8.65</v>
      </c>
      <c r="C62" s="214">
        <f t="shared" ca="1" si="7"/>
        <v>8.4499999999999993</v>
      </c>
      <c r="D62" s="214">
        <f t="shared" ca="1" si="7"/>
        <v>8.1999999999999993</v>
      </c>
      <c r="E62" s="214">
        <f t="shared" ca="1" si="7"/>
        <v>8.15</v>
      </c>
      <c r="F62" s="214">
        <f t="shared" ca="1" si="7"/>
        <v>8.1</v>
      </c>
      <c r="G62" s="214">
        <f t="shared" ca="1" si="7"/>
        <v>8.1</v>
      </c>
      <c r="H62" s="214">
        <f t="shared" ca="1" si="7"/>
        <v>8.1</v>
      </c>
      <c r="I62" s="214">
        <f t="shared" ca="1" si="7"/>
        <v>7.5</v>
      </c>
      <c r="J62" s="214">
        <f t="shared" ca="1" si="7"/>
        <v>7.15</v>
      </c>
      <c r="K62" s="214">
        <f t="shared" ca="1" si="7"/>
        <v>7.05</v>
      </c>
      <c r="L62" s="214">
        <f t="shared" ca="1" si="7"/>
        <v>7</v>
      </c>
      <c r="M62" s="214">
        <f t="shared" ca="1" si="7"/>
        <v>6.85</v>
      </c>
    </row>
    <row r="63" spans="1:18" s="263" customFormat="1">
      <c r="A63" s="317" t="s">
        <v>3</v>
      </c>
      <c r="B63" s="264">
        <f t="shared" ref="B63:M63" ca="1" si="8">B62/SUM($B62:$M62)</f>
        <v>9.2711682743837093E-2</v>
      </c>
      <c r="C63" s="264">
        <f t="shared" ca="1" si="8"/>
        <v>9.056806002143622E-2</v>
      </c>
      <c r="D63" s="264">
        <f t="shared" ca="1" si="8"/>
        <v>8.7888531618435156E-2</v>
      </c>
      <c r="E63" s="264">
        <f t="shared" ca="1" si="8"/>
        <v>8.7352625937834952E-2</v>
      </c>
      <c r="F63" s="264">
        <f t="shared" ca="1" si="8"/>
        <v>8.681672025723472E-2</v>
      </c>
      <c r="G63" s="264">
        <f t="shared" ca="1" si="8"/>
        <v>8.681672025723472E-2</v>
      </c>
      <c r="H63" s="264">
        <f t="shared" ca="1" si="8"/>
        <v>8.681672025723472E-2</v>
      </c>
      <c r="I63" s="264">
        <f t="shared" ca="1" si="8"/>
        <v>8.0385852090032156E-2</v>
      </c>
      <c r="J63" s="264">
        <f t="shared" ca="1" si="8"/>
        <v>7.6634512325830656E-2</v>
      </c>
      <c r="K63" s="264">
        <f t="shared" ca="1" si="8"/>
        <v>7.5562700964630219E-2</v>
      </c>
      <c r="L63" s="264">
        <f t="shared" ca="1" si="8"/>
        <v>7.5026795284030015E-2</v>
      </c>
      <c r="M63" s="264">
        <f t="shared" ca="1" si="8"/>
        <v>7.341907824222936E-2</v>
      </c>
      <c r="N63" s="265"/>
    </row>
    <row r="64" spans="1:18" s="337" customFormat="1">
      <c r="A64" s="334" t="s">
        <v>356</v>
      </c>
      <c r="B64" s="335">
        <f t="shared" ref="B64:M64" ca="1" si="9">1/(B63*aantal_deelnemers)</f>
        <v>0.89884393063583812</v>
      </c>
      <c r="C64" s="335">
        <f t="shared" ca="1" si="9"/>
        <v>0.92011834319526642</v>
      </c>
      <c r="D64" s="335">
        <f t="shared" ca="1" si="9"/>
        <v>0.94817073170731692</v>
      </c>
      <c r="E64" s="335">
        <f t="shared" ca="1" si="9"/>
        <v>0.95398773006134951</v>
      </c>
      <c r="F64" s="335">
        <f t="shared" ca="1" si="9"/>
        <v>0.9598765432098767</v>
      </c>
      <c r="G64" s="335">
        <f t="shared" ca="1" si="9"/>
        <v>0.9598765432098767</v>
      </c>
      <c r="H64" s="335">
        <f t="shared" ca="1" si="9"/>
        <v>0.9598765432098767</v>
      </c>
      <c r="I64" s="335">
        <f t="shared" ca="1" si="9"/>
        <v>1.0366666666666666</v>
      </c>
      <c r="J64" s="335">
        <f t="shared" ca="1" si="9"/>
        <v>1.0874125874125873</v>
      </c>
      <c r="K64" s="335">
        <f ca="1">1/(K63*aantal_deelnemers)</f>
        <v>1.1028368794326242</v>
      </c>
      <c r="L64" s="335">
        <f t="shared" ca="1" si="9"/>
        <v>1.1107142857142855</v>
      </c>
      <c r="M64" s="335">
        <f t="shared" ca="1" si="9"/>
        <v>1.1350364963503652</v>
      </c>
      <c r="N64" s="336"/>
    </row>
    <row r="65" spans="1:13">
      <c r="A65" s="231" t="s">
        <v>9</v>
      </c>
      <c r="B65" s="232">
        <f>aantal_deelnemers</f>
        <v>12</v>
      </c>
      <c r="C65" s="109"/>
      <c r="D65" s="109"/>
      <c r="E65" s="109"/>
      <c r="F65" s="109"/>
      <c r="H65" s="197"/>
      <c r="I65" s="109"/>
      <c r="J65" s="195"/>
      <c r="L65" s="195"/>
      <c r="M65" s="109"/>
    </row>
    <row r="66" spans="1:13">
      <c r="A66" s="202"/>
      <c r="B66" s="109"/>
      <c r="C66" s="109"/>
      <c r="D66" s="109"/>
      <c r="E66" s="109"/>
      <c r="F66" s="109"/>
      <c r="G66" s="109"/>
      <c r="H66" s="109"/>
      <c r="I66" s="109"/>
      <c r="J66" s="109"/>
      <c r="K66" s="109"/>
      <c r="L66" s="109"/>
      <c r="M66" s="109"/>
    </row>
    <row r="67" spans="1:13">
      <c r="A67" s="202"/>
      <c r="B67" s="215">
        <f t="shared" ref="B67:M67" ca="1" si="10">COUNT(B2:B60)</f>
        <v>20</v>
      </c>
      <c r="C67" s="215">
        <f t="shared" ca="1" si="10"/>
        <v>20</v>
      </c>
      <c r="D67" s="215">
        <f t="shared" ca="1" si="10"/>
        <v>20</v>
      </c>
      <c r="E67" s="215">
        <f t="shared" ca="1" si="10"/>
        <v>20</v>
      </c>
      <c r="F67" s="215">
        <f t="shared" ca="1" si="10"/>
        <v>20</v>
      </c>
      <c r="G67" s="215">
        <f t="shared" ca="1" si="10"/>
        <v>20</v>
      </c>
      <c r="H67" s="215">
        <f t="shared" ca="1" si="10"/>
        <v>20</v>
      </c>
      <c r="I67" s="215">
        <f t="shared" ca="1" si="10"/>
        <v>20</v>
      </c>
      <c r="J67" s="215">
        <f t="shared" ca="1" si="10"/>
        <v>20</v>
      </c>
      <c r="K67" s="215">
        <f t="shared" ca="1" si="10"/>
        <v>20</v>
      </c>
      <c r="L67" s="215">
        <f t="shared" ca="1" si="10"/>
        <v>20</v>
      </c>
      <c r="M67" s="215">
        <f t="shared" ca="1" si="10"/>
        <v>20</v>
      </c>
    </row>
    <row r="68" spans="1:13">
      <c r="A68" s="202"/>
      <c r="B68" s="109"/>
      <c r="C68" s="109"/>
      <c r="D68" s="109"/>
      <c r="E68" s="109"/>
      <c r="F68" s="109"/>
      <c r="G68" s="109"/>
      <c r="H68" s="109"/>
      <c r="I68" s="109"/>
      <c r="J68" s="109"/>
      <c r="K68" s="109"/>
      <c r="L68" s="109"/>
      <c r="M68" s="109"/>
    </row>
    <row r="69" spans="1:13">
      <c r="A69" s="202"/>
      <c r="B69" s="107"/>
      <c r="C69" s="107"/>
      <c r="D69" s="107"/>
      <c r="E69" s="107"/>
      <c r="F69" s="107"/>
      <c r="G69" s="107"/>
      <c r="H69" s="107"/>
      <c r="I69" s="107"/>
      <c r="J69" s="107"/>
      <c r="K69" s="107"/>
      <c r="L69" s="107"/>
      <c r="M69" s="107"/>
    </row>
  </sheetData>
  <sortState xmlns:xlrd2="http://schemas.microsoft.com/office/spreadsheetml/2017/richdata2" ref="A2:T41">
    <sortCondition ref="N2:N41"/>
  </sortState>
  <phoneticPr fontId="0" type="noConversion"/>
  <conditionalFormatting sqref="B43:M47">
    <cfRule type="expression" dxfId="8" priority="8">
      <formula>AND(B43="",$O43&gt;100)</formula>
    </cfRule>
  </conditionalFormatting>
  <conditionalFormatting sqref="J46">
    <cfRule type="expression" dxfId="7" priority="7">
      <formula>AND(J46="",$O46&gt;100)</formula>
    </cfRule>
  </conditionalFormatting>
  <conditionalFormatting sqref="K46">
    <cfRule type="expression" dxfId="6" priority="6">
      <formula>AND(K46="",$O46&gt;100)</formula>
    </cfRule>
  </conditionalFormatting>
  <conditionalFormatting sqref="B48:M51">
    <cfRule type="expression" dxfId="5" priority="5">
      <formula>AND(B48="",$O48&gt;100)</formula>
    </cfRule>
  </conditionalFormatting>
  <conditionalFormatting sqref="B40:M42">
    <cfRule type="expression" dxfId="4" priority="4">
      <formula>AND(B40="",$O40&gt;100)</formula>
    </cfRule>
  </conditionalFormatting>
  <conditionalFormatting sqref="B34:M39">
    <cfRule type="expression" dxfId="3" priority="3">
      <formula>AND(B34="",$O34&gt;100)</formula>
    </cfRule>
  </conditionalFormatting>
  <conditionalFormatting sqref="J34:J39">
    <cfRule type="expression" dxfId="2" priority="2">
      <formula>AND(J34="",$O34&gt;100)</formula>
    </cfRule>
  </conditionalFormatting>
  <conditionalFormatting sqref="K34:K39">
    <cfRule type="expression" dxfId="1" priority="1">
      <formula>AND(K34="",$O34&gt;100)</formula>
    </cfRule>
  </conditionalFormatting>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0">
    <tabColor indexed="12"/>
  </sheetPr>
  <dimension ref="C1:AB71"/>
  <sheetViews>
    <sheetView showZeros="0" workbookViewId="0">
      <selection activeCell="Y31" sqref="Y31"/>
    </sheetView>
  </sheetViews>
  <sheetFormatPr defaultRowHeight="13.2"/>
  <cols>
    <col min="1" max="1" width="2.6640625" customWidth="1"/>
    <col min="2" max="2" width="3.5546875" customWidth="1"/>
    <col min="3" max="4" width="12.33203125" style="8" customWidth="1"/>
    <col min="5" max="6" width="5.44140625" style="2" customWidth="1"/>
    <col min="7" max="7" width="5.44140625" style="5" customWidth="1"/>
    <col min="8" max="15" width="5.44140625" style="3" customWidth="1"/>
    <col min="16" max="16" width="5.44140625" style="4" customWidth="1"/>
    <col min="17" max="26" width="5.44140625" customWidth="1"/>
    <col min="27" max="27" width="6.33203125" style="1" customWidth="1"/>
    <col min="28" max="28" width="15" customWidth="1"/>
  </cols>
  <sheetData>
    <row r="1" spans="3:28">
      <c r="C1" s="17" t="s">
        <v>42</v>
      </c>
      <c r="D1" s="17"/>
    </row>
    <row r="2" spans="3:28">
      <c r="C2" s="1"/>
      <c r="D2" s="1"/>
      <c r="G2" s="3"/>
    </row>
    <row r="3" spans="3:28" s="4" customFormat="1" ht="13.8" thickBot="1">
      <c r="C3"/>
      <c r="D3"/>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19"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SUM(E20:Z20)</f>
        <v>#N/A</v>
      </c>
      <c r="AB20">
        <f t="shared" si="1"/>
        <v>0</v>
      </c>
    </row>
    <row r="21" spans="3:28" s="55" customFormat="1">
      <c r="C21" s="55" t="s">
        <v>15</v>
      </c>
      <c r="E21" s="56"/>
      <c r="F21" s="57"/>
      <c r="G21" s="56"/>
      <c r="H21" s="56"/>
      <c r="I21" s="56"/>
      <c r="J21" s="56"/>
      <c r="K21" s="56"/>
      <c r="L21" s="56"/>
      <c r="M21" s="56"/>
      <c r="N21" s="56"/>
      <c r="O21" s="56"/>
      <c r="P21" s="56"/>
      <c r="Q21" s="56"/>
      <c r="R21" s="56"/>
      <c r="S21" s="56"/>
      <c r="T21" s="56"/>
      <c r="U21" s="56"/>
      <c r="V21" s="56"/>
      <c r="W21" s="56"/>
      <c r="X21" s="56"/>
      <c r="Y21" s="56"/>
      <c r="Z21" s="56"/>
      <c r="AA21" s="58"/>
    </row>
    <row r="22" spans="3:28" s="1" customFormat="1">
      <c r="C22"/>
      <c r="D22"/>
      <c r="E22" s="53" t="e">
        <f t="shared" ref="E22:Z22" si="2">SUM(E4:E21)</f>
        <v>#N/A</v>
      </c>
      <c r="F22" s="53" t="e">
        <f t="shared" si="2"/>
        <v>#N/A</v>
      </c>
      <c r="G22" s="53" t="e">
        <f t="shared" si="2"/>
        <v>#N/A</v>
      </c>
      <c r="H22" s="53" t="e">
        <f t="shared" si="2"/>
        <v>#N/A</v>
      </c>
      <c r="I22" s="53" t="e">
        <f t="shared" si="2"/>
        <v>#N/A</v>
      </c>
      <c r="J22" s="53" t="e">
        <f t="shared" si="2"/>
        <v>#N/A</v>
      </c>
      <c r="K22" s="53" t="e">
        <f t="shared" si="2"/>
        <v>#N/A</v>
      </c>
      <c r="L22" s="53" t="e">
        <f t="shared" si="2"/>
        <v>#N/A</v>
      </c>
      <c r="M22" s="53" t="e">
        <f t="shared" si="2"/>
        <v>#N/A</v>
      </c>
      <c r="N22" s="53" t="e">
        <f t="shared" si="2"/>
        <v>#N/A</v>
      </c>
      <c r="O22" s="53" t="e">
        <f t="shared" si="2"/>
        <v>#N/A</v>
      </c>
      <c r="P22" s="53" t="e">
        <f t="shared" si="2"/>
        <v>#N/A</v>
      </c>
      <c r="Q22" s="53" t="e">
        <f t="shared" si="2"/>
        <v>#N/A</v>
      </c>
      <c r="R22" s="53" t="e">
        <f t="shared" si="2"/>
        <v>#N/A</v>
      </c>
      <c r="S22" s="53" t="e">
        <f t="shared" si="2"/>
        <v>#N/A</v>
      </c>
      <c r="T22" s="53" t="e">
        <f t="shared" si="2"/>
        <v>#N/A</v>
      </c>
      <c r="U22" s="53" t="e">
        <f t="shared" si="2"/>
        <v>#N/A</v>
      </c>
      <c r="V22" s="53" t="e">
        <f t="shared" si="2"/>
        <v>#N/A</v>
      </c>
      <c r="W22" s="53" t="e">
        <f t="shared" si="2"/>
        <v>#N/A</v>
      </c>
      <c r="X22" s="53" t="e">
        <f t="shared" si="2"/>
        <v>#N/A</v>
      </c>
      <c r="Y22" s="53" t="e">
        <f t="shared" si="2"/>
        <v>#N/A</v>
      </c>
      <c r="Z22" s="53" t="e">
        <f t="shared" si="2"/>
        <v>#N/A</v>
      </c>
      <c r="AA22" s="54" t="e">
        <f>SUM(AA4:AA21)</f>
        <v>#N/A</v>
      </c>
    </row>
    <row r="23" spans="3:28" s="43" customFormat="1">
      <c r="C23"/>
      <c r="D23"/>
      <c r="E23" s="44"/>
      <c r="F23" s="44"/>
      <c r="G23" s="39"/>
      <c r="H23" s="44"/>
      <c r="I23" s="44"/>
      <c r="J23" s="44"/>
      <c r="K23" s="44"/>
      <c r="L23" s="44"/>
      <c r="M23" s="44"/>
      <c r="N23" s="44"/>
      <c r="O23" s="44"/>
      <c r="P23" s="44"/>
      <c r="Q23" s="44"/>
      <c r="R23" s="44"/>
      <c r="S23" s="44"/>
      <c r="T23" s="44"/>
      <c r="U23" s="44"/>
      <c r="V23" s="44"/>
      <c r="W23" s="44"/>
      <c r="X23" s="44"/>
      <c r="Y23" s="44"/>
      <c r="Z23" s="44"/>
      <c r="AA23" s="48"/>
    </row>
    <row r="24" spans="3:28" s="51" customFormat="1">
      <c r="C24" s="49"/>
      <c r="D24" s="49"/>
      <c r="E24" s="50" t="e">
        <f>VLOOKUP($C24,Score!$B$2:$X$78,2,0)</f>
        <v>#N/A</v>
      </c>
      <c r="F24" s="50" t="e">
        <f>VLOOKUP($C24,Score!$B$2:$X$78,2,0)</f>
        <v>#N/A</v>
      </c>
      <c r="G24" s="50" t="e">
        <f>VLOOKUP($C24,Score!$B$2:$X$78,2,0)</f>
        <v>#N/A</v>
      </c>
      <c r="H24" s="50" t="e">
        <f>VLOOKUP($C24,Score!$B$2:$X$78,2,0)</f>
        <v>#N/A</v>
      </c>
      <c r="I24" s="50" t="e">
        <f>VLOOKUP($C24,Score!$B$2:$X$78,2,0)</f>
        <v>#N/A</v>
      </c>
      <c r="J24" s="50" t="e">
        <f>VLOOKUP($C24,Score!$B$2:$X$78,2,0)</f>
        <v>#N/A</v>
      </c>
      <c r="K24" s="50" t="e">
        <f>VLOOKUP($C24,Score!$B$2:$X$78,2,0)</f>
        <v>#N/A</v>
      </c>
      <c r="L24" s="50" t="e">
        <f>VLOOKUP($C24,Score!$B$2:$X$78,2,0)</f>
        <v>#N/A</v>
      </c>
      <c r="M24" s="50" t="e">
        <f>VLOOKUP($C24,Score!$B$2:$X$78,2,0)</f>
        <v>#N/A</v>
      </c>
      <c r="N24" s="50" t="e">
        <f>VLOOKUP($C24,Score!$B$2:$X$78,2,0)</f>
        <v>#N/A</v>
      </c>
      <c r="O24" s="50" t="e">
        <f>VLOOKUP($C24,Score!$B$2:$X$78,2,0)</f>
        <v>#N/A</v>
      </c>
      <c r="P24" s="50" t="e">
        <f>VLOOKUP($C24,Score!$B$2:$X$78,2,0)</f>
        <v>#N/A</v>
      </c>
      <c r="Q24" s="50" t="e">
        <f>VLOOKUP($C24,Score!$B$2:$X$78,2,0)</f>
        <v>#N/A</v>
      </c>
      <c r="R24" s="50" t="e">
        <f>VLOOKUP($C24,Score!$B$2:$X$78,2,0)</f>
        <v>#N/A</v>
      </c>
      <c r="S24" s="50" t="e">
        <f>VLOOKUP($C24,Score!$B$2:$X$78,2,0)</f>
        <v>#N/A</v>
      </c>
      <c r="T24" s="50" t="e">
        <f>VLOOKUP($C24,Score!$B$2:$X$78,2,0)</f>
        <v>#N/A</v>
      </c>
      <c r="U24" s="50" t="e">
        <f>VLOOKUP($C24,Score!$B$2:$X$78,2,0)</f>
        <v>#N/A</v>
      </c>
      <c r="V24" s="50" t="e">
        <f>VLOOKUP($C24,Score!$B$2:$X$78,2,0)</f>
        <v>#N/A</v>
      </c>
      <c r="W24" s="50" t="e">
        <f>VLOOKUP($C24,Score!$B$2:$X$78,2,0)</f>
        <v>#N/A</v>
      </c>
      <c r="X24" s="50" t="e">
        <f>VLOOKUP($C24,Score!$B$2:$X$78,2,0)</f>
        <v>#N/A</v>
      </c>
      <c r="Y24" s="50" t="e">
        <f>VLOOKUP($C24,Score!$B$2:$X$78,2,0)</f>
        <v>#N/A</v>
      </c>
      <c r="Z24" s="50" t="e">
        <f>VLOOKUP($C24,Score!$B$2:$X$78,2,0)</f>
        <v>#N/A</v>
      </c>
      <c r="AA24" s="50" t="e">
        <f>VLOOKUP($C24,Score!$B$2:$X$78,2,0)</f>
        <v>#N/A</v>
      </c>
    </row>
    <row r="25" spans="3:28" s="51" customFormat="1">
      <c r="C25" s="49"/>
      <c r="D25" s="49"/>
      <c r="E25" s="50" t="e">
        <f>VLOOKUP($C25,Score!$B$2:$X$78,2,0)</f>
        <v>#N/A</v>
      </c>
      <c r="F25" s="50" t="e">
        <f>VLOOKUP($C25,Score!$B$2:$X$78,2,0)</f>
        <v>#N/A</v>
      </c>
      <c r="G25" s="50" t="e">
        <f>VLOOKUP($C25,Score!$B$2:$X$78,2,0)</f>
        <v>#N/A</v>
      </c>
      <c r="H25" s="50" t="e">
        <f>VLOOKUP($C25,Score!$B$2:$X$78,2,0)</f>
        <v>#N/A</v>
      </c>
      <c r="I25" s="50" t="e">
        <f>VLOOKUP($C25,Score!$B$2:$X$78,2,0)</f>
        <v>#N/A</v>
      </c>
      <c r="J25" s="50" t="e">
        <f>VLOOKUP($C25,Score!$B$2:$X$78,2,0)</f>
        <v>#N/A</v>
      </c>
      <c r="K25" s="50" t="e">
        <f>VLOOKUP($C25,Score!$B$2:$X$78,2,0)</f>
        <v>#N/A</v>
      </c>
      <c r="L25" s="50" t="e">
        <f>VLOOKUP($C25,Score!$B$2:$X$78,2,0)</f>
        <v>#N/A</v>
      </c>
      <c r="M25" s="50" t="e">
        <f>VLOOKUP($C25,Score!$B$2:$X$78,2,0)</f>
        <v>#N/A</v>
      </c>
      <c r="N25" s="50" t="e">
        <f>VLOOKUP($C25,Score!$B$2:$X$78,2,0)</f>
        <v>#N/A</v>
      </c>
      <c r="O25" s="50" t="e">
        <f>VLOOKUP($C25,Score!$B$2:$X$78,2,0)</f>
        <v>#N/A</v>
      </c>
      <c r="P25" s="50" t="e">
        <f>VLOOKUP($C25,Score!$B$2:$X$78,2,0)</f>
        <v>#N/A</v>
      </c>
      <c r="Q25" s="50" t="e">
        <f>VLOOKUP($C25,Score!$B$2:$X$78,2,0)</f>
        <v>#N/A</v>
      </c>
      <c r="R25" s="50" t="e">
        <f>VLOOKUP($C25,Score!$B$2:$X$78,2,0)</f>
        <v>#N/A</v>
      </c>
      <c r="S25" s="50" t="e">
        <f>VLOOKUP($C25,Score!$B$2:$X$78,2,0)</f>
        <v>#N/A</v>
      </c>
      <c r="T25" s="50" t="e">
        <f>VLOOKUP($C25,Score!$B$2:$X$78,2,0)</f>
        <v>#N/A</v>
      </c>
      <c r="U25" s="50" t="e">
        <f>VLOOKUP($C25,Score!$B$2:$X$78,2,0)</f>
        <v>#N/A</v>
      </c>
      <c r="V25" s="50" t="e">
        <f>VLOOKUP($C25,Score!$B$2:$X$78,2,0)</f>
        <v>#N/A</v>
      </c>
      <c r="W25" s="50" t="e">
        <f>VLOOKUP($C25,Score!$B$2:$X$78,2,0)</f>
        <v>#N/A</v>
      </c>
      <c r="X25" s="50" t="e">
        <f>VLOOKUP($C25,Score!$B$2:$X$78,2,0)</f>
        <v>#N/A</v>
      </c>
      <c r="Y25" s="50" t="e">
        <f>VLOOKUP($C25,Score!$B$2:$X$78,2,0)</f>
        <v>#N/A</v>
      </c>
      <c r="Z25" s="50" t="e">
        <f>VLOOKUP($C25,Score!$B$2:$X$78,2,0)</f>
        <v>#N/A</v>
      </c>
      <c r="AA25" s="50" t="e">
        <f>VLOOKUP($C25,Score!$B$2:$X$78,2,0)</f>
        <v>#N/A</v>
      </c>
    </row>
    <row r="26" spans="3:28" s="51" customFormat="1">
      <c r="C26" s="49"/>
      <c r="D26" s="49"/>
      <c r="E26" s="50" t="e">
        <f>VLOOKUP($C26,Score!$B$2:$X$78,2,0)</f>
        <v>#N/A</v>
      </c>
      <c r="F26" s="50" t="e">
        <f>VLOOKUP($C26,Score!$B$2:$X$78,2,0)</f>
        <v>#N/A</v>
      </c>
      <c r="G26" s="50" t="e">
        <f>VLOOKUP($C26,Score!$B$2:$X$78,2,0)</f>
        <v>#N/A</v>
      </c>
      <c r="H26" s="50" t="e">
        <f>VLOOKUP($C26,Score!$B$2:$X$78,2,0)</f>
        <v>#N/A</v>
      </c>
      <c r="I26" s="50" t="e">
        <f>VLOOKUP($C26,Score!$B$2:$X$78,2,0)</f>
        <v>#N/A</v>
      </c>
      <c r="J26" s="50" t="e">
        <f>VLOOKUP($C26,Score!$B$2:$X$78,2,0)</f>
        <v>#N/A</v>
      </c>
      <c r="K26" s="50" t="e">
        <f>VLOOKUP($C26,Score!$B$2:$X$78,2,0)</f>
        <v>#N/A</v>
      </c>
      <c r="L26" s="50" t="e">
        <f>VLOOKUP($C26,Score!$B$2:$X$78,2,0)</f>
        <v>#N/A</v>
      </c>
      <c r="M26" s="50" t="e">
        <f>VLOOKUP($C26,Score!$B$2:$X$78,2,0)</f>
        <v>#N/A</v>
      </c>
      <c r="N26" s="50" t="e">
        <f>VLOOKUP($C26,Score!$B$2:$X$78,2,0)</f>
        <v>#N/A</v>
      </c>
      <c r="O26" s="50" t="e">
        <f>VLOOKUP($C26,Score!$B$2:$X$78,2,0)</f>
        <v>#N/A</v>
      </c>
      <c r="P26" s="50" t="e">
        <f>VLOOKUP($C26,Score!$B$2:$X$78,2,0)</f>
        <v>#N/A</v>
      </c>
      <c r="Q26" s="50" t="e">
        <f>VLOOKUP($C26,Score!$B$2:$X$78,2,0)</f>
        <v>#N/A</v>
      </c>
      <c r="R26" s="50" t="e">
        <f>VLOOKUP($C26,Score!$B$2:$X$78,2,0)</f>
        <v>#N/A</v>
      </c>
      <c r="S26" s="50" t="e">
        <f>VLOOKUP($C26,Score!$B$2:$X$78,2,0)</f>
        <v>#N/A</v>
      </c>
      <c r="T26" s="50" t="e">
        <f>VLOOKUP($C26,Score!$B$2:$X$78,2,0)</f>
        <v>#N/A</v>
      </c>
      <c r="U26" s="50" t="e">
        <f>VLOOKUP($C26,Score!$B$2:$X$78,2,0)</f>
        <v>#N/A</v>
      </c>
      <c r="V26" s="50" t="e">
        <f>VLOOKUP($C26,Score!$B$2:$X$78,2,0)</f>
        <v>#N/A</v>
      </c>
      <c r="W26" s="50" t="e">
        <f>VLOOKUP($C26,Score!$B$2:$X$78,2,0)</f>
        <v>#N/A</v>
      </c>
      <c r="X26" s="50" t="e">
        <f>VLOOKUP($C26,Score!$B$2:$X$78,2,0)</f>
        <v>#N/A</v>
      </c>
      <c r="Y26" s="50" t="e">
        <f>VLOOKUP($C26,Score!$B$2:$X$78,2,0)</f>
        <v>#N/A</v>
      </c>
      <c r="Z26" s="50" t="e">
        <f>VLOOKUP($C26,Score!$B$2:$X$78,2,0)</f>
        <v>#N/A</v>
      </c>
      <c r="AA26" s="50" t="e">
        <f>VLOOKUP($C26,Score!$B$2:$X$78,2,0)</f>
        <v>#N/A</v>
      </c>
    </row>
    <row r="27" spans="3:28" s="36" customFormat="1">
      <c r="E27" s="35"/>
      <c r="F27" s="35"/>
      <c r="G27" s="34"/>
      <c r="H27" s="35"/>
      <c r="I27" s="35"/>
      <c r="J27" s="35"/>
      <c r="K27" s="35"/>
      <c r="L27" s="35"/>
      <c r="M27" s="35"/>
      <c r="N27" s="35"/>
      <c r="O27" s="35"/>
      <c r="AA27" s="37"/>
    </row>
    <row r="28" spans="3:28" s="36" customFormat="1">
      <c r="C28" s="46"/>
      <c r="D28" s="46"/>
      <c r="E28" s="35"/>
      <c r="F28" s="35"/>
      <c r="G28" s="34"/>
      <c r="H28" s="35"/>
      <c r="I28" s="35"/>
      <c r="J28" s="35"/>
      <c r="K28" s="35"/>
      <c r="L28" s="35"/>
      <c r="M28" s="35"/>
      <c r="N28" s="35"/>
      <c r="O28" s="35"/>
      <c r="AA28" s="37"/>
    </row>
    <row r="29" spans="3:28" s="36" customFormat="1">
      <c r="C29" s="38"/>
      <c r="D29" s="38"/>
      <c r="E29" s="35"/>
      <c r="F29" s="35"/>
      <c r="G29" s="34"/>
      <c r="H29" s="35"/>
      <c r="I29" s="35"/>
      <c r="J29" s="35"/>
      <c r="K29" s="35"/>
      <c r="L29" s="35"/>
      <c r="M29" s="35"/>
      <c r="N29" s="35"/>
      <c r="O29" s="35"/>
      <c r="AA29" s="37"/>
    </row>
    <row r="30" spans="3:28" s="36" customFormat="1">
      <c r="C30" s="38"/>
      <c r="D30" s="38"/>
      <c r="E30" s="35"/>
      <c r="F30" s="35"/>
      <c r="G30" s="34"/>
      <c r="H30" s="35"/>
      <c r="I30" s="35"/>
      <c r="J30" s="35"/>
      <c r="K30" s="35"/>
      <c r="L30" s="35"/>
      <c r="M30" s="35"/>
      <c r="N30" s="35"/>
      <c r="O30" s="35"/>
      <c r="AA30" s="37"/>
    </row>
    <row r="31" spans="3:28" s="36" customFormat="1">
      <c r="E31" s="35"/>
      <c r="F31" s="35"/>
      <c r="G31" s="34"/>
      <c r="H31" s="35"/>
      <c r="I31" s="35"/>
      <c r="J31" s="35"/>
      <c r="K31" s="35"/>
      <c r="L31" s="35"/>
      <c r="M31" s="35"/>
      <c r="N31" s="35"/>
      <c r="O31" s="35"/>
      <c r="AA31" s="37"/>
    </row>
    <row r="32" spans="3:28" s="14" customFormat="1">
      <c r="C32" s="26"/>
      <c r="D32" s="26"/>
      <c r="E32" s="10"/>
      <c r="F32" s="10"/>
      <c r="G32" s="11"/>
      <c r="H32" s="12"/>
      <c r="I32" s="12"/>
      <c r="J32" s="12"/>
      <c r="K32" s="12"/>
      <c r="L32" s="12"/>
      <c r="M32" s="12"/>
      <c r="N32" s="12"/>
      <c r="O32" s="12"/>
      <c r="P32" s="13"/>
      <c r="AA32" s="15"/>
    </row>
    <row r="33" spans="3:27" s="14" customFormat="1">
      <c r="C33" s="26"/>
      <c r="D33" s="26"/>
      <c r="E33" s="10"/>
      <c r="F33" s="10"/>
      <c r="G33" s="11"/>
      <c r="H33" s="12"/>
      <c r="I33" s="12"/>
      <c r="J33" s="12"/>
      <c r="K33" s="12"/>
      <c r="L33" s="12"/>
      <c r="M33" s="12"/>
      <c r="N33" s="12"/>
      <c r="O33" s="12"/>
      <c r="P33" s="13"/>
      <c r="AA33" s="15"/>
    </row>
    <row r="34" spans="3:27" s="14" customFormat="1">
      <c r="C34" s="26"/>
      <c r="D34" s="26"/>
      <c r="E34" s="10"/>
      <c r="F34" s="10"/>
      <c r="G34" s="11"/>
      <c r="H34" s="12"/>
      <c r="I34" s="12"/>
      <c r="J34" s="12"/>
      <c r="K34" s="12"/>
      <c r="L34" s="12"/>
      <c r="M34" s="12"/>
      <c r="N34" s="12"/>
      <c r="O34" s="12"/>
      <c r="P34" s="13"/>
      <c r="AA34" s="15"/>
    </row>
    <row r="35" spans="3:27" s="14" customFormat="1">
      <c r="C35" s="26"/>
      <c r="D35" s="26"/>
      <c r="E35" s="10"/>
      <c r="F35" s="10"/>
      <c r="G35" s="11"/>
      <c r="H35" s="12"/>
      <c r="I35" s="12"/>
      <c r="J35" s="12"/>
      <c r="K35" s="12"/>
      <c r="L35" s="12"/>
      <c r="M35" s="12"/>
      <c r="N35" s="12"/>
      <c r="O35" s="12"/>
      <c r="P35" s="13"/>
      <c r="AA35" s="15"/>
    </row>
    <row r="36" spans="3:27" s="14" customFormat="1">
      <c r="C36" s="26"/>
      <c r="D36" s="26"/>
      <c r="E36" s="10"/>
      <c r="F36" s="10"/>
      <c r="G36" s="11"/>
      <c r="H36" s="12"/>
      <c r="I36" s="12"/>
      <c r="J36" s="12"/>
      <c r="K36" s="12"/>
      <c r="L36" s="12"/>
      <c r="M36" s="12"/>
      <c r="N36" s="12"/>
      <c r="O36" s="12"/>
      <c r="P36" s="13"/>
      <c r="AA36" s="15"/>
    </row>
    <row r="37" spans="3:27" s="14" customFormat="1">
      <c r="C37" s="26"/>
      <c r="D37" s="26"/>
      <c r="E37" s="10"/>
      <c r="F37" s="10"/>
      <c r="G37" s="11"/>
      <c r="H37" s="12"/>
      <c r="I37" s="12"/>
      <c r="J37" s="12"/>
      <c r="K37" s="12"/>
      <c r="L37" s="12"/>
      <c r="M37" s="12"/>
      <c r="N37" s="12"/>
      <c r="O37" s="12"/>
      <c r="P37" s="13"/>
      <c r="AA37" s="15"/>
    </row>
    <row r="38" spans="3:27" s="14" customFormat="1">
      <c r="C38" s="26"/>
      <c r="D38" s="26"/>
      <c r="E38" s="10"/>
      <c r="F38" s="10"/>
      <c r="G38" s="11"/>
      <c r="H38" s="12"/>
      <c r="I38" s="12"/>
      <c r="J38" s="12"/>
      <c r="K38" s="12"/>
      <c r="L38" s="12"/>
      <c r="M38" s="12"/>
      <c r="N38" s="12"/>
      <c r="O38" s="12"/>
      <c r="P38" s="13"/>
      <c r="AA38" s="15"/>
    </row>
    <row r="39" spans="3:27" s="14" customFormat="1">
      <c r="C39" s="26"/>
      <c r="D39" s="26"/>
      <c r="E39" s="10"/>
      <c r="F39" s="10"/>
      <c r="G39" s="11"/>
      <c r="H39" s="12"/>
      <c r="I39" s="12"/>
      <c r="J39" s="12"/>
      <c r="K39" s="12"/>
      <c r="L39" s="12"/>
      <c r="M39" s="12"/>
      <c r="N39" s="12"/>
      <c r="O39" s="12"/>
      <c r="P39" s="13"/>
      <c r="AA39" s="15"/>
    </row>
    <row r="40" spans="3:27" s="14" customFormat="1">
      <c r="C40" s="29"/>
      <c r="D40" s="29"/>
      <c r="E40" s="10"/>
      <c r="F40" s="10"/>
      <c r="G40" s="11"/>
      <c r="H40" s="12"/>
      <c r="I40" s="12"/>
      <c r="J40" s="12"/>
      <c r="K40" s="12"/>
      <c r="L40" s="12"/>
      <c r="M40" s="12"/>
      <c r="N40" s="12"/>
      <c r="O40" s="12"/>
      <c r="P40" s="13"/>
      <c r="AA40" s="15"/>
    </row>
    <row r="41" spans="3:27" s="14" customFormat="1">
      <c r="C41" s="29"/>
      <c r="D41" s="29"/>
      <c r="E41" s="10"/>
      <c r="F41" s="10"/>
      <c r="G41" s="11"/>
      <c r="H41" s="12"/>
      <c r="I41" s="12"/>
      <c r="J41" s="12"/>
      <c r="K41" s="12"/>
      <c r="L41" s="12"/>
      <c r="M41" s="12"/>
      <c r="N41" s="12"/>
      <c r="O41" s="12"/>
      <c r="P41" s="13"/>
      <c r="AA41" s="15"/>
    </row>
    <row r="42" spans="3:27" s="14" customFormat="1">
      <c r="C42" s="29"/>
      <c r="D42" s="29"/>
      <c r="E42" s="10"/>
      <c r="F42" s="10"/>
      <c r="G42" s="11"/>
      <c r="H42" s="12"/>
      <c r="I42" s="12"/>
      <c r="J42" s="12"/>
      <c r="K42" s="12"/>
      <c r="L42" s="12"/>
      <c r="M42" s="12"/>
      <c r="N42" s="12"/>
      <c r="O42" s="12"/>
      <c r="P42" s="13"/>
      <c r="AA42" s="15"/>
    </row>
    <row r="43" spans="3:27" s="14" customFormat="1">
      <c r="C43" s="29"/>
      <c r="D43" s="29"/>
      <c r="E43" s="10"/>
      <c r="F43" s="10"/>
      <c r="G43" s="11"/>
      <c r="H43" s="12"/>
      <c r="I43" s="12"/>
      <c r="J43" s="12"/>
      <c r="K43" s="12"/>
      <c r="L43" s="12"/>
      <c r="M43" s="12"/>
      <c r="N43" s="12"/>
      <c r="O43" s="12"/>
      <c r="P43" s="13"/>
      <c r="AA43" s="15"/>
    </row>
    <row r="44" spans="3:27" s="14" customFormat="1">
      <c r="C44" s="29"/>
      <c r="D44" s="29"/>
      <c r="E44" s="10"/>
      <c r="F44" s="10"/>
      <c r="G44" s="11"/>
      <c r="H44" s="12"/>
      <c r="I44" s="12"/>
      <c r="J44" s="12"/>
      <c r="K44" s="12"/>
      <c r="L44" s="12"/>
      <c r="M44" s="12"/>
      <c r="N44" s="12"/>
      <c r="O44" s="12"/>
      <c r="P44" s="13"/>
      <c r="AA44" s="15"/>
    </row>
    <row r="45" spans="3:27" s="14" customFormat="1">
      <c r="C45" s="29"/>
      <c r="D45" s="29"/>
      <c r="E45" s="10"/>
      <c r="F45" s="10"/>
      <c r="G45" s="11"/>
      <c r="H45" s="12"/>
      <c r="I45" s="12"/>
      <c r="J45" s="12"/>
      <c r="K45" s="12"/>
      <c r="L45" s="12"/>
      <c r="M45" s="12"/>
      <c r="N45" s="12"/>
      <c r="O45" s="12"/>
      <c r="P45" s="13"/>
      <c r="AA45" s="15"/>
    </row>
    <row r="46" spans="3:27" s="14" customFormat="1">
      <c r="C46" s="29"/>
      <c r="D46" s="29"/>
      <c r="E46" s="10"/>
      <c r="F46" s="10"/>
      <c r="G46" s="11"/>
      <c r="H46" s="12"/>
      <c r="I46" s="12"/>
      <c r="J46" s="12"/>
      <c r="K46" s="12"/>
      <c r="L46" s="12"/>
      <c r="M46" s="12"/>
      <c r="N46" s="12"/>
      <c r="O46" s="12"/>
      <c r="P46" s="13"/>
      <c r="AA46" s="15"/>
    </row>
    <row r="47" spans="3:27" s="14" customFormat="1">
      <c r="C47" s="29"/>
      <c r="D47" s="29"/>
      <c r="E47" s="10"/>
      <c r="F47" s="10"/>
      <c r="G47" s="11"/>
      <c r="H47" s="12"/>
      <c r="I47" s="12"/>
      <c r="J47" s="12"/>
      <c r="K47" s="12"/>
      <c r="L47" s="12"/>
      <c r="M47" s="12"/>
      <c r="N47" s="12"/>
      <c r="O47" s="12"/>
      <c r="P47" s="13"/>
      <c r="AA47" s="15"/>
    </row>
    <row r="48" spans="3:27" s="14" customFormat="1">
      <c r="C48" s="29"/>
      <c r="D48" s="29"/>
      <c r="E48" s="10"/>
      <c r="F48" s="10"/>
      <c r="G48" s="11"/>
      <c r="H48" s="12"/>
      <c r="I48" s="12"/>
      <c r="J48" s="12"/>
      <c r="K48" s="12"/>
      <c r="L48" s="12"/>
      <c r="M48" s="12"/>
      <c r="N48" s="12"/>
      <c r="O48" s="12"/>
      <c r="P48" s="13"/>
      <c r="AA48" s="15"/>
    </row>
    <row r="49" spans="3:27" s="14" customFormat="1">
      <c r="C49" s="29"/>
      <c r="D49" s="29"/>
      <c r="E49" s="10"/>
      <c r="F49" s="10"/>
      <c r="G49" s="11"/>
      <c r="H49" s="12"/>
      <c r="I49" s="12"/>
      <c r="J49" s="12"/>
      <c r="K49" s="12"/>
      <c r="L49" s="12"/>
      <c r="M49" s="12"/>
      <c r="N49" s="12"/>
      <c r="O49" s="12"/>
      <c r="P49" s="13"/>
      <c r="AA49" s="15"/>
    </row>
    <row r="50" spans="3:27" s="14" customFormat="1">
      <c r="C50" s="29"/>
      <c r="D50" s="29"/>
      <c r="E50" s="10"/>
      <c r="F50" s="10"/>
      <c r="G50" s="11"/>
      <c r="H50" s="12"/>
      <c r="I50" s="12"/>
      <c r="J50" s="12"/>
      <c r="K50" s="12"/>
      <c r="L50" s="12"/>
      <c r="M50" s="12"/>
      <c r="N50" s="12"/>
      <c r="O50" s="12"/>
      <c r="P50" s="13"/>
      <c r="AA50" s="15"/>
    </row>
    <row r="51" spans="3:27" s="14" customFormat="1">
      <c r="C51" s="29"/>
      <c r="D51" s="29"/>
      <c r="E51" s="10"/>
      <c r="F51" s="10"/>
      <c r="G51" s="11"/>
      <c r="H51" s="12"/>
      <c r="I51" s="12"/>
      <c r="J51" s="12"/>
      <c r="K51" s="12"/>
      <c r="L51" s="12"/>
      <c r="M51" s="12"/>
      <c r="N51" s="12"/>
      <c r="O51" s="12"/>
      <c r="P51" s="13"/>
      <c r="AA51" s="15"/>
    </row>
    <row r="52" spans="3:27" s="14" customFormat="1">
      <c r="C52" s="29"/>
      <c r="D52" s="29"/>
      <c r="E52" s="10"/>
      <c r="F52" s="10"/>
      <c r="G52" s="11"/>
      <c r="H52" s="12"/>
      <c r="I52" s="12"/>
      <c r="J52" s="12"/>
      <c r="K52" s="12"/>
      <c r="L52" s="12"/>
      <c r="M52" s="12"/>
      <c r="N52" s="12"/>
      <c r="O52" s="12"/>
      <c r="P52" s="13"/>
      <c r="AA52" s="15"/>
    </row>
    <row r="53" spans="3:27" s="14" customFormat="1">
      <c r="C53" s="29"/>
      <c r="D53" s="29"/>
      <c r="E53" s="10"/>
      <c r="F53" s="10"/>
      <c r="G53" s="11"/>
      <c r="H53" s="12"/>
      <c r="I53" s="12"/>
      <c r="J53" s="12"/>
      <c r="K53" s="12"/>
      <c r="L53" s="12"/>
      <c r="M53" s="12"/>
      <c r="N53" s="12"/>
      <c r="O53" s="12"/>
      <c r="P53" s="13"/>
      <c r="AA53" s="15"/>
    </row>
    <row r="54" spans="3:27" s="14" customFormat="1">
      <c r="C54" s="29"/>
      <c r="D54" s="29"/>
      <c r="E54" s="10"/>
      <c r="F54" s="10"/>
      <c r="G54" s="11"/>
      <c r="H54" s="12"/>
      <c r="I54" s="12"/>
      <c r="J54" s="12"/>
      <c r="K54" s="12"/>
      <c r="L54" s="12"/>
      <c r="M54" s="12"/>
      <c r="N54" s="12"/>
      <c r="O54" s="12"/>
      <c r="P54" s="13"/>
      <c r="AA54" s="15"/>
    </row>
    <row r="55" spans="3:27" s="14" customFormat="1">
      <c r="C55" s="29"/>
      <c r="D55" s="29"/>
      <c r="E55" s="10"/>
      <c r="F55" s="10"/>
      <c r="G55" s="11"/>
      <c r="H55" s="12"/>
      <c r="I55" s="12"/>
      <c r="J55" s="12"/>
      <c r="K55" s="12"/>
      <c r="L55" s="12"/>
      <c r="M55" s="12"/>
      <c r="N55" s="12"/>
      <c r="O55" s="12"/>
      <c r="P55" s="13"/>
      <c r="AA55" s="15"/>
    </row>
    <row r="56" spans="3:27" s="14" customFormat="1">
      <c r="C56" s="29"/>
      <c r="D56" s="29"/>
      <c r="E56" s="10"/>
      <c r="F56" s="10"/>
      <c r="G56" s="11"/>
      <c r="H56" s="12"/>
      <c r="I56" s="12"/>
      <c r="J56" s="12"/>
      <c r="K56" s="12"/>
      <c r="L56" s="12"/>
      <c r="M56" s="12"/>
      <c r="N56" s="12"/>
      <c r="O56" s="12"/>
      <c r="P56" s="13"/>
      <c r="AA56" s="15"/>
    </row>
    <row r="57" spans="3:27" s="14" customFormat="1">
      <c r="C57" s="29"/>
      <c r="D57" s="29"/>
      <c r="E57" s="10"/>
      <c r="F57" s="10"/>
      <c r="G57" s="11"/>
      <c r="H57" s="12"/>
      <c r="I57" s="12"/>
      <c r="J57" s="12"/>
      <c r="K57" s="12"/>
      <c r="L57" s="12"/>
      <c r="M57" s="12"/>
      <c r="N57" s="12"/>
      <c r="O57" s="12"/>
      <c r="P57" s="13"/>
      <c r="AA57" s="15"/>
    </row>
    <row r="58" spans="3:27" s="14" customFormat="1">
      <c r="C58" s="29"/>
      <c r="D58" s="29"/>
      <c r="E58" s="10"/>
      <c r="F58" s="10"/>
      <c r="G58" s="11"/>
      <c r="H58" s="12"/>
      <c r="I58" s="12"/>
      <c r="J58" s="12"/>
      <c r="K58" s="12"/>
      <c r="L58" s="12"/>
      <c r="M58" s="12"/>
      <c r="N58" s="12"/>
      <c r="O58" s="12"/>
      <c r="P58" s="13"/>
      <c r="AA58" s="15"/>
    </row>
    <row r="59" spans="3:27" s="14" customFormat="1">
      <c r="C59" s="29"/>
      <c r="D59" s="29"/>
      <c r="E59" s="10"/>
      <c r="F59" s="10"/>
      <c r="G59" s="11"/>
      <c r="H59" s="12"/>
      <c r="I59" s="12"/>
      <c r="J59" s="12"/>
      <c r="K59" s="12"/>
      <c r="L59" s="12"/>
      <c r="M59" s="12"/>
      <c r="N59" s="12"/>
      <c r="O59" s="12"/>
      <c r="P59" s="13"/>
      <c r="AA59" s="15"/>
    </row>
    <row r="60" spans="3:27" s="14" customFormat="1">
      <c r="C60" s="29"/>
      <c r="D60" s="29"/>
      <c r="E60" s="10"/>
      <c r="F60" s="10"/>
      <c r="G60" s="11"/>
      <c r="H60" s="12"/>
      <c r="I60" s="12"/>
      <c r="J60" s="12"/>
      <c r="K60" s="12"/>
      <c r="L60" s="12"/>
      <c r="M60" s="12"/>
      <c r="N60" s="12"/>
      <c r="O60" s="12"/>
      <c r="P60" s="13"/>
      <c r="AA60" s="15"/>
    </row>
    <row r="61" spans="3:27" s="14" customFormat="1">
      <c r="C61" s="29"/>
      <c r="D61" s="29"/>
      <c r="E61" s="10"/>
      <c r="F61" s="10"/>
      <c r="G61" s="11"/>
      <c r="H61" s="12"/>
      <c r="I61" s="12"/>
      <c r="J61" s="12"/>
      <c r="K61" s="12"/>
      <c r="L61" s="12"/>
      <c r="M61" s="12"/>
      <c r="N61" s="12"/>
      <c r="O61" s="12"/>
      <c r="P61" s="13"/>
      <c r="AA61" s="15"/>
    </row>
    <row r="62" spans="3:27" s="14" customFormat="1">
      <c r="C62" s="29"/>
      <c r="D62" s="29"/>
      <c r="E62" s="10"/>
      <c r="F62" s="10"/>
      <c r="G62" s="11"/>
      <c r="H62" s="12"/>
      <c r="I62" s="12"/>
      <c r="J62" s="12"/>
      <c r="K62" s="12"/>
      <c r="L62" s="12"/>
      <c r="M62" s="12"/>
      <c r="N62" s="12"/>
      <c r="O62" s="12"/>
      <c r="P62" s="13"/>
      <c r="AA62" s="15"/>
    </row>
    <row r="63" spans="3:27" s="14" customFormat="1">
      <c r="C63" s="29"/>
      <c r="D63" s="29"/>
      <c r="E63" s="10"/>
      <c r="F63" s="10"/>
      <c r="G63" s="11"/>
      <c r="H63" s="12"/>
      <c r="I63" s="12"/>
      <c r="J63" s="12"/>
      <c r="K63" s="12"/>
      <c r="L63" s="12"/>
      <c r="M63" s="12"/>
      <c r="N63" s="12"/>
      <c r="O63" s="12"/>
      <c r="P63" s="13"/>
      <c r="AA63" s="15"/>
    </row>
    <row r="64" spans="3:27" s="14" customFormat="1">
      <c r="C64" s="29"/>
      <c r="D64" s="29"/>
      <c r="E64" s="10"/>
      <c r="F64" s="10"/>
      <c r="G64" s="11"/>
      <c r="H64" s="12"/>
      <c r="I64" s="12"/>
      <c r="J64" s="12"/>
      <c r="K64" s="12"/>
      <c r="L64" s="12"/>
      <c r="M64" s="12"/>
      <c r="N64" s="12"/>
      <c r="O64" s="12"/>
      <c r="P64" s="13"/>
      <c r="AA64" s="15"/>
    </row>
    <row r="65" spans="3:27" s="14" customFormat="1">
      <c r="C65" s="29"/>
      <c r="D65" s="29"/>
      <c r="E65" s="10"/>
      <c r="F65" s="10"/>
      <c r="G65" s="11"/>
      <c r="H65" s="12"/>
      <c r="I65" s="12"/>
      <c r="J65" s="12"/>
      <c r="K65" s="12"/>
      <c r="L65" s="12"/>
      <c r="M65" s="12"/>
      <c r="N65" s="12"/>
      <c r="O65" s="12"/>
      <c r="P65" s="13"/>
      <c r="AA65" s="15"/>
    </row>
    <row r="66" spans="3:27" s="14" customFormat="1">
      <c r="C66" s="29"/>
      <c r="D66" s="29"/>
      <c r="E66" s="10"/>
      <c r="F66" s="10"/>
      <c r="G66" s="11"/>
      <c r="H66" s="12"/>
      <c r="I66" s="12"/>
      <c r="J66" s="12"/>
      <c r="K66" s="12"/>
      <c r="L66" s="12"/>
      <c r="M66" s="12"/>
      <c r="N66" s="12"/>
      <c r="O66" s="12"/>
      <c r="P66" s="13"/>
      <c r="AA66" s="15"/>
    </row>
    <row r="67" spans="3:27" s="14" customFormat="1">
      <c r="C67" s="29"/>
      <c r="D67" s="29"/>
      <c r="E67" s="10"/>
      <c r="F67" s="10"/>
      <c r="G67" s="11"/>
      <c r="H67" s="12"/>
      <c r="I67" s="12"/>
      <c r="J67" s="12"/>
      <c r="K67" s="12"/>
      <c r="L67" s="12"/>
      <c r="M67" s="12"/>
      <c r="N67" s="12"/>
      <c r="O67" s="12"/>
      <c r="P67" s="13"/>
      <c r="AA67" s="15"/>
    </row>
    <row r="68" spans="3:27" s="14" customFormat="1">
      <c r="C68" s="29"/>
      <c r="D68" s="29"/>
      <c r="E68" s="10"/>
      <c r="F68" s="10"/>
      <c r="G68" s="11"/>
      <c r="H68" s="12"/>
      <c r="I68" s="12"/>
      <c r="J68" s="12"/>
      <c r="K68" s="12"/>
      <c r="L68" s="12"/>
      <c r="M68" s="12"/>
      <c r="N68" s="12"/>
      <c r="O68" s="12"/>
      <c r="P68" s="13"/>
      <c r="AA68" s="15"/>
    </row>
    <row r="69" spans="3:27" s="14" customFormat="1">
      <c r="C69" s="29"/>
      <c r="D69" s="29"/>
      <c r="E69" s="10"/>
      <c r="F69" s="10"/>
      <c r="G69" s="11"/>
      <c r="H69" s="12"/>
      <c r="I69" s="12"/>
      <c r="J69" s="12"/>
      <c r="K69" s="12"/>
      <c r="L69" s="12"/>
      <c r="M69" s="12"/>
      <c r="N69" s="12"/>
      <c r="O69" s="12"/>
      <c r="P69" s="13"/>
      <c r="AA69" s="15"/>
    </row>
    <row r="70" spans="3:27" s="14" customFormat="1">
      <c r="C70" s="29"/>
      <c r="D70" s="29"/>
      <c r="E70" s="10"/>
      <c r="F70" s="10"/>
      <c r="G70" s="11"/>
      <c r="H70" s="12"/>
      <c r="I70" s="12"/>
      <c r="J70" s="12"/>
      <c r="K70" s="12"/>
      <c r="L70" s="12"/>
      <c r="M70" s="12"/>
      <c r="N70" s="12"/>
      <c r="O70" s="12"/>
      <c r="P70" s="13"/>
      <c r="AA70" s="15"/>
    </row>
    <row r="71" spans="3:27" s="14" customFormat="1">
      <c r="C71" s="29"/>
      <c r="D71" s="29"/>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9">
    <tabColor indexed="12"/>
  </sheetPr>
  <dimension ref="B1:AB30"/>
  <sheetViews>
    <sheetView showZeros="0" workbookViewId="0">
      <selection activeCell="AB31" sqref="AB31"/>
    </sheetView>
  </sheetViews>
  <sheetFormatPr defaultColWidth="9.33203125" defaultRowHeight="13.8"/>
  <cols>
    <col min="1" max="1" width="2.6640625" style="94" customWidth="1"/>
    <col min="2" max="2" width="8.88671875" style="94" customWidth="1"/>
    <col min="3" max="4" width="13" style="98"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C1" s="220" t="s">
        <v>234</v>
      </c>
      <c r="D1" s="220"/>
    </row>
    <row r="2" spans="2:28">
      <c r="C2" s="147"/>
      <c r="D2" s="147"/>
      <c r="H2" s="112"/>
    </row>
    <row r="3" spans="2:28" s="110" customFormat="1" ht="14.4" thickBot="1">
      <c r="C3" s="221" t="s">
        <v>192</v>
      </c>
      <c r="D3" s="221" t="s">
        <v>108</v>
      </c>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139"/>
      <c r="C4" s="222"/>
      <c r="D4" s="223"/>
      <c r="E4" s="95" t="e">
        <f t="shared" ref="E4:N13" si="0">INDEX(scorematrix,MATCH($C4,renners,0),MATCH(E$3,etappes,0))</f>
        <v>#N/A</v>
      </c>
      <c r="F4" s="95" t="e">
        <f t="shared" si="0"/>
        <v>#N/A</v>
      </c>
      <c r="G4" s="95" t="e">
        <f t="shared" si="0"/>
        <v>#N/A</v>
      </c>
      <c r="H4" s="95" t="e">
        <f t="shared" si="0"/>
        <v>#N/A</v>
      </c>
      <c r="I4" s="95" t="e">
        <f t="shared" si="0"/>
        <v>#N/A</v>
      </c>
      <c r="J4" s="95" t="e">
        <f t="shared" si="0"/>
        <v>#N/A</v>
      </c>
      <c r="K4" s="95" t="e">
        <f t="shared" si="0"/>
        <v>#N/A</v>
      </c>
      <c r="L4" s="95" t="e">
        <f t="shared" si="0"/>
        <v>#N/A</v>
      </c>
      <c r="M4" s="95" t="e">
        <f t="shared" si="0"/>
        <v>#N/A</v>
      </c>
      <c r="N4" s="95" t="e">
        <f t="shared" si="0"/>
        <v>#N/A</v>
      </c>
      <c r="O4" s="95" t="e">
        <f t="shared" ref="O4:Z13" si="1">INDEX(scorematrix,MATCH($C4,renners,0),MATCH(O$3,etappes,0))</f>
        <v>#N/A</v>
      </c>
      <c r="P4" s="95" t="e">
        <f t="shared" si="1"/>
        <v>#N/A</v>
      </c>
      <c r="Q4" s="95" t="e">
        <f t="shared" si="1"/>
        <v>#N/A</v>
      </c>
      <c r="R4" s="95" t="e">
        <f t="shared" si="1"/>
        <v>#N/A</v>
      </c>
      <c r="S4" s="95" t="e">
        <f t="shared" si="1"/>
        <v>#N/A</v>
      </c>
      <c r="T4" s="95" t="e">
        <f t="shared" si="1"/>
        <v>#N/A</v>
      </c>
      <c r="U4" s="95" t="e">
        <f t="shared" si="1"/>
        <v>#N/A</v>
      </c>
      <c r="V4" s="95" t="e">
        <f t="shared" si="1"/>
        <v>#N/A</v>
      </c>
      <c r="W4" s="95" t="e">
        <f t="shared" si="1"/>
        <v>#N/A</v>
      </c>
      <c r="X4" s="95" t="e">
        <f t="shared" si="1"/>
        <v>#N/A</v>
      </c>
      <c r="Y4" s="95" t="e">
        <f t="shared" si="1"/>
        <v>#N/A</v>
      </c>
      <c r="Z4" s="95" t="e">
        <f t="shared" si="1"/>
        <v>#N/A</v>
      </c>
      <c r="AA4" s="153" t="e">
        <f t="shared" ref="AA4:AA21" si="2">SUM(E4:Z4)</f>
        <v>#N/A</v>
      </c>
      <c r="AB4" s="94">
        <f t="shared" ref="AB4:AB18" si="3">C4</f>
        <v>0</v>
      </c>
    </row>
    <row r="5" spans="2:28">
      <c r="B5" s="139"/>
      <c r="C5" s="224"/>
      <c r="D5" s="223"/>
      <c r="E5" s="95" t="e">
        <f t="shared" si="0"/>
        <v>#N/A</v>
      </c>
      <c r="F5" s="95" t="e">
        <f t="shared" si="0"/>
        <v>#N/A</v>
      </c>
      <c r="G5" s="95" t="e">
        <f t="shared" si="0"/>
        <v>#N/A</v>
      </c>
      <c r="H5" s="95" t="e">
        <f t="shared" si="0"/>
        <v>#N/A</v>
      </c>
      <c r="I5" s="95" t="e">
        <f t="shared" si="0"/>
        <v>#N/A</v>
      </c>
      <c r="J5" s="95" t="e">
        <f t="shared" si="0"/>
        <v>#N/A</v>
      </c>
      <c r="K5" s="95" t="e">
        <f t="shared" si="0"/>
        <v>#N/A</v>
      </c>
      <c r="L5" s="95" t="e">
        <f t="shared" si="0"/>
        <v>#N/A</v>
      </c>
      <c r="M5" s="95" t="e">
        <f t="shared" si="0"/>
        <v>#N/A</v>
      </c>
      <c r="N5" s="95" t="e">
        <f t="shared" si="0"/>
        <v>#N/A</v>
      </c>
      <c r="O5" s="95" t="e">
        <f t="shared" si="1"/>
        <v>#N/A</v>
      </c>
      <c r="P5" s="95" t="e">
        <f t="shared" si="1"/>
        <v>#N/A</v>
      </c>
      <c r="Q5" s="95" t="e">
        <f t="shared" si="1"/>
        <v>#N/A</v>
      </c>
      <c r="R5" s="95" t="e">
        <f t="shared" si="1"/>
        <v>#N/A</v>
      </c>
      <c r="S5" s="95" t="e">
        <f t="shared" si="1"/>
        <v>#N/A</v>
      </c>
      <c r="T5" s="95" t="e">
        <f t="shared" si="1"/>
        <v>#N/A</v>
      </c>
      <c r="U5" s="95" t="e">
        <f t="shared" si="1"/>
        <v>#N/A</v>
      </c>
      <c r="V5" s="95" t="e">
        <f t="shared" si="1"/>
        <v>#N/A</v>
      </c>
      <c r="W5" s="95" t="e">
        <f t="shared" si="1"/>
        <v>#N/A</v>
      </c>
      <c r="X5" s="95" t="e">
        <f t="shared" si="1"/>
        <v>#N/A</v>
      </c>
      <c r="Y5" s="95" t="e">
        <f t="shared" si="1"/>
        <v>#N/A</v>
      </c>
      <c r="Z5" s="95" t="e">
        <f t="shared" si="1"/>
        <v>#N/A</v>
      </c>
      <c r="AA5" s="153" t="e">
        <f t="shared" si="2"/>
        <v>#N/A</v>
      </c>
      <c r="AB5" s="94">
        <f t="shared" si="3"/>
        <v>0</v>
      </c>
    </row>
    <row r="6" spans="2:28">
      <c r="B6" s="139"/>
      <c r="C6" s="224"/>
      <c r="D6" s="223"/>
      <c r="E6" s="95" t="e">
        <f t="shared" si="0"/>
        <v>#N/A</v>
      </c>
      <c r="F6" s="95" t="e">
        <f t="shared" si="0"/>
        <v>#N/A</v>
      </c>
      <c r="G6" s="95" t="e">
        <f t="shared" si="0"/>
        <v>#N/A</v>
      </c>
      <c r="H6" s="95" t="e">
        <f t="shared" si="0"/>
        <v>#N/A</v>
      </c>
      <c r="I6" s="95" t="e">
        <f t="shared" si="0"/>
        <v>#N/A</v>
      </c>
      <c r="J6" s="95" t="e">
        <f t="shared" si="0"/>
        <v>#N/A</v>
      </c>
      <c r="K6" s="95" t="e">
        <f t="shared" si="0"/>
        <v>#N/A</v>
      </c>
      <c r="L6" s="95" t="e">
        <f t="shared" si="0"/>
        <v>#N/A</v>
      </c>
      <c r="M6" s="95" t="e">
        <f t="shared" si="0"/>
        <v>#N/A</v>
      </c>
      <c r="N6" s="95" t="e">
        <f t="shared" si="0"/>
        <v>#N/A</v>
      </c>
      <c r="O6" s="95" t="e">
        <f t="shared" si="1"/>
        <v>#N/A</v>
      </c>
      <c r="P6" s="95" t="e">
        <f t="shared" si="1"/>
        <v>#N/A</v>
      </c>
      <c r="Q6" s="95" t="e">
        <f t="shared" si="1"/>
        <v>#N/A</v>
      </c>
      <c r="R6" s="95" t="e">
        <f t="shared" si="1"/>
        <v>#N/A</v>
      </c>
      <c r="S6" s="95" t="e">
        <f t="shared" si="1"/>
        <v>#N/A</v>
      </c>
      <c r="T6" s="95" t="e">
        <f t="shared" si="1"/>
        <v>#N/A</v>
      </c>
      <c r="U6" s="95" t="e">
        <f t="shared" si="1"/>
        <v>#N/A</v>
      </c>
      <c r="V6" s="95" t="e">
        <f t="shared" si="1"/>
        <v>#N/A</v>
      </c>
      <c r="W6" s="95" t="e">
        <f t="shared" si="1"/>
        <v>#N/A</v>
      </c>
      <c r="X6" s="95" t="e">
        <f t="shared" si="1"/>
        <v>#N/A</v>
      </c>
      <c r="Y6" s="95" t="e">
        <f t="shared" si="1"/>
        <v>#N/A</v>
      </c>
      <c r="Z6" s="95" t="e">
        <f t="shared" si="1"/>
        <v>#N/A</v>
      </c>
      <c r="AA6" s="153" t="e">
        <f t="shared" si="2"/>
        <v>#N/A</v>
      </c>
      <c r="AB6" s="94">
        <f t="shared" si="3"/>
        <v>0</v>
      </c>
    </row>
    <row r="7" spans="2:28">
      <c r="B7" s="139"/>
      <c r="C7" s="224"/>
      <c r="D7" s="223"/>
      <c r="E7" s="95" t="e">
        <f t="shared" si="0"/>
        <v>#N/A</v>
      </c>
      <c r="F7" s="95" t="e">
        <f t="shared" si="0"/>
        <v>#N/A</v>
      </c>
      <c r="G7" s="95" t="e">
        <f t="shared" si="0"/>
        <v>#N/A</v>
      </c>
      <c r="H7" s="95" t="e">
        <f t="shared" si="0"/>
        <v>#N/A</v>
      </c>
      <c r="I7" s="95" t="e">
        <f t="shared" si="0"/>
        <v>#N/A</v>
      </c>
      <c r="J7" s="95" t="e">
        <f t="shared" si="0"/>
        <v>#N/A</v>
      </c>
      <c r="K7" s="95" t="e">
        <f t="shared" si="0"/>
        <v>#N/A</v>
      </c>
      <c r="L7" s="95" t="e">
        <f t="shared" si="0"/>
        <v>#N/A</v>
      </c>
      <c r="M7" s="95" t="e">
        <f t="shared" si="0"/>
        <v>#N/A</v>
      </c>
      <c r="N7" s="95" t="e">
        <f t="shared" si="0"/>
        <v>#N/A</v>
      </c>
      <c r="O7" s="95" t="e">
        <f t="shared" si="1"/>
        <v>#N/A</v>
      </c>
      <c r="P7" s="95" t="e">
        <f t="shared" si="1"/>
        <v>#N/A</v>
      </c>
      <c r="Q7" s="95" t="e">
        <f t="shared" si="1"/>
        <v>#N/A</v>
      </c>
      <c r="R7" s="95" t="e">
        <f t="shared" si="1"/>
        <v>#N/A</v>
      </c>
      <c r="S7" s="95" t="e">
        <f t="shared" si="1"/>
        <v>#N/A</v>
      </c>
      <c r="T7" s="95" t="e">
        <f t="shared" si="1"/>
        <v>#N/A</v>
      </c>
      <c r="U7" s="95" t="e">
        <f t="shared" si="1"/>
        <v>#N/A</v>
      </c>
      <c r="V7" s="95" t="e">
        <f t="shared" si="1"/>
        <v>#N/A</v>
      </c>
      <c r="W7" s="95" t="e">
        <f t="shared" si="1"/>
        <v>#N/A</v>
      </c>
      <c r="X7" s="95" t="e">
        <f t="shared" si="1"/>
        <v>#N/A</v>
      </c>
      <c r="Y7" s="95" t="e">
        <f t="shared" si="1"/>
        <v>#N/A</v>
      </c>
      <c r="Z7" s="95" t="e">
        <f t="shared" si="1"/>
        <v>#N/A</v>
      </c>
      <c r="AA7" s="153" t="e">
        <f t="shared" si="2"/>
        <v>#N/A</v>
      </c>
      <c r="AB7" s="94">
        <f t="shared" si="3"/>
        <v>0</v>
      </c>
    </row>
    <row r="8" spans="2:28">
      <c r="B8" s="139"/>
      <c r="C8" s="224"/>
      <c r="D8" s="223"/>
      <c r="E8" s="95" t="e">
        <f t="shared" si="0"/>
        <v>#N/A</v>
      </c>
      <c r="F8" s="95" t="e">
        <f t="shared" si="0"/>
        <v>#N/A</v>
      </c>
      <c r="G8" s="95" t="e">
        <f t="shared" si="0"/>
        <v>#N/A</v>
      </c>
      <c r="H8" s="95" t="e">
        <f t="shared" si="0"/>
        <v>#N/A</v>
      </c>
      <c r="I8" s="95" t="e">
        <f t="shared" si="0"/>
        <v>#N/A</v>
      </c>
      <c r="J8" s="95" t="e">
        <f t="shared" si="0"/>
        <v>#N/A</v>
      </c>
      <c r="K8" s="95" t="e">
        <f t="shared" si="0"/>
        <v>#N/A</v>
      </c>
      <c r="L8" s="95" t="e">
        <f t="shared" si="0"/>
        <v>#N/A</v>
      </c>
      <c r="M8" s="95" t="e">
        <f t="shared" si="0"/>
        <v>#N/A</v>
      </c>
      <c r="N8" s="95" t="e">
        <f t="shared" si="0"/>
        <v>#N/A</v>
      </c>
      <c r="O8" s="95" t="e">
        <f t="shared" si="1"/>
        <v>#N/A</v>
      </c>
      <c r="P8" s="95" t="e">
        <f t="shared" si="1"/>
        <v>#N/A</v>
      </c>
      <c r="Q8" s="95" t="e">
        <f t="shared" si="1"/>
        <v>#N/A</v>
      </c>
      <c r="R8" s="95" t="e">
        <f t="shared" si="1"/>
        <v>#N/A</v>
      </c>
      <c r="S8" s="95" t="e">
        <f t="shared" si="1"/>
        <v>#N/A</v>
      </c>
      <c r="T8" s="95" t="e">
        <f t="shared" si="1"/>
        <v>#N/A</v>
      </c>
      <c r="U8" s="95" t="e">
        <f t="shared" si="1"/>
        <v>#N/A</v>
      </c>
      <c r="V8" s="95" t="e">
        <f t="shared" si="1"/>
        <v>#N/A</v>
      </c>
      <c r="W8" s="95" t="e">
        <f t="shared" si="1"/>
        <v>#N/A</v>
      </c>
      <c r="X8" s="95" t="e">
        <f t="shared" si="1"/>
        <v>#N/A</v>
      </c>
      <c r="Y8" s="95" t="e">
        <f t="shared" si="1"/>
        <v>#N/A</v>
      </c>
      <c r="Z8" s="95" t="e">
        <f t="shared" si="1"/>
        <v>#N/A</v>
      </c>
      <c r="AA8" s="153" t="e">
        <f t="shared" si="2"/>
        <v>#N/A</v>
      </c>
      <c r="AB8" s="94">
        <f t="shared" si="3"/>
        <v>0</v>
      </c>
    </row>
    <row r="9" spans="2:28">
      <c r="B9" s="139"/>
      <c r="C9" s="224"/>
      <c r="D9" s="223"/>
      <c r="E9" s="95" t="e">
        <f t="shared" si="0"/>
        <v>#N/A</v>
      </c>
      <c r="F9" s="95" t="e">
        <f t="shared" si="0"/>
        <v>#N/A</v>
      </c>
      <c r="G9" s="95" t="e">
        <f t="shared" si="0"/>
        <v>#N/A</v>
      </c>
      <c r="H9" s="95" t="e">
        <f t="shared" si="0"/>
        <v>#N/A</v>
      </c>
      <c r="I9" s="95" t="e">
        <f t="shared" si="0"/>
        <v>#N/A</v>
      </c>
      <c r="J9" s="95" t="e">
        <f t="shared" si="0"/>
        <v>#N/A</v>
      </c>
      <c r="K9" s="95" t="e">
        <f t="shared" si="0"/>
        <v>#N/A</v>
      </c>
      <c r="L9" s="95" t="e">
        <f t="shared" si="0"/>
        <v>#N/A</v>
      </c>
      <c r="M9" s="95" t="e">
        <f t="shared" si="0"/>
        <v>#N/A</v>
      </c>
      <c r="N9" s="95" t="e">
        <f t="shared" si="0"/>
        <v>#N/A</v>
      </c>
      <c r="O9" s="95" t="e">
        <f t="shared" si="1"/>
        <v>#N/A</v>
      </c>
      <c r="P9" s="95" t="e">
        <f t="shared" si="1"/>
        <v>#N/A</v>
      </c>
      <c r="Q9" s="95" t="e">
        <f t="shared" si="1"/>
        <v>#N/A</v>
      </c>
      <c r="R9" s="95" t="e">
        <f t="shared" si="1"/>
        <v>#N/A</v>
      </c>
      <c r="S9" s="95" t="e">
        <f t="shared" si="1"/>
        <v>#N/A</v>
      </c>
      <c r="T9" s="95" t="e">
        <f t="shared" si="1"/>
        <v>#N/A</v>
      </c>
      <c r="U9" s="95" t="e">
        <f t="shared" si="1"/>
        <v>#N/A</v>
      </c>
      <c r="V9" s="95" t="e">
        <f t="shared" si="1"/>
        <v>#N/A</v>
      </c>
      <c r="W9" s="95" t="e">
        <f t="shared" si="1"/>
        <v>#N/A</v>
      </c>
      <c r="X9" s="95" t="e">
        <f t="shared" si="1"/>
        <v>#N/A</v>
      </c>
      <c r="Y9" s="95" t="e">
        <f t="shared" si="1"/>
        <v>#N/A</v>
      </c>
      <c r="Z9" s="95" t="e">
        <f t="shared" si="1"/>
        <v>#N/A</v>
      </c>
      <c r="AA9" s="153" t="e">
        <f t="shared" si="2"/>
        <v>#N/A</v>
      </c>
      <c r="AB9" s="94">
        <f t="shared" si="3"/>
        <v>0</v>
      </c>
    </row>
    <row r="10" spans="2:28">
      <c r="B10" s="139"/>
      <c r="C10" s="224"/>
      <c r="D10" s="223"/>
      <c r="E10" s="95" t="e">
        <f t="shared" si="0"/>
        <v>#N/A</v>
      </c>
      <c r="F10" s="95" t="e">
        <f t="shared" si="0"/>
        <v>#N/A</v>
      </c>
      <c r="G10" s="95" t="e">
        <f t="shared" si="0"/>
        <v>#N/A</v>
      </c>
      <c r="H10" s="95" t="e">
        <f t="shared" si="0"/>
        <v>#N/A</v>
      </c>
      <c r="I10" s="95" t="e">
        <f t="shared" si="0"/>
        <v>#N/A</v>
      </c>
      <c r="J10" s="95" t="e">
        <f t="shared" si="0"/>
        <v>#N/A</v>
      </c>
      <c r="K10" s="95" t="e">
        <f t="shared" si="0"/>
        <v>#N/A</v>
      </c>
      <c r="L10" s="95" t="e">
        <f t="shared" si="0"/>
        <v>#N/A</v>
      </c>
      <c r="M10" s="95" t="e">
        <f t="shared" si="0"/>
        <v>#N/A</v>
      </c>
      <c r="N10" s="95" t="e">
        <f t="shared" si="0"/>
        <v>#N/A</v>
      </c>
      <c r="O10" s="95" t="e">
        <f t="shared" si="1"/>
        <v>#N/A</v>
      </c>
      <c r="P10" s="95" t="e">
        <f t="shared" si="1"/>
        <v>#N/A</v>
      </c>
      <c r="Q10" s="95" t="e">
        <f t="shared" si="1"/>
        <v>#N/A</v>
      </c>
      <c r="R10" s="95" t="e">
        <f t="shared" si="1"/>
        <v>#N/A</v>
      </c>
      <c r="S10" s="95" t="e">
        <f t="shared" si="1"/>
        <v>#N/A</v>
      </c>
      <c r="T10" s="95" t="e">
        <f t="shared" si="1"/>
        <v>#N/A</v>
      </c>
      <c r="U10" s="95" t="e">
        <f t="shared" si="1"/>
        <v>#N/A</v>
      </c>
      <c r="V10" s="95" t="e">
        <f t="shared" si="1"/>
        <v>#N/A</v>
      </c>
      <c r="W10" s="95" t="e">
        <f t="shared" si="1"/>
        <v>#N/A</v>
      </c>
      <c r="X10" s="95" t="e">
        <f t="shared" si="1"/>
        <v>#N/A</v>
      </c>
      <c r="Y10" s="95" t="e">
        <f t="shared" si="1"/>
        <v>#N/A</v>
      </c>
      <c r="Z10" s="95" t="e">
        <f t="shared" si="1"/>
        <v>#N/A</v>
      </c>
      <c r="AA10" s="153" t="e">
        <f t="shared" si="2"/>
        <v>#N/A</v>
      </c>
      <c r="AB10" s="94">
        <f t="shared" si="3"/>
        <v>0</v>
      </c>
    </row>
    <row r="11" spans="2:28">
      <c r="B11" s="139"/>
      <c r="C11" s="224"/>
      <c r="D11" s="223"/>
      <c r="E11" s="95" t="e">
        <f t="shared" si="0"/>
        <v>#N/A</v>
      </c>
      <c r="F11" s="95" t="e">
        <f t="shared" si="0"/>
        <v>#N/A</v>
      </c>
      <c r="G11" s="95" t="e">
        <f t="shared" si="0"/>
        <v>#N/A</v>
      </c>
      <c r="H11" s="95" t="e">
        <f t="shared" si="0"/>
        <v>#N/A</v>
      </c>
      <c r="I11" s="95" t="e">
        <f t="shared" si="0"/>
        <v>#N/A</v>
      </c>
      <c r="J11" s="95" t="e">
        <f t="shared" si="0"/>
        <v>#N/A</v>
      </c>
      <c r="K11" s="95" t="e">
        <f t="shared" si="0"/>
        <v>#N/A</v>
      </c>
      <c r="L11" s="95" t="e">
        <f t="shared" si="0"/>
        <v>#N/A</v>
      </c>
      <c r="M11" s="95" t="e">
        <f t="shared" si="0"/>
        <v>#N/A</v>
      </c>
      <c r="N11" s="95" t="e">
        <f t="shared" si="0"/>
        <v>#N/A</v>
      </c>
      <c r="O11" s="95" t="e">
        <f t="shared" si="1"/>
        <v>#N/A</v>
      </c>
      <c r="P11" s="95" t="e">
        <f t="shared" si="1"/>
        <v>#N/A</v>
      </c>
      <c r="Q11" s="95" t="e">
        <f t="shared" si="1"/>
        <v>#N/A</v>
      </c>
      <c r="R11" s="95" t="e">
        <f t="shared" si="1"/>
        <v>#N/A</v>
      </c>
      <c r="S11" s="95" t="e">
        <f t="shared" si="1"/>
        <v>#N/A</v>
      </c>
      <c r="T11" s="95" t="e">
        <f t="shared" si="1"/>
        <v>#N/A</v>
      </c>
      <c r="U11" s="95" t="e">
        <f t="shared" si="1"/>
        <v>#N/A</v>
      </c>
      <c r="V11" s="95" t="e">
        <f t="shared" si="1"/>
        <v>#N/A</v>
      </c>
      <c r="W11" s="95" t="e">
        <f t="shared" si="1"/>
        <v>#N/A</v>
      </c>
      <c r="X11" s="95" t="e">
        <f t="shared" si="1"/>
        <v>#N/A</v>
      </c>
      <c r="Y11" s="95" t="e">
        <f t="shared" si="1"/>
        <v>#N/A</v>
      </c>
      <c r="Z11" s="95" t="e">
        <f t="shared" si="1"/>
        <v>#N/A</v>
      </c>
      <c r="AA11" s="153" t="e">
        <f t="shared" si="2"/>
        <v>#N/A</v>
      </c>
      <c r="AB11" s="94">
        <f t="shared" si="3"/>
        <v>0</v>
      </c>
    </row>
    <row r="12" spans="2:28">
      <c r="B12" s="139"/>
      <c r="C12" s="224"/>
      <c r="D12" s="223"/>
      <c r="E12" s="95" t="e">
        <f t="shared" si="0"/>
        <v>#N/A</v>
      </c>
      <c r="F12" s="95" t="e">
        <f t="shared" si="0"/>
        <v>#N/A</v>
      </c>
      <c r="G12" s="95" t="e">
        <f t="shared" si="0"/>
        <v>#N/A</v>
      </c>
      <c r="H12" s="95" t="e">
        <f t="shared" si="0"/>
        <v>#N/A</v>
      </c>
      <c r="I12" s="95" t="e">
        <f t="shared" si="0"/>
        <v>#N/A</v>
      </c>
      <c r="J12" s="95" t="e">
        <f t="shared" si="0"/>
        <v>#N/A</v>
      </c>
      <c r="K12" s="95" t="e">
        <f t="shared" si="0"/>
        <v>#N/A</v>
      </c>
      <c r="L12" s="95" t="e">
        <f t="shared" si="0"/>
        <v>#N/A</v>
      </c>
      <c r="M12" s="95" t="e">
        <f t="shared" si="0"/>
        <v>#N/A</v>
      </c>
      <c r="N12" s="95" t="e">
        <f t="shared" si="0"/>
        <v>#N/A</v>
      </c>
      <c r="O12" s="95" t="e">
        <f t="shared" si="1"/>
        <v>#N/A</v>
      </c>
      <c r="P12" s="95" t="e">
        <f t="shared" si="1"/>
        <v>#N/A</v>
      </c>
      <c r="Q12" s="95" t="e">
        <f t="shared" si="1"/>
        <v>#N/A</v>
      </c>
      <c r="R12" s="95" t="e">
        <f t="shared" si="1"/>
        <v>#N/A</v>
      </c>
      <c r="S12" s="95" t="e">
        <f t="shared" si="1"/>
        <v>#N/A</v>
      </c>
      <c r="T12" s="95" t="e">
        <f t="shared" si="1"/>
        <v>#N/A</v>
      </c>
      <c r="U12" s="95" t="e">
        <f t="shared" si="1"/>
        <v>#N/A</v>
      </c>
      <c r="V12" s="95" t="e">
        <f t="shared" si="1"/>
        <v>#N/A</v>
      </c>
      <c r="W12" s="95" t="e">
        <f t="shared" si="1"/>
        <v>#N/A</v>
      </c>
      <c r="X12" s="95" t="e">
        <f t="shared" si="1"/>
        <v>#N/A</v>
      </c>
      <c r="Y12" s="95" t="e">
        <f t="shared" si="1"/>
        <v>#N/A</v>
      </c>
      <c r="Z12" s="95" t="e">
        <f t="shared" si="1"/>
        <v>#N/A</v>
      </c>
      <c r="AA12" s="153" t="e">
        <f t="shared" si="2"/>
        <v>#N/A</v>
      </c>
      <c r="AB12" s="94">
        <f t="shared" si="3"/>
        <v>0</v>
      </c>
    </row>
    <row r="13" spans="2:28">
      <c r="B13" s="139"/>
      <c r="C13" s="224"/>
      <c r="D13" s="223"/>
      <c r="E13" s="95" t="e">
        <f t="shared" si="0"/>
        <v>#N/A</v>
      </c>
      <c r="F13" s="95" t="e">
        <f t="shared" si="0"/>
        <v>#N/A</v>
      </c>
      <c r="G13" s="95" t="e">
        <f t="shared" si="0"/>
        <v>#N/A</v>
      </c>
      <c r="H13" s="95" t="e">
        <f t="shared" si="0"/>
        <v>#N/A</v>
      </c>
      <c r="I13" s="95" t="e">
        <f t="shared" si="0"/>
        <v>#N/A</v>
      </c>
      <c r="J13" s="95" t="e">
        <f t="shared" si="0"/>
        <v>#N/A</v>
      </c>
      <c r="K13" s="95" t="e">
        <f t="shared" si="0"/>
        <v>#N/A</v>
      </c>
      <c r="L13" s="95" t="e">
        <f t="shared" si="0"/>
        <v>#N/A</v>
      </c>
      <c r="M13" s="95" t="e">
        <f t="shared" si="0"/>
        <v>#N/A</v>
      </c>
      <c r="N13" s="95" t="e">
        <f t="shared" si="0"/>
        <v>#N/A</v>
      </c>
      <c r="O13" s="95" t="e">
        <f t="shared" si="1"/>
        <v>#N/A</v>
      </c>
      <c r="P13" s="95" t="e">
        <f t="shared" si="1"/>
        <v>#N/A</v>
      </c>
      <c r="Q13" s="95" t="e">
        <f t="shared" si="1"/>
        <v>#N/A</v>
      </c>
      <c r="R13" s="95" t="e">
        <f t="shared" si="1"/>
        <v>#N/A</v>
      </c>
      <c r="S13" s="95" t="e">
        <f t="shared" si="1"/>
        <v>#N/A</v>
      </c>
      <c r="T13" s="95" t="e">
        <f t="shared" si="1"/>
        <v>#N/A</v>
      </c>
      <c r="U13" s="95" t="e">
        <f t="shared" si="1"/>
        <v>#N/A</v>
      </c>
      <c r="V13" s="95" t="e">
        <f t="shared" si="1"/>
        <v>#N/A</v>
      </c>
      <c r="W13" s="95" t="e">
        <f t="shared" si="1"/>
        <v>#N/A</v>
      </c>
      <c r="X13" s="95" t="e">
        <f t="shared" si="1"/>
        <v>#N/A</v>
      </c>
      <c r="Y13" s="95" t="e">
        <f t="shared" si="1"/>
        <v>#N/A</v>
      </c>
      <c r="Z13" s="95" t="e">
        <f t="shared" si="1"/>
        <v>#N/A</v>
      </c>
      <c r="AA13" s="153" t="e">
        <f t="shared" si="2"/>
        <v>#N/A</v>
      </c>
      <c r="AB13" s="94">
        <f t="shared" si="3"/>
        <v>0</v>
      </c>
    </row>
    <row r="14" spans="2:28">
      <c r="B14" s="139"/>
      <c r="C14" s="224"/>
      <c r="D14" s="223"/>
      <c r="E14" s="95" t="e">
        <f t="shared" ref="E14:N20" si="4">INDEX(scorematrix,MATCH($C14,renners,0),MATCH(E$3,etappes,0))</f>
        <v>#N/A</v>
      </c>
      <c r="F14" s="95" t="e">
        <f t="shared" si="4"/>
        <v>#N/A</v>
      </c>
      <c r="G14" s="95" t="e">
        <f t="shared" si="4"/>
        <v>#N/A</v>
      </c>
      <c r="H14" s="95" t="e">
        <f t="shared" si="4"/>
        <v>#N/A</v>
      </c>
      <c r="I14" s="95" t="e">
        <f t="shared" si="4"/>
        <v>#N/A</v>
      </c>
      <c r="J14" s="95" t="e">
        <f t="shared" si="4"/>
        <v>#N/A</v>
      </c>
      <c r="K14" s="95" t="e">
        <f t="shared" si="4"/>
        <v>#N/A</v>
      </c>
      <c r="L14" s="95" t="e">
        <f t="shared" si="4"/>
        <v>#N/A</v>
      </c>
      <c r="M14" s="95" t="e">
        <f t="shared" si="4"/>
        <v>#N/A</v>
      </c>
      <c r="N14" s="95" t="e">
        <f t="shared" si="4"/>
        <v>#N/A</v>
      </c>
      <c r="O14" s="95" t="e">
        <f t="shared" ref="O14:Z20" si="5">INDEX(scorematrix,MATCH($C14,renners,0),MATCH(O$3,etappes,0))</f>
        <v>#N/A</v>
      </c>
      <c r="P14" s="95" t="e">
        <f t="shared" si="5"/>
        <v>#N/A</v>
      </c>
      <c r="Q14" s="95" t="e">
        <f t="shared" si="5"/>
        <v>#N/A</v>
      </c>
      <c r="R14" s="95" t="e">
        <f t="shared" si="5"/>
        <v>#N/A</v>
      </c>
      <c r="S14" s="95" t="e">
        <f t="shared" si="5"/>
        <v>#N/A</v>
      </c>
      <c r="T14" s="95" t="e">
        <f t="shared" si="5"/>
        <v>#N/A</v>
      </c>
      <c r="U14" s="95" t="e">
        <f t="shared" si="5"/>
        <v>#N/A</v>
      </c>
      <c r="V14" s="95" t="e">
        <f t="shared" si="5"/>
        <v>#N/A</v>
      </c>
      <c r="W14" s="95" t="e">
        <f t="shared" si="5"/>
        <v>#N/A</v>
      </c>
      <c r="X14" s="95" t="e">
        <f t="shared" si="5"/>
        <v>#N/A</v>
      </c>
      <c r="Y14" s="95" t="e">
        <f t="shared" si="5"/>
        <v>#N/A</v>
      </c>
      <c r="Z14" s="95" t="e">
        <f t="shared" si="5"/>
        <v>#N/A</v>
      </c>
      <c r="AA14" s="153" t="e">
        <f t="shared" si="2"/>
        <v>#N/A</v>
      </c>
      <c r="AB14" s="94">
        <f t="shared" si="3"/>
        <v>0</v>
      </c>
    </row>
    <row r="15" spans="2:28">
      <c r="B15" s="139"/>
      <c r="C15" s="224"/>
      <c r="D15" s="223"/>
      <c r="E15" s="95" t="e">
        <f t="shared" si="4"/>
        <v>#N/A</v>
      </c>
      <c r="F15" s="95" t="e">
        <f t="shared" si="4"/>
        <v>#N/A</v>
      </c>
      <c r="G15" s="95" t="e">
        <f t="shared" si="4"/>
        <v>#N/A</v>
      </c>
      <c r="H15" s="95" t="e">
        <f t="shared" si="4"/>
        <v>#N/A</v>
      </c>
      <c r="I15" s="95" t="e">
        <f t="shared" si="4"/>
        <v>#N/A</v>
      </c>
      <c r="J15" s="95" t="e">
        <f t="shared" si="4"/>
        <v>#N/A</v>
      </c>
      <c r="K15" s="95" t="e">
        <f t="shared" si="4"/>
        <v>#N/A</v>
      </c>
      <c r="L15" s="95" t="e">
        <f t="shared" si="4"/>
        <v>#N/A</v>
      </c>
      <c r="M15" s="95" t="e">
        <f t="shared" si="4"/>
        <v>#N/A</v>
      </c>
      <c r="N15" s="95" t="e">
        <f t="shared" si="4"/>
        <v>#N/A</v>
      </c>
      <c r="O15" s="95" t="e">
        <f t="shared" si="5"/>
        <v>#N/A</v>
      </c>
      <c r="P15" s="95" t="e">
        <f t="shared" si="5"/>
        <v>#N/A</v>
      </c>
      <c r="Q15" s="95" t="e">
        <f t="shared" si="5"/>
        <v>#N/A</v>
      </c>
      <c r="R15" s="95" t="e">
        <f t="shared" si="5"/>
        <v>#N/A</v>
      </c>
      <c r="S15" s="95" t="e">
        <f t="shared" si="5"/>
        <v>#N/A</v>
      </c>
      <c r="T15" s="95" t="e">
        <f t="shared" si="5"/>
        <v>#N/A</v>
      </c>
      <c r="U15" s="95" t="e">
        <f t="shared" si="5"/>
        <v>#N/A</v>
      </c>
      <c r="V15" s="95" t="e">
        <f t="shared" si="5"/>
        <v>#N/A</v>
      </c>
      <c r="W15" s="95" t="e">
        <f t="shared" si="5"/>
        <v>#N/A</v>
      </c>
      <c r="X15" s="95" t="e">
        <f t="shared" si="5"/>
        <v>#N/A</v>
      </c>
      <c r="Y15" s="95" t="e">
        <f t="shared" si="5"/>
        <v>#N/A</v>
      </c>
      <c r="Z15" s="95" t="e">
        <f t="shared" si="5"/>
        <v>#N/A</v>
      </c>
      <c r="AA15" s="153" t="e">
        <f t="shared" si="2"/>
        <v>#N/A</v>
      </c>
      <c r="AB15" s="94">
        <f t="shared" si="3"/>
        <v>0</v>
      </c>
    </row>
    <row r="16" spans="2:28">
      <c r="B16" s="139"/>
      <c r="C16" s="224"/>
      <c r="D16" s="223"/>
      <c r="E16" s="95" t="e">
        <f t="shared" si="4"/>
        <v>#N/A</v>
      </c>
      <c r="F16" s="95" t="e">
        <f t="shared" si="4"/>
        <v>#N/A</v>
      </c>
      <c r="G16" s="95" t="e">
        <f t="shared" si="4"/>
        <v>#N/A</v>
      </c>
      <c r="H16" s="95" t="e">
        <f t="shared" si="4"/>
        <v>#N/A</v>
      </c>
      <c r="I16" s="95" t="e">
        <f t="shared" si="4"/>
        <v>#N/A</v>
      </c>
      <c r="J16" s="95" t="e">
        <f t="shared" si="4"/>
        <v>#N/A</v>
      </c>
      <c r="K16" s="95" t="e">
        <f t="shared" si="4"/>
        <v>#N/A</v>
      </c>
      <c r="L16" s="95" t="e">
        <f t="shared" si="4"/>
        <v>#N/A</v>
      </c>
      <c r="M16" s="95" t="e">
        <f t="shared" si="4"/>
        <v>#N/A</v>
      </c>
      <c r="N16" s="95" t="e">
        <f t="shared" si="4"/>
        <v>#N/A</v>
      </c>
      <c r="O16" s="95" t="e">
        <f t="shared" si="5"/>
        <v>#N/A</v>
      </c>
      <c r="P16" s="95" t="e">
        <f t="shared" si="5"/>
        <v>#N/A</v>
      </c>
      <c r="Q16" s="95" t="e">
        <f t="shared" si="5"/>
        <v>#N/A</v>
      </c>
      <c r="R16" s="95" t="e">
        <f t="shared" si="5"/>
        <v>#N/A</v>
      </c>
      <c r="S16" s="95" t="e">
        <f t="shared" si="5"/>
        <v>#N/A</v>
      </c>
      <c r="T16" s="95" t="e">
        <f t="shared" si="5"/>
        <v>#N/A</v>
      </c>
      <c r="U16" s="95" t="e">
        <f t="shared" si="5"/>
        <v>#N/A</v>
      </c>
      <c r="V16" s="95" t="e">
        <f t="shared" si="5"/>
        <v>#N/A</v>
      </c>
      <c r="W16" s="95" t="e">
        <f t="shared" si="5"/>
        <v>#N/A</v>
      </c>
      <c r="X16" s="95" t="e">
        <f t="shared" si="5"/>
        <v>#N/A</v>
      </c>
      <c r="Y16" s="95" t="e">
        <f t="shared" si="5"/>
        <v>#N/A</v>
      </c>
      <c r="Z16" s="95" t="e">
        <f t="shared" si="5"/>
        <v>#N/A</v>
      </c>
      <c r="AA16" s="153" t="e">
        <f t="shared" si="2"/>
        <v>#N/A</v>
      </c>
      <c r="AB16" s="94">
        <f t="shared" si="3"/>
        <v>0</v>
      </c>
    </row>
    <row r="17" spans="2:28" s="140" customFormat="1">
      <c r="B17" s="139"/>
      <c r="C17" s="224"/>
      <c r="D17" s="223"/>
      <c r="E17" s="95" t="e">
        <f t="shared" si="4"/>
        <v>#N/A</v>
      </c>
      <c r="F17" s="95" t="e">
        <f t="shared" si="4"/>
        <v>#N/A</v>
      </c>
      <c r="G17" s="95" t="e">
        <f t="shared" si="4"/>
        <v>#N/A</v>
      </c>
      <c r="H17" s="95" t="e">
        <f t="shared" si="4"/>
        <v>#N/A</v>
      </c>
      <c r="I17" s="95" t="e">
        <f t="shared" si="4"/>
        <v>#N/A</v>
      </c>
      <c r="J17" s="95" t="e">
        <f t="shared" si="4"/>
        <v>#N/A</v>
      </c>
      <c r="K17" s="95" t="e">
        <f t="shared" si="4"/>
        <v>#N/A</v>
      </c>
      <c r="L17" s="95" t="e">
        <f t="shared" si="4"/>
        <v>#N/A</v>
      </c>
      <c r="M17" s="95" t="e">
        <f t="shared" si="4"/>
        <v>#N/A</v>
      </c>
      <c r="N17" s="95" t="e">
        <f t="shared" si="4"/>
        <v>#N/A</v>
      </c>
      <c r="O17" s="95" t="e">
        <f t="shared" si="5"/>
        <v>#N/A</v>
      </c>
      <c r="P17" s="95" t="e">
        <f t="shared" si="5"/>
        <v>#N/A</v>
      </c>
      <c r="Q17" s="95" t="e">
        <f t="shared" si="5"/>
        <v>#N/A</v>
      </c>
      <c r="R17" s="95" t="e">
        <f t="shared" si="5"/>
        <v>#N/A</v>
      </c>
      <c r="S17" s="95" t="e">
        <f t="shared" si="5"/>
        <v>#N/A</v>
      </c>
      <c r="T17" s="95" t="e">
        <f t="shared" si="5"/>
        <v>#N/A</v>
      </c>
      <c r="U17" s="95" t="e">
        <f t="shared" si="5"/>
        <v>#N/A</v>
      </c>
      <c r="V17" s="95" t="e">
        <f t="shared" si="5"/>
        <v>#N/A</v>
      </c>
      <c r="W17" s="95" t="e">
        <f t="shared" si="5"/>
        <v>#N/A</v>
      </c>
      <c r="X17" s="95" t="e">
        <f t="shared" si="5"/>
        <v>#N/A</v>
      </c>
      <c r="Y17" s="95" t="e">
        <f t="shared" si="5"/>
        <v>#N/A</v>
      </c>
      <c r="Z17" s="95" t="e">
        <f t="shared" si="5"/>
        <v>#N/A</v>
      </c>
      <c r="AA17" s="153" t="e">
        <f t="shared" si="2"/>
        <v>#N/A</v>
      </c>
      <c r="AB17" s="94">
        <f t="shared" si="3"/>
        <v>0</v>
      </c>
    </row>
    <row r="18" spans="2:28">
      <c r="B18" s="139"/>
      <c r="C18" s="224"/>
      <c r="D18" s="223"/>
      <c r="E18" s="95" t="e">
        <f t="shared" si="4"/>
        <v>#N/A</v>
      </c>
      <c r="F18" s="95" t="e">
        <f t="shared" si="4"/>
        <v>#N/A</v>
      </c>
      <c r="G18" s="95" t="e">
        <f t="shared" si="4"/>
        <v>#N/A</v>
      </c>
      <c r="H18" s="95" t="e">
        <f t="shared" si="4"/>
        <v>#N/A</v>
      </c>
      <c r="I18" s="95" t="e">
        <f t="shared" si="4"/>
        <v>#N/A</v>
      </c>
      <c r="J18" s="95" t="e">
        <f t="shared" si="4"/>
        <v>#N/A</v>
      </c>
      <c r="K18" s="95" t="e">
        <f t="shared" si="4"/>
        <v>#N/A</v>
      </c>
      <c r="L18" s="95" t="e">
        <f t="shared" si="4"/>
        <v>#N/A</v>
      </c>
      <c r="M18" s="95" t="e">
        <f t="shared" si="4"/>
        <v>#N/A</v>
      </c>
      <c r="N18" s="95" t="e">
        <f t="shared" si="4"/>
        <v>#N/A</v>
      </c>
      <c r="O18" s="95" t="e">
        <f t="shared" si="5"/>
        <v>#N/A</v>
      </c>
      <c r="P18" s="95" t="e">
        <f t="shared" si="5"/>
        <v>#N/A</v>
      </c>
      <c r="Q18" s="95" t="e">
        <f t="shared" si="5"/>
        <v>#N/A</v>
      </c>
      <c r="R18" s="95" t="e">
        <f t="shared" si="5"/>
        <v>#N/A</v>
      </c>
      <c r="S18" s="95" t="e">
        <f t="shared" si="5"/>
        <v>#N/A</v>
      </c>
      <c r="T18" s="95" t="e">
        <f t="shared" si="5"/>
        <v>#N/A</v>
      </c>
      <c r="U18" s="95" t="e">
        <f t="shared" si="5"/>
        <v>#N/A</v>
      </c>
      <c r="V18" s="95" t="e">
        <f t="shared" si="5"/>
        <v>#N/A</v>
      </c>
      <c r="W18" s="95" t="e">
        <f t="shared" si="5"/>
        <v>#N/A</v>
      </c>
      <c r="X18" s="95" t="e">
        <f t="shared" si="5"/>
        <v>#N/A</v>
      </c>
      <c r="Y18" s="95" t="e">
        <f t="shared" si="5"/>
        <v>#N/A</v>
      </c>
      <c r="Z18" s="95" t="e">
        <f t="shared" si="5"/>
        <v>#N/A</v>
      </c>
      <c r="AA18" s="153" t="e">
        <f t="shared" si="2"/>
        <v>#N/A</v>
      </c>
      <c r="AB18" s="94">
        <f t="shared" si="3"/>
        <v>0</v>
      </c>
    </row>
    <row r="19" spans="2:28">
      <c r="B19" s="139"/>
      <c r="C19" s="224"/>
      <c r="D19" s="223"/>
      <c r="E19" s="95" t="e">
        <f t="shared" si="4"/>
        <v>#N/A</v>
      </c>
      <c r="F19" s="95" t="e">
        <f t="shared" si="4"/>
        <v>#N/A</v>
      </c>
      <c r="G19" s="95" t="e">
        <f t="shared" si="4"/>
        <v>#N/A</v>
      </c>
      <c r="H19" s="95" t="e">
        <f t="shared" si="4"/>
        <v>#N/A</v>
      </c>
      <c r="I19" s="95" t="e">
        <f t="shared" si="4"/>
        <v>#N/A</v>
      </c>
      <c r="J19" s="95" t="e">
        <f t="shared" si="4"/>
        <v>#N/A</v>
      </c>
      <c r="K19" s="95" t="e">
        <f t="shared" si="4"/>
        <v>#N/A</v>
      </c>
      <c r="L19" s="95" t="e">
        <f t="shared" si="4"/>
        <v>#N/A</v>
      </c>
      <c r="M19" s="95" t="e">
        <f t="shared" si="4"/>
        <v>#N/A</v>
      </c>
      <c r="N19" s="95" t="e">
        <f t="shared" si="4"/>
        <v>#N/A</v>
      </c>
      <c r="O19" s="95" t="e">
        <f t="shared" si="5"/>
        <v>#N/A</v>
      </c>
      <c r="P19" s="95" t="e">
        <f t="shared" si="5"/>
        <v>#N/A</v>
      </c>
      <c r="Q19" s="95" t="e">
        <f t="shared" si="5"/>
        <v>#N/A</v>
      </c>
      <c r="R19" s="95" t="e">
        <f t="shared" si="5"/>
        <v>#N/A</v>
      </c>
      <c r="S19" s="95" t="e">
        <f t="shared" si="5"/>
        <v>#N/A</v>
      </c>
      <c r="T19" s="95" t="e">
        <f t="shared" si="5"/>
        <v>#N/A</v>
      </c>
      <c r="U19" s="95" t="e">
        <f t="shared" si="5"/>
        <v>#N/A</v>
      </c>
      <c r="V19" s="95" t="e">
        <f t="shared" si="5"/>
        <v>#N/A</v>
      </c>
      <c r="W19" s="95" t="e">
        <f t="shared" si="5"/>
        <v>#N/A</v>
      </c>
      <c r="X19" s="95" t="e">
        <f t="shared" si="5"/>
        <v>#N/A</v>
      </c>
      <c r="Y19" s="95" t="e">
        <f t="shared" si="5"/>
        <v>#N/A</v>
      </c>
      <c r="Z19" s="95" t="e">
        <f t="shared" si="5"/>
        <v>#N/A</v>
      </c>
      <c r="AA19" s="153" t="e">
        <f t="shared" si="2"/>
        <v>#N/A</v>
      </c>
      <c r="AB19" s="94">
        <f>C19</f>
        <v>0</v>
      </c>
    </row>
    <row r="20" spans="2:28" ht="14.4" thickBot="1">
      <c r="B20" s="139"/>
      <c r="C20" s="242"/>
      <c r="D20" s="223"/>
      <c r="E20" s="95" t="e">
        <f t="shared" si="4"/>
        <v>#N/A</v>
      </c>
      <c r="F20" s="95" t="e">
        <f t="shared" si="4"/>
        <v>#N/A</v>
      </c>
      <c r="G20" s="95" t="e">
        <f t="shared" si="4"/>
        <v>#N/A</v>
      </c>
      <c r="H20" s="95" t="e">
        <f t="shared" si="4"/>
        <v>#N/A</v>
      </c>
      <c r="I20" s="95" t="e">
        <f t="shared" si="4"/>
        <v>#N/A</v>
      </c>
      <c r="J20" s="95" t="e">
        <f t="shared" si="4"/>
        <v>#N/A</v>
      </c>
      <c r="K20" s="95" t="e">
        <f t="shared" si="4"/>
        <v>#N/A</v>
      </c>
      <c r="L20" s="95" t="e">
        <f t="shared" si="4"/>
        <v>#N/A</v>
      </c>
      <c r="M20" s="95" t="e">
        <f t="shared" si="4"/>
        <v>#N/A</v>
      </c>
      <c r="N20" s="95" t="e">
        <f t="shared" si="4"/>
        <v>#N/A</v>
      </c>
      <c r="O20" s="95" t="e">
        <f t="shared" si="5"/>
        <v>#N/A</v>
      </c>
      <c r="P20" s="95" t="e">
        <f t="shared" si="5"/>
        <v>#N/A</v>
      </c>
      <c r="Q20" s="95" t="e">
        <f t="shared" si="5"/>
        <v>#N/A</v>
      </c>
      <c r="R20" s="95" t="e">
        <f t="shared" si="5"/>
        <v>#N/A</v>
      </c>
      <c r="S20" s="95" t="e">
        <f t="shared" si="5"/>
        <v>#N/A</v>
      </c>
      <c r="T20" s="95" t="e">
        <f t="shared" si="5"/>
        <v>#N/A</v>
      </c>
      <c r="U20" s="95" t="e">
        <f t="shared" si="5"/>
        <v>#N/A</v>
      </c>
      <c r="V20" s="95" t="e">
        <f t="shared" si="5"/>
        <v>#N/A</v>
      </c>
      <c r="W20" s="95" t="e">
        <f t="shared" si="5"/>
        <v>#N/A</v>
      </c>
      <c r="X20" s="95" t="e">
        <f t="shared" si="5"/>
        <v>#N/A</v>
      </c>
      <c r="Y20" s="95" t="e">
        <f t="shared" si="5"/>
        <v>#N/A</v>
      </c>
      <c r="Z20" s="95" t="e">
        <f t="shared" si="5"/>
        <v>#N/A</v>
      </c>
      <c r="AA20" s="153" t="e">
        <f t="shared" si="2"/>
        <v>#N/A</v>
      </c>
      <c r="AB20" s="94">
        <f>C20</f>
        <v>0</v>
      </c>
    </row>
    <row r="21" spans="2:28" s="141" customFormat="1">
      <c r="C21" s="225"/>
      <c r="D21" s="148"/>
      <c r="E21" s="150"/>
      <c r="F21" s="150"/>
      <c r="G21" s="150"/>
      <c r="H21" s="150"/>
      <c r="I21" s="150"/>
      <c r="J21" s="150"/>
      <c r="K21" s="150"/>
      <c r="L21" s="150"/>
      <c r="M21" s="150"/>
      <c r="N21" s="150"/>
      <c r="O21" s="150"/>
      <c r="P21" s="150"/>
      <c r="Q21" s="150"/>
      <c r="R21" s="150"/>
      <c r="S21" s="150"/>
      <c r="T21" s="150"/>
      <c r="U21" s="150"/>
      <c r="V21" s="150"/>
      <c r="W21" s="150"/>
      <c r="X21" s="150"/>
      <c r="Y21" s="150"/>
      <c r="Z21" s="150"/>
      <c r="AA21" s="189">
        <f t="shared" si="2"/>
        <v>0</v>
      </c>
    </row>
    <row r="22" spans="2:28" s="97" customFormat="1">
      <c r="C22" s="149"/>
      <c r="D22" s="149"/>
      <c r="E22" s="142" t="e">
        <f t="shared" ref="E22:AA22" si="6">SUM(E4:E21)</f>
        <v>#N/A</v>
      </c>
      <c r="F22" s="142" t="e">
        <f t="shared" ref="F22" si="7">SUM(F4:F21)</f>
        <v>#N/A</v>
      </c>
      <c r="G22" s="142" t="e">
        <f>SUM(G4:G21)</f>
        <v>#N/A</v>
      </c>
      <c r="H22" s="142" t="e">
        <f t="shared" si="6"/>
        <v>#N/A</v>
      </c>
      <c r="I22" s="142" t="e">
        <f t="shared" si="6"/>
        <v>#N/A</v>
      </c>
      <c r="J22" s="142" t="e">
        <f t="shared" si="6"/>
        <v>#N/A</v>
      </c>
      <c r="K22" s="142" t="e">
        <f t="shared" si="6"/>
        <v>#N/A</v>
      </c>
      <c r="L22" s="142" t="e">
        <f t="shared" si="6"/>
        <v>#N/A</v>
      </c>
      <c r="M22" s="142" t="e">
        <f t="shared" si="6"/>
        <v>#N/A</v>
      </c>
      <c r="N22" s="142" t="e">
        <f t="shared" si="6"/>
        <v>#N/A</v>
      </c>
      <c r="O22" s="142" t="e">
        <f t="shared" si="6"/>
        <v>#N/A</v>
      </c>
      <c r="P22" s="142" t="e">
        <f t="shared" si="6"/>
        <v>#N/A</v>
      </c>
      <c r="Q22" s="142" t="e">
        <f t="shared" si="6"/>
        <v>#N/A</v>
      </c>
      <c r="R22" s="142" t="e">
        <f t="shared" si="6"/>
        <v>#N/A</v>
      </c>
      <c r="S22" s="142" t="e">
        <f t="shared" si="6"/>
        <v>#N/A</v>
      </c>
      <c r="T22" s="142" t="e">
        <f t="shared" si="6"/>
        <v>#N/A</v>
      </c>
      <c r="U22" s="142" t="e">
        <f t="shared" si="6"/>
        <v>#N/A</v>
      </c>
      <c r="V22" s="142" t="e">
        <f t="shared" si="6"/>
        <v>#N/A</v>
      </c>
      <c r="W22" s="142" t="e">
        <f t="shared" si="6"/>
        <v>#N/A</v>
      </c>
      <c r="X22" s="142" t="e">
        <f t="shared" si="6"/>
        <v>#N/A</v>
      </c>
      <c r="Y22" s="142" t="e">
        <f t="shared" si="6"/>
        <v>#N/A</v>
      </c>
      <c r="Z22" s="142" t="e">
        <f t="shared" si="6"/>
        <v>#N/A</v>
      </c>
      <c r="AA22" s="190" t="e">
        <f t="shared" si="6"/>
        <v>#N/A</v>
      </c>
    </row>
    <row r="23" spans="2:28" s="143" customFormat="1">
      <c r="C23" s="146"/>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139"/>
      <c r="C24" s="226"/>
      <c r="D24" s="226"/>
      <c r="E24" s="160" t="e">
        <f t="shared" ref="E24:Z26" si="8">INDEX(scorematrix,MATCH($C24,renners,0),MATCH(E$3,etappes,0))</f>
        <v>#N/A</v>
      </c>
      <c r="F24" s="160" t="e">
        <f t="shared" si="8"/>
        <v>#N/A</v>
      </c>
      <c r="G24" s="160" t="e">
        <f t="shared" si="8"/>
        <v>#N/A</v>
      </c>
      <c r="H24" s="160" t="e">
        <f t="shared" si="8"/>
        <v>#N/A</v>
      </c>
      <c r="I24" s="160" t="e">
        <f t="shared" si="8"/>
        <v>#N/A</v>
      </c>
      <c r="J24" s="160" t="e">
        <f t="shared" si="8"/>
        <v>#N/A</v>
      </c>
      <c r="K24" s="160" t="e">
        <f t="shared" si="8"/>
        <v>#N/A</v>
      </c>
      <c r="L24" s="160" t="e">
        <f t="shared" si="8"/>
        <v>#N/A</v>
      </c>
      <c r="M24" s="160" t="e">
        <f t="shared" si="8"/>
        <v>#N/A</v>
      </c>
      <c r="N24" s="160" t="e">
        <f t="shared" si="8"/>
        <v>#N/A</v>
      </c>
      <c r="O24" s="160" t="e">
        <f t="shared" si="8"/>
        <v>#N/A</v>
      </c>
      <c r="P24" s="160" t="e">
        <f t="shared" si="8"/>
        <v>#N/A</v>
      </c>
      <c r="Q24" s="160" t="e">
        <f t="shared" si="8"/>
        <v>#N/A</v>
      </c>
      <c r="R24" s="160" t="e">
        <f t="shared" si="8"/>
        <v>#N/A</v>
      </c>
      <c r="S24" s="160" t="e">
        <f t="shared" si="8"/>
        <v>#N/A</v>
      </c>
      <c r="T24" s="160" t="e">
        <f t="shared" si="8"/>
        <v>#N/A</v>
      </c>
      <c r="U24" s="160" t="e">
        <f t="shared" si="8"/>
        <v>#N/A</v>
      </c>
      <c r="V24" s="160" t="e">
        <f t="shared" si="8"/>
        <v>#N/A</v>
      </c>
      <c r="W24" s="160" t="e">
        <f t="shared" si="8"/>
        <v>#N/A</v>
      </c>
      <c r="X24" s="160" t="e">
        <f t="shared" si="8"/>
        <v>#N/A</v>
      </c>
      <c r="Y24" s="160" t="e">
        <f t="shared" si="8"/>
        <v>#N/A</v>
      </c>
      <c r="Z24" s="160" t="e">
        <f t="shared" si="8"/>
        <v>#N/A</v>
      </c>
      <c r="AA24" s="192" t="e">
        <f>SUM(E24:Z24)</f>
        <v>#N/A</v>
      </c>
    </row>
    <row r="25" spans="2:28" s="145" customFormat="1">
      <c r="B25" s="139"/>
      <c r="C25" s="226"/>
      <c r="D25" s="226"/>
      <c r="E25" s="160" t="e">
        <f t="shared" si="8"/>
        <v>#N/A</v>
      </c>
      <c r="F25" s="160" t="e">
        <f t="shared" si="8"/>
        <v>#N/A</v>
      </c>
      <c r="G25" s="160" t="e">
        <f t="shared" si="8"/>
        <v>#N/A</v>
      </c>
      <c r="H25" s="160" t="e">
        <f t="shared" si="8"/>
        <v>#N/A</v>
      </c>
      <c r="I25" s="160" t="e">
        <f t="shared" si="8"/>
        <v>#N/A</v>
      </c>
      <c r="J25" s="160" t="e">
        <f t="shared" si="8"/>
        <v>#N/A</v>
      </c>
      <c r="K25" s="160" t="e">
        <f t="shared" si="8"/>
        <v>#N/A</v>
      </c>
      <c r="L25" s="160" t="e">
        <f t="shared" si="8"/>
        <v>#N/A</v>
      </c>
      <c r="M25" s="160" t="e">
        <f t="shared" si="8"/>
        <v>#N/A</v>
      </c>
      <c r="N25" s="160" t="e">
        <f t="shared" si="8"/>
        <v>#N/A</v>
      </c>
      <c r="O25" s="160" t="e">
        <f t="shared" si="8"/>
        <v>#N/A</v>
      </c>
      <c r="P25" s="160" t="e">
        <f t="shared" si="8"/>
        <v>#N/A</v>
      </c>
      <c r="Q25" s="160" t="e">
        <f t="shared" si="8"/>
        <v>#N/A</v>
      </c>
      <c r="R25" s="160" t="e">
        <f t="shared" si="8"/>
        <v>#N/A</v>
      </c>
      <c r="S25" s="160" t="e">
        <f t="shared" si="8"/>
        <v>#N/A</v>
      </c>
      <c r="T25" s="160" t="e">
        <f t="shared" si="8"/>
        <v>#N/A</v>
      </c>
      <c r="U25" s="160" t="e">
        <f t="shared" si="8"/>
        <v>#N/A</v>
      </c>
      <c r="V25" s="160" t="e">
        <f t="shared" si="8"/>
        <v>#N/A</v>
      </c>
      <c r="W25" s="160" t="e">
        <f t="shared" si="8"/>
        <v>#N/A</v>
      </c>
      <c r="X25" s="160" t="e">
        <f t="shared" si="8"/>
        <v>#N/A</v>
      </c>
      <c r="Y25" s="160" t="e">
        <f t="shared" si="8"/>
        <v>#N/A</v>
      </c>
      <c r="Z25" s="160" t="e">
        <f t="shared" si="8"/>
        <v>#N/A</v>
      </c>
      <c r="AA25" s="192" t="e">
        <f>SUM(E25:Z25)</f>
        <v>#N/A</v>
      </c>
    </row>
    <row r="26" spans="2:28" s="145" customFormat="1">
      <c r="B26" s="139"/>
      <c r="C26" s="226"/>
      <c r="D26" s="226"/>
      <c r="E26" s="160" t="e">
        <f t="shared" si="8"/>
        <v>#N/A</v>
      </c>
      <c r="F26" s="160" t="e">
        <f t="shared" si="8"/>
        <v>#N/A</v>
      </c>
      <c r="G26" s="160" t="e">
        <f t="shared" si="8"/>
        <v>#N/A</v>
      </c>
      <c r="H26" s="160" t="e">
        <f t="shared" si="8"/>
        <v>#N/A</v>
      </c>
      <c r="I26" s="160" t="e">
        <f t="shared" si="8"/>
        <v>#N/A</v>
      </c>
      <c r="J26" s="160" t="e">
        <f t="shared" si="8"/>
        <v>#N/A</v>
      </c>
      <c r="K26" s="160" t="e">
        <f t="shared" si="8"/>
        <v>#N/A</v>
      </c>
      <c r="L26" s="160" t="e">
        <f t="shared" si="8"/>
        <v>#N/A</v>
      </c>
      <c r="M26" s="160" t="e">
        <f t="shared" si="8"/>
        <v>#N/A</v>
      </c>
      <c r="N26" s="160" t="e">
        <f t="shared" si="8"/>
        <v>#N/A</v>
      </c>
      <c r="O26" s="160" t="e">
        <f t="shared" si="8"/>
        <v>#N/A</v>
      </c>
      <c r="P26" s="160" t="e">
        <f t="shared" si="8"/>
        <v>#N/A</v>
      </c>
      <c r="Q26" s="160" t="e">
        <f t="shared" si="8"/>
        <v>#N/A</v>
      </c>
      <c r="R26" s="160" t="e">
        <f t="shared" si="8"/>
        <v>#N/A</v>
      </c>
      <c r="S26" s="160" t="e">
        <f t="shared" si="8"/>
        <v>#N/A</v>
      </c>
      <c r="T26" s="160" t="e">
        <f t="shared" si="8"/>
        <v>#N/A</v>
      </c>
      <c r="U26" s="160" t="e">
        <f t="shared" si="8"/>
        <v>#N/A</v>
      </c>
      <c r="V26" s="160" t="e">
        <f t="shared" si="8"/>
        <v>#N/A</v>
      </c>
      <c r="W26" s="160" t="e">
        <f t="shared" si="8"/>
        <v>#N/A</v>
      </c>
      <c r="X26" s="160" t="e">
        <f t="shared" si="8"/>
        <v>#N/A</v>
      </c>
      <c r="Y26" s="160" t="e">
        <f t="shared" si="8"/>
        <v>#N/A</v>
      </c>
      <c r="Z26" s="160" t="e">
        <f t="shared" si="8"/>
        <v>#N/A</v>
      </c>
      <c r="AA26" s="192" t="e">
        <f>SUM(E26:Z26)</f>
        <v>#N/A</v>
      </c>
    </row>
    <row r="28" spans="2:28">
      <c r="C28" s="233" t="s">
        <v>117</v>
      </c>
      <c r="D28" s="234">
        <f>COUNTIF($D$4:$D$21,C28)</f>
        <v>0</v>
      </c>
    </row>
    <row r="29" spans="2:28">
      <c r="C29" s="235" t="s">
        <v>10</v>
      </c>
      <c r="D29" s="234">
        <f>COUNTIF($D$4:$D$21,C29)</f>
        <v>0</v>
      </c>
    </row>
    <row r="30" spans="2:28">
      <c r="C30" s="235" t="s">
        <v>106</v>
      </c>
      <c r="D30" s="234">
        <f>COUNTIF($D$4:$D$21,C30)</f>
        <v>0</v>
      </c>
    </row>
  </sheetData>
  <sortState xmlns:xlrd2="http://schemas.microsoft.com/office/spreadsheetml/2017/richdata2" ref="C4:D20">
    <sortCondition ref="D4:D20"/>
    <sortCondition ref="C4:C20"/>
  </sortState>
  <phoneticPr fontId="0" type="noConversion"/>
  <dataValidations count="1">
    <dataValidation type="list" allowBlank="1" showInputMessage="1" showErrorMessage="1" prompt="selecteer type renner:" sqref="D24:D26 D4:D20" xr:uid="{00000000-0002-0000-1600-000000000000}">
      <formula1>type_renner</formula1>
    </dataValidation>
  </dataValidation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2:N55"/>
  <sheetViews>
    <sheetView topLeftCell="B1" workbookViewId="0">
      <selection activeCell="Q24" sqref="Q24"/>
    </sheetView>
  </sheetViews>
  <sheetFormatPr defaultRowHeight="13.2"/>
  <cols>
    <col min="1" max="1" width="5.5546875" customWidth="1"/>
    <col min="2" max="2" width="5.6640625" customWidth="1"/>
  </cols>
  <sheetData>
    <row r="2" spans="1:3">
      <c r="A2">
        <v>1</v>
      </c>
      <c r="B2" s="82" t="s">
        <v>58</v>
      </c>
    </row>
    <row r="3" spans="1:3">
      <c r="A3">
        <v>2</v>
      </c>
      <c r="B3" s="82" t="s">
        <v>59</v>
      </c>
    </row>
    <row r="4" spans="1:3">
      <c r="A4">
        <v>3</v>
      </c>
      <c r="B4" s="82" t="s">
        <v>60</v>
      </c>
    </row>
    <row r="6" spans="1:3">
      <c r="A6">
        <v>4</v>
      </c>
      <c r="B6" s="82" t="s">
        <v>61</v>
      </c>
    </row>
    <row r="8" spans="1:3">
      <c r="B8" s="82" t="s">
        <v>68</v>
      </c>
    </row>
    <row r="10" spans="1:3">
      <c r="B10" s="155" t="s">
        <v>66</v>
      </c>
    </row>
    <row r="11" spans="1:3">
      <c r="B11" s="82"/>
      <c r="C11" s="155" t="s">
        <v>64</v>
      </c>
    </row>
    <row r="12" spans="1:3">
      <c r="C12" s="155" t="s">
        <v>67</v>
      </c>
    </row>
    <row r="14" spans="1:3">
      <c r="B14" s="82"/>
      <c r="C14" s="156" t="s">
        <v>63</v>
      </c>
    </row>
    <row r="16" spans="1:3">
      <c r="B16" s="82" t="s">
        <v>65</v>
      </c>
    </row>
    <row r="17" spans="1:14">
      <c r="B17" s="82" t="s">
        <v>69</v>
      </c>
    </row>
    <row r="20" spans="1:14" s="200" customFormat="1" ht="13.8">
      <c r="A20" s="196" t="s">
        <v>104</v>
      </c>
      <c r="B20" s="197" t="s">
        <v>114</v>
      </c>
      <c r="C20" s="197" t="s">
        <v>114</v>
      </c>
      <c r="D20" s="197" t="s">
        <v>114</v>
      </c>
      <c r="E20" s="197" t="s">
        <v>114</v>
      </c>
      <c r="F20" s="197" t="s">
        <v>114</v>
      </c>
      <c r="G20" s="197" t="s">
        <v>114</v>
      </c>
      <c r="H20" s="197" t="s">
        <v>114</v>
      </c>
      <c r="I20" s="197" t="s">
        <v>114</v>
      </c>
      <c r="J20" s="197" t="s">
        <v>114</v>
      </c>
      <c r="K20" s="197" t="s">
        <v>114</v>
      </c>
      <c r="L20" s="197" t="s">
        <v>114</v>
      </c>
      <c r="M20" s="198">
        <v>0</v>
      </c>
      <c r="N20" s="199">
        <v>8.0211885745015282E-2</v>
      </c>
    </row>
    <row r="21" spans="1:14" s="200" customFormat="1" ht="13.8">
      <c r="A21" s="201" t="s">
        <v>103</v>
      </c>
      <c r="B21" s="197" t="s">
        <v>114</v>
      </c>
      <c r="C21" s="197" t="s">
        <v>114</v>
      </c>
      <c r="D21" s="197" t="s">
        <v>114</v>
      </c>
      <c r="E21" s="197" t="s">
        <v>114</v>
      </c>
      <c r="F21" s="197" t="s">
        <v>114</v>
      </c>
      <c r="G21" s="197" t="s">
        <v>114</v>
      </c>
      <c r="H21" s="197" t="s">
        <v>114</v>
      </c>
      <c r="I21" s="197" t="s">
        <v>114</v>
      </c>
      <c r="J21" s="197" t="s">
        <v>114</v>
      </c>
      <c r="K21" s="197" t="s">
        <v>114</v>
      </c>
      <c r="L21" s="197" t="s">
        <v>114</v>
      </c>
      <c r="M21" s="198">
        <v>0</v>
      </c>
      <c r="N21" s="199">
        <v>6.3373523559833361E-2</v>
      </c>
    </row>
    <row r="22" spans="1:14" s="195" customFormat="1" ht="13.8">
      <c r="A22" s="201" t="s">
        <v>44</v>
      </c>
      <c r="B22" s="197" t="s">
        <v>114</v>
      </c>
      <c r="C22" s="197" t="s">
        <v>114</v>
      </c>
      <c r="D22" s="197" t="s">
        <v>114</v>
      </c>
      <c r="E22" s="197" t="s">
        <v>114</v>
      </c>
      <c r="F22" s="197" t="s">
        <v>114</v>
      </c>
      <c r="G22" s="197" t="s">
        <v>114</v>
      </c>
      <c r="H22" s="197" t="s">
        <v>114</v>
      </c>
      <c r="I22" s="197" t="s">
        <v>114</v>
      </c>
      <c r="J22" s="197" t="s">
        <v>114</v>
      </c>
      <c r="K22" s="197" t="s">
        <v>114</v>
      </c>
      <c r="L22" s="197" t="s">
        <v>114</v>
      </c>
      <c r="M22" s="198">
        <v>0</v>
      </c>
      <c r="N22" s="199">
        <v>5.0158862361515677E-2</v>
      </c>
    </row>
    <row r="23" spans="1:14" s="195" customFormat="1" ht="13.8">
      <c r="A23" s="201" t="s">
        <v>77</v>
      </c>
      <c r="B23" s="197" t="s">
        <v>114</v>
      </c>
      <c r="C23" s="197" t="s">
        <v>114</v>
      </c>
      <c r="D23" s="197" t="s">
        <v>114</v>
      </c>
      <c r="E23" s="197" t="s">
        <v>114</v>
      </c>
      <c r="F23" s="197" t="s">
        <v>114</v>
      </c>
      <c r="G23" s="197" t="s">
        <v>114</v>
      </c>
      <c r="H23" s="197" t="s">
        <v>114</v>
      </c>
      <c r="I23" s="197" t="s">
        <v>114</v>
      </c>
      <c r="J23" s="197" t="s">
        <v>114</v>
      </c>
      <c r="K23" s="197" t="s">
        <v>114</v>
      </c>
      <c r="L23" s="197" t="s">
        <v>114</v>
      </c>
      <c r="M23" s="198">
        <v>0</v>
      </c>
      <c r="N23" s="199">
        <v>5.4411731308286894E-2</v>
      </c>
    </row>
    <row r="24" spans="1:14" s="195" customFormat="1" ht="13.8">
      <c r="A24" s="201" t="s">
        <v>48</v>
      </c>
      <c r="B24" s="197" t="s">
        <v>114</v>
      </c>
      <c r="C24" s="197" t="s">
        <v>114</v>
      </c>
      <c r="D24" s="197" t="s">
        <v>114</v>
      </c>
      <c r="E24" s="197" t="s">
        <v>114</v>
      </c>
      <c r="F24" s="197" t="s">
        <v>114</v>
      </c>
      <c r="G24" s="197" t="s">
        <v>114</v>
      </c>
      <c r="H24" s="197" t="s">
        <v>114</v>
      </c>
      <c r="I24" s="197" t="s">
        <v>114</v>
      </c>
      <c r="J24" s="197" t="s">
        <v>114</v>
      </c>
      <c r="K24" s="197" t="s">
        <v>114</v>
      </c>
      <c r="L24" s="197" t="s">
        <v>114</v>
      </c>
      <c r="M24" s="198">
        <v>0</v>
      </c>
      <c r="N24" s="199">
        <v>8.3214901097545368E-2</v>
      </c>
    </row>
    <row r="25" spans="1:14" s="195" customFormat="1" ht="13.8">
      <c r="A25" s="201" t="s">
        <v>101</v>
      </c>
      <c r="B25" s="197" t="s">
        <v>114</v>
      </c>
      <c r="C25" s="197" t="s">
        <v>114</v>
      </c>
      <c r="D25" s="197" t="s">
        <v>114</v>
      </c>
      <c r="E25" s="197" t="s">
        <v>114</v>
      </c>
      <c r="F25" s="197" t="s">
        <v>114</v>
      </c>
      <c r="G25" s="197" t="s">
        <v>114</v>
      </c>
      <c r="H25" s="197">
        <v>1</v>
      </c>
      <c r="I25" s="197" t="s">
        <v>114</v>
      </c>
      <c r="J25" s="197" t="s">
        <v>114</v>
      </c>
      <c r="K25" s="197" t="s">
        <v>114</v>
      </c>
      <c r="L25" s="197" t="s">
        <v>114</v>
      </c>
      <c r="M25" s="198">
        <v>1</v>
      </c>
      <c r="N25" s="199">
        <v>9.9386633958286646E-2</v>
      </c>
    </row>
    <row r="26" spans="1:14" s="200" customFormat="1" ht="13.8">
      <c r="A26" s="201" t="s">
        <v>90</v>
      </c>
      <c r="B26" s="197" t="s">
        <v>114</v>
      </c>
      <c r="C26" s="197" t="s">
        <v>114</v>
      </c>
      <c r="D26" s="197" t="s">
        <v>114</v>
      </c>
      <c r="E26" s="197" t="s">
        <v>114</v>
      </c>
      <c r="F26" s="197" t="s">
        <v>114</v>
      </c>
      <c r="G26" s="197" t="s">
        <v>114</v>
      </c>
      <c r="H26" s="197">
        <v>1</v>
      </c>
      <c r="I26" s="197" t="s">
        <v>114</v>
      </c>
      <c r="J26" s="197" t="s">
        <v>114</v>
      </c>
      <c r="K26" s="197" t="s">
        <v>114</v>
      </c>
      <c r="L26" s="197" t="s">
        <v>114</v>
      </c>
      <c r="M26" s="198">
        <v>1</v>
      </c>
      <c r="N26" s="199">
        <v>5.7642435440206974E-2</v>
      </c>
    </row>
    <row r="27" spans="1:14" s="200" customFormat="1" ht="13.8">
      <c r="A27" s="196" t="s">
        <v>86</v>
      </c>
      <c r="B27" s="197" t="s">
        <v>114</v>
      </c>
      <c r="C27" s="197" t="s">
        <v>114</v>
      </c>
      <c r="D27" s="197" t="s">
        <v>114</v>
      </c>
      <c r="E27" s="197" t="s">
        <v>114</v>
      </c>
      <c r="F27" s="197" t="s">
        <v>114</v>
      </c>
      <c r="G27" s="197" t="s">
        <v>114</v>
      </c>
      <c r="H27" s="197" t="s">
        <v>114</v>
      </c>
      <c r="I27" s="197" t="s">
        <v>114</v>
      </c>
      <c r="J27" s="197">
        <v>1</v>
      </c>
      <c r="K27" s="197" t="s">
        <v>114</v>
      </c>
      <c r="L27" s="197" t="s">
        <v>114</v>
      </c>
      <c r="M27" s="198">
        <v>1</v>
      </c>
      <c r="N27" s="199">
        <v>8.130831029917944E-2</v>
      </c>
    </row>
    <row r="28" spans="1:14" s="202" customFormat="1" ht="13.8">
      <c r="A28" s="201" t="s">
        <v>54</v>
      </c>
      <c r="B28" s="197" t="s">
        <v>114</v>
      </c>
      <c r="C28" s="197" t="s">
        <v>114</v>
      </c>
      <c r="D28" s="197" t="s">
        <v>114</v>
      </c>
      <c r="E28" s="197" t="s">
        <v>114</v>
      </c>
      <c r="F28" s="197">
        <v>1</v>
      </c>
      <c r="G28" s="197" t="s">
        <v>114</v>
      </c>
      <c r="H28" s="197" t="s">
        <v>114</v>
      </c>
      <c r="I28" s="197" t="s">
        <v>114</v>
      </c>
      <c r="J28" s="197" t="s">
        <v>114</v>
      </c>
      <c r="K28" s="197" t="s">
        <v>114</v>
      </c>
      <c r="L28" s="197" t="s">
        <v>114</v>
      </c>
      <c r="M28" s="198">
        <v>1</v>
      </c>
      <c r="N28" s="199">
        <v>4.585223531319986E-2</v>
      </c>
    </row>
    <row r="29" spans="1:14" s="202" customFormat="1" ht="13.8">
      <c r="A29" s="196" t="s">
        <v>107</v>
      </c>
      <c r="B29" s="197" t="s">
        <v>114</v>
      </c>
      <c r="C29" s="197" t="s">
        <v>114</v>
      </c>
      <c r="D29" s="197" t="s">
        <v>114</v>
      </c>
      <c r="E29" s="197" t="s">
        <v>114</v>
      </c>
      <c r="F29" s="197" t="s">
        <v>114</v>
      </c>
      <c r="G29" s="197" t="s">
        <v>114</v>
      </c>
      <c r="H29" s="197" t="s">
        <v>114</v>
      </c>
      <c r="I29" s="197" t="s">
        <v>114</v>
      </c>
      <c r="J29" s="197">
        <v>1</v>
      </c>
      <c r="K29" s="197" t="s">
        <v>114</v>
      </c>
      <c r="L29" s="197" t="s">
        <v>114</v>
      </c>
      <c r="M29" s="198">
        <v>1</v>
      </c>
      <c r="N29" s="199">
        <v>3.1454345949478137E-2</v>
      </c>
    </row>
    <row r="30" spans="1:14" s="195" customFormat="1" ht="13.8">
      <c r="A30" s="201" t="s">
        <v>112</v>
      </c>
      <c r="B30" s="197" t="s">
        <v>114</v>
      </c>
      <c r="C30" s="197" t="s">
        <v>114</v>
      </c>
      <c r="D30" s="197" t="s">
        <v>114</v>
      </c>
      <c r="E30" s="197" t="s">
        <v>114</v>
      </c>
      <c r="F30" s="197" t="s">
        <v>114</v>
      </c>
      <c r="G30" s="197">
        <v>1</v>
      </c>
      <c r="H30" s="197" t="s">
        <v>114</v>
      </c>
      <c r="I30" s="197" t="s">
        <v>114</v>
      </c>
      <c r="J30" s="197" t="s">
        <v>114</v>
      </c>
      <c r="K30" s="197" t="s">
        <v>114</v>
      </c>
      <c r="L30" s="197" t="s">
        <v>114</v>
      </c>
      <c r="M30" s="198">
        <v>1</v>
      </c>
      <c r="N30" s="199">
        <v>2.6920558989109812E-2</v>
      </c>
    </row>
    <row r="31" spans="1:14" s="195" customFormat="1" ht="13.8">
      <c r="A31" s="203" t="s">
        <v>110</v>
      </c>
      <c r="B31" s="204" t="s">
        <v>114</v>
      </c>
      <c r="C31" s="204" t="s">
        <v>114</v>
      </c>
      <c r="D31" s="204" t="s">
        <v>114</v>
      </c>
      <c r="E31" s="204" t="s">
        <v>114</v>
      </c>
      <c r="F31" s="204" t="s">
        <v>114</v>
      </c>
      <c r="G31" s="204" t="s">
        <v>114</v>
      </c>
      <c r="H31" s="204" t="s">
        <v>114</v>
      </c>
      <c r="I31" s="204">
        <v>1</v>
      </c>
      <c r="J31" s="204" t="s">
        <v>114</v>
      </c>
      <c r="K31" s="204" t="s">
        <v>114</v>
      </c>
      <c r="L31" s="204" t="s">
        <v>114</v>
      </c>
      <c r="M31" s="198">
        <v>1</v>
      </c>
      <c r="N31" s="199">
        <v>8.0977892412266356E-2</v>
      </c>
    </row>
    <row r="32" spans="1:14" s="195" customFormat="1" ht="13.8">
      <c r="A32" s="196" t="s">
        <v>111</v>
      </c>
      <c r="B32" s="197" t="s">
        <v>114</v>
      </c>
      <c r="C32" s="197" t="s">
        <v>114</v>
      </c>
      <c r="D32" s="197" t="s">
        <v>114</v>
      </c>
      <c r="E32" s="197" t="s">
        <v>114</v>
      </c>
      <c r="F32" s="197" t="s">
        <v>114</v>
      </c>
      <c r="G32" s="197">
        <v>1</v>
      </c>
      <c r="H32" s="197" t="s">
        <v>114</v>
      </c>
      <c r="I32" s="197" t="s">
        <v>114</v>
      </c>
      <c r="J32" s="197" t="s">
        <v>114</v>
      </c>
      <c r="K32" s="197" t="s">
        <v>114</v>
      </c>
      <c r="L32" s="197" t="s">
        <v>114</v>
      </c>
      <c r="M32" s="198">
        <v>1</v>
      </c>
      <c r="N32" s="199">
        <v>1.9051925015542003E-2</v>
      </c>
    </row>
    <row r="33" spans="1:14" s="195" customFormat="1" ht="13.8">
      <c r="A33" s="205" t="s">
        <v>88</v>
      </c>
      <c r="B33" s="197" t="s">
        <v>114</v>
      </c>
      <c r="C33" s="197" t="s">
        <v>114</v>
      </c>
      <c r="D33" s="197" t="s">
        <v>114</v>
      </c>
      <c r="E33" s="197" t="s">
        <v>114</v>
      </c>
      <c r="F33" s="197" t="s">
        <v>114</v>
      </c>
      <c r="G33" s="197" t="s">
        <v>114</v>
      </c>
      <c r="H33" s="197" t="s">
        <v>114</v>
      </c>
      <c r="I33" s="197" t="s">
        <v>114</v>
      </c>
      <c r="J33" s="197">
        <v>1</v>
      </c>
      <c r="K33" s="197" t="s">
        <v>114</v>
      </c>
      <c r="L33" s="197" t="s">
        <v>114</v>
      </c>
      <c r="M33" s="198">
        <v>1</v>
      </c>
      <c r="N33" s="199">
        <v>4.5727913309143983E-2</v>
      </c>
    </row>
    <row r="34" spans="1:14" s="200" customFormat="1" ht="13.8">
      <c r="A34" s="206" t="s">
        <v>113</v>
      </c>
      <c r="B34" s="207" t="s">
        <v>114</v>
      </c>
      <c r="C34" s="207" t="s">
        <v>114</v>
      </c>
      <c r="D34" s="207" t="s">
        <v>114</v>
      </c>
      <c r="E34" s="207" t="s">
        <v>114</v>
      </c>
      <c r="F34" s="207">
        <v>1</v>
      </c>
      <c r="G34" s="207" t="s">
        <v>114</v>
      </c>
      <c r="H34" s="207" t="s">
        <v>114</v>
      </c>
      <c r="I34" s="207" t="s">
        <v>114</v>
      </c>
      <c r="J34" s="207" t="s">
        <v>114</v>
      </c>
      <c r="K34" s="207" t="s">
        <v>114</v>
      </c>
      <c r="L34" s="207" t="s">
        <v>114</v>
      </c>
      <c r="M34" s="198">
        <v>1</v>
      </c>
      <c r="N34" s="199">
        <v>9.7942359632361378E-2</v>
      </c>
    </row>
    <row r="35" spans="1:14" s="195" customFormat="1" ht="13.8">
      <c r="A35" s="208" t="s">
        <v>109</v>
      </c>
      <c r="B35" s="197" t="s">
        <v>114</v>
      </c>
      <c r="C35" s="197" t="s">
        <v>114</v>
      </c>
      <c r="D35" s="197" t="s">
        <v>114</v>
      </c>
      <c r="E35" s="197">
        <v>2</v>
      </c>
      <c r="F35" s="197" t="s">
        <v>114</v>
      </c>
      <c r="G35" s="197" t="s">
        <v>114</v>
      </c>
      <c r="H35" s="197" t="s">
        <v>114</v>
      </c>
      <c r="I35" s="197">
        <v>2</v>
      </c>
      <c r="J35" s="197" t="s">
        <v>114</v>
      </c>
      <c r="K35" s="197" t="s">
        <v>114</v>
      </c>
      <c r="L35" s="197" t="s">
        <v>114</v>
      </c>
      <c r="M35" s="198">
        <v>2</v>
      </c>
      <c r="N35" s="199">
        <v>5.2686491037504002E-2</v>
      </c>
    </row>
    <row r="36" spans="1:14" s="195" customFormat="1" ht="13.8">
      <c r="A36" s="208" t="s">
        <v>84</v>
      </c>
      <c r="B36" s="197" t="s">
        <v>114</v>
      </c>
      <c r="C36" s="197" t="s">
        <v>114</v>
      </c>
      <c r="D36" s="197">
        <v>3</v>
      </c>
      <c r="E36" s="197">
        <v>3</v>
      </c>
      <c r="F36" s="197" t="s">
        <v>114</v>
      </c>
      <c r="G36" s="197" t="s">
        <v>114</v>
      </c>
      <c r="H36" s="197" t="s">
        <v>114</v>
      </c>
      <c r="I36" s="197">
        <v>3</v>
      </c>
      <c r="J36" s="197" t="s">
        <v>114</v>
      </c>
      <c r="K36" s="197" t="s">
        <v>114</v>
      </c>
      <c r="L36" s="197" t="s">
        <v>114</v>
      </c>
      <c r="M36" s="198">
        <v>3</v>
      </c>
      <c r="N36" s="199">
        <v>1.8884896193973599E-2</v>
      </c>
    </row>
    <row r="37" spans="1:14" s="195" customFormat="1" ht="13.8">
      <c r="A37" s="209" t="s">
        <v>85</v>
      </c>
      <c r="B37" s="204" t="s">
        <v>114</v>
      </c>
      <c r="C37" s="204">
        <v>3</v>
      </c>
      <c r="D37" s="204" t="s">
        <v>114</v>
      </c>
      <c r="E37" s="204" t="s">
        <v>114</v>
      </c>
      <c r="F37" s="204" t="s">
        <v>114</v>
      </c>
      <c r="G37" s="204" t="s">
        <v>114</v>
      </c>
      <c r="H37" s="204">
        <v>3</v>
      </c>
      <c r="I37" s="204" t="s">
        <v>114</v>
      </c>
      <c r="J37" s="204">
        <v>3</v>
      </c>
      <c r="K37" s="204" t="s">
        <v>114</v>
      </c>
      <c r="L37" s="204" t="s">
        <v>114</v>
      </c>
      <c r="M37" s="198">
        <v>3</v>
      </c>
      <c r="N37" s="199">
        <v>8.4468080927495331E-2</v>
      </c>
    </row>
    <row r="38" spans="1:14" s="195" customFormat="1" ht="13.8">
      <c r="A38" s="206" t="s">
        <v>105</v>
      </c>
      <c r="B38" s="207">
        <v>4</v>
      </c>
      <c r="C38" s="207" t="s">
        <v>114</v>
      </c>
      <c r="D38" s="207">
        <v>4</v>
      </c>
      <c r="E38" s="207" t="s">
        <v>114</v>
      </c>
      <c r="F38" s="207" t="s">
        <v>114</v>
      </c>
      <c r="G38" s="207">
        <v>4</v>
      </c>
      <c r="H38" s="207" t="s">
        <v>114</v>
      </c>
      <c r="I38" s="207" t="s">
        <v>114</v>
      </c>
      <c r="J38" s="207">
        <v>4</v>
      </c>
      <c r="K38" s="207" t="s">
        <v>114</v>
      </c>
      <c r="L38" s="207" t="s">
        <v>114</v>
      </c>
      <c r="M38" s="198">
        <v>4</v>
      </c>
      <c r="N38" s="199">
        <v>2.1081891760592875E-2</v>
      </c>
    </row>
    <row r="39" spans="1:14" s="195" customFormat="1" ht="13.8">
      <c r="A39" s="209" t="s">
        <v>47</v>
      </c>
      <c r="B39" s="204">
        <v>4</v>
      </c>
      <c r="C39" s="204">
        <v>4</v>
      </c>
      <c r="D39" s="204" t="s">
        <v>114</v>
      </c>
      <c r="E39" s="204">
        <v>4</v>
      </c>
      <c r="F39" s="204" t="s">
        <v>114</v>
      </c>
      <c r="G39" s="204" t="s">
        <v>114</v>
      </c>
      <c r="H39" s="204">
        <v>4</v>
      </c>
      <c r="I39" s="204" t="s">
        <v>114</v>
      </c>
      <c r="J39" s="204" t="s">
        <v>114</v>
      </c>
      <c r="K39" s="204" t="s">
        <v>114</v>
      </c>
      <c r="L39" s="204" t="s">
        <v>114</v>
      </c>
      <c r="M39" s="198">
        <v>4</v>
      </c>
      <c r="N39" s="199">
        <v>9.3380839619214756E-2</v>
      </c>
    </row>
    <row r="40" spans="1:14" s="195" customFormat="1" ht="13.8">
      <c r="A40" s="208" t="s">
        <v>55</v>
      </c>
      <c r="B40" s="197">
        <v>4</v>
      </c>
      <c r="C40" s="197" t="s">
        <v>114</v>
      </c>
      <c r="D40" s="197" t="s">
        <v>114</v>
      </c>
      <c r="E40" s="197" t="s">
        <v>114</v>
      </c>
      <c r="F40" s="197">
        <v>4</v>
      </c>
      <c r="G40" s="197">
        <v>4</v>
      </c>
      <c r="H40" s="197" t="s">
        <v>114</v>
      </c>
      <c r="I40" s="197">
        <v>4</v>
      </c>
      <c r="J40" s="197" t="s">
        <v>114</v>
      </c>
      <c r="K40" s="197" t="s">
        <v>114</v>
      </c>
      <c r="L40" s="197" t="s">
        <v>114</v>
      </c>
      <c r="M40" s="198">
        <v>4</v>
      </c>
      <c r="N40" s="199">
        <v>7.2743830407472523E-2</v>
      </c>
    </row>
    <row r="41" spans="1:14" s="195" customFormat="1" ht="13.8">
      <c r="A41" s="230" t="s">
        <v>89</v>
      </c>
      <c r="B41" s="211" t="s">
        <v>114</v>
      </c>
      <c r="C41" s="211">
        <v>4</v>
      </c>
      <c r="D41" s="211">
        <v>4</v>
      </c>
      <c r="E41" s="211">
        <v>4</v>
      </c>
      <c r="F41" s="211" t="s">
        <v>114</v>
      </c>
      <c r="G41" s="211" t="s">
        <v>114</v>
      </c>
      <c r="H41" s="211" t="s">
        <v>114</v>
      </c>
      <c r="I41" s="211">
        <v>4</v>
      </c>
      <c r="J41" s="211" t="s">
        <v>114</v>
      </c>
      <c r="K41" s="211" t="s">
        <v>114</v>
      </c>
      <c r="L41" s="211" t="s">
        <v>114</v>
      </c>
      <c r="M41" s="198">
        <v>4</v>
      </c>
      <c r="N41" s="199">
        <v>9.742574634936399E-2</v>
      </c>
    </row>
    <row r="42" spans="1:14" s="195" customFormat="1" ht="13.8">
      <c r="A42" s="196" t="s">
        <v>100</v>
      </c>
      <c r="B42" s="197">
        <v>6</v>
      </c>
      <c r="C42" s="197">
        <v>6</v>
      </c>
      <c r="D42" s="197">
        <v>6</v>
      </c>
      <c r="E42" s="197" t="s">
        <v>114</v>
      </c>
      <c r="F42" s="197">
        <v>6</v>
      </c>
      <c r="G42" s="197" t="s">
        <v>114</v>
      </c>
      <c r="H42" s="197">
        <v>6</v>
      </c>
      <c r="I42" s="197" t="s">
        <v>114</v>
      </c>
      <c r="J42" s="197">
        <v>6</v>
      </c>
      <c r="K42" s="197" t="s">
        <v>114</v>
      </c>
      <c r="L42" s="197" t="s">
        <v>114</v>
      </c>
      <c r="M42" s="198">
        <v>6</v>
      </c>
      <c r="N42" s="199">
        <v>5.9368114217937418E-2</v>
      </c>
    </row>
    <row r="43" spans="1:14" s="195" customFormat="1" ht="13.8">
      <c r="A43" s="201" t="s">
        <v>99</v>
      </c>
      <c r="B43" s="197">
        <v>8</v>
      </c>
      <c r="C43" s="197">
        <v>8</v>
      </c>
      <c r="D43" s="197">
        <v>8</v>
      </c>
      <c r="E43" s="197">
        <v>8</v>
      </c>
      <c r="F43" s="197">
        <v>8</v>
      </c>
      <c r="G43" s="197">
        <v>8</v>
      </c>
      <c r="H43" s="197">
        <v>8</v>
      </c>
      <c r="I43" s="197" t="s">
        <v>114</v>
      </c>
      <c r="J43" s="197">
        <v>8</v>
      </c>
      <c r="K43" s="197" t="s">
        <v>114</v>
      </c>
      <c r="L43" s="197" t="s">
        <v>114</v>
      </c>
      <c r="M43" s="198">
        <v>8</v>
      </c>
      <c r="N43" s="199">
        <v>6.3092294016981312E-2</v>
      </c>
    </row>
    <row r="44" spans="1:14" s="195" customFormat="1" ht="13.8">
      <c r="A44" s="196" t="s">
        <v>52</v>
      </c>
      <c r="B44" s="197">
        <v>8</v>
      </c>
      <c r="C44" s="197">
        <v>8</v>
      </c>
      <c r="D44" s="197">
        <v>8</v>
      </c>
      <c r="E44" s="197">
        <v>8</v>
      </c>
      <c r="F44" s="197">
        <v>8</v>
      </c>
      <c r="G44" s="197">
        <v>8</v>
      </c>
      <c r="H44" s="197" t="s">
        <v>114</v>
      </c>
      <c r="I44" s="197">
        <v>8</v>
      </c>
      <c r="J44" s="197">
        <v>8</v>
      </c>
      <c r="K44" s="197" t="s">
        <v>114</v>
      </c>
      <c r="L44" s="197" t="s">
        <v>114</v>
      </c>
      <c r="M44" s="198">
        <v>8</v>
      </c>
      <c r="N44" s="199">
        <v>6.2776706537620436E-2</v>
      </c>
    </row>
    <row r="45" spans="1:14" s="195" customFormat="1" ht="13.8">
      <c r="A45" s="201" t="s">
        <v>70</v>
      </c>
      <c r="B45" s="197">
        <v>8</v>
      </c>
      <c r="C45" s="197">
        <v>8</v>
      </c>
      <c r="D45" s="197">
        <v>8</v>
      </c>
      <c r="E45" s="197">
        <v>8</v>
      </c>
      <c r="F45" s="197">
        <v>8</v>
      </c>
      <c r="G45" s="197">
        <v>8</v>
      </c>
      <c r="H45" s="197">
        <v>8</v>
      </c>
      <c r="I45" s="197">
        <v>8</v>
      </c>
      <c r="J45" s="197" t="s">
        <v>114</v>
      </c>
      <c r="K45" s="197" t="s">
        <v>114</v>
      </c>
      <c r="L45" s="197" t="s">
        <v>114</v>
      </c>
      <c r="M45" s="198">
        <v>8</v>
      </c>
      <c r="N45" s="199">
        <v>3.5168856627903103E-2</v>
      </c>
    </row>
    <row r="46" spans="1:14" s="195" customFormat="1" ht="13.8">
      <c r="A46" s="212" t="s">
        <v>72</v>
      </c>
      <c r="B46" s="204">
        <v>8</v>
      </c>
      <c r="C46" s="204">
        <v>8</v>
      </c>
      <c r="D46" s="204">
        <v>8</v>
      </c>
      <c r="E46" s="204">
        <v>8</v>
      </c>
      <c r="F46" s="204">
        <v>8</v>
      </c>
      <c r="G46" s="204">
        <v>8</v>
      </c>
      <c r="H46" s="204">
        <v>8</v>
      </c>
      <c r="I46" s="204">
        <v>8</v>
      </c>
      <c r="J46" s="204" t="s">
        <v>114</v>
      </c>
      <c r="K46" s="204" t="s">
        <v>114</v>
      </c>
      <c r="L46" s="204" t="s">
        <v>114</v>
      </c>
      <c r="M46" s="198">
        <v>8</v>
      </c>
      <c r="N46" s="199">
        <v>6.1795322557010549E-2</v>
      </c>
    </row>
    <row r="47" spans="1:14" s="195" customFormat="1" ht="13.8">
      <c r="A47" s="213" t="s">
        <v>43</v>
      </c>
      <c r="B47" s="207">
        <v>9</v>
      </c>
      <c r="C47" s="207">
        <v>9</v>
      </c>
      <c r="D47" s="207">
        <v>9</v>
      </c>
      <c r="E47" s="207">
        <v>9</v>
      </c>
      <c r="F47" s="207">
        <v>9</v>
      </c>
      <c r="G47" s="207">
        <v>9</v>
      </c>
      <c r="H47" s="207">
        <v>9</v>
      </c>
      <c r="I47" s="207">
        <v>9</v>
      </c>
      <c r="J47" s="207">
        <v>9</v>
      </c>
      <c r="K47" s="207" t="s">
        <v>114</v>
      </c>
      <c r="L47" s="207" t="s">
        <v>114</v>
      </c>
      <c r="M47" s="198">
        <v>9</v>
      </c>
      <c r="N47" s="199">
        <v>8.943698444927721E-2</v>
      </c>
    </row>
    <row r="48" spans="1:14" s="195" customFormat="1" ht="13.8">
      <c r="A48" s="203" t="s">
        <v>83</v>
      </c>
      <c r="B48" s="204">
        <v>9</v>
      </c>
      <c r="C48" s="204">
        <v>9</v>
      </c>
      <c r="D48" s="204">
        <v>9</v>
      </c>
      <c r="E48" s="204">
        <v>9</v>
      </c>
      <c r="F48" s="204">
        <v>9</v>
      </c>
      <c r="G48" s="204">
        <v>9</v>
      </c>
      <c r="H48" s="204">
        <v>9</v>
      </c>
      <c r="I48" s="204">
        <v>9</v>
      </c>
      <c r="J48" s="204">
        <v>9</v>
      </c>
      <c r="K48" s="204" t="s">
        <v>114</v>
      </c>
      <c r="L48" s="204" t="s">
        <v>114</v>
      </c>
      <c r="M48" s="198">
        <v>9</v>
      </c>
      <c r="N48" s="199">
        <v>4.4185813809047757E-2</v>
      </c>
    </row>
    <row r="49" spans="1:14" s="195" customFormat="1" ht="13.8">
      <c r="A49" s="196" t="s">
        <v>87</v>
      </c>
      <c r="B49" s="197">
        <v>9</v>
      </c>
      <c r="C49" s="197">
        <v>9</v>
      </c>
      <c r="D49" s="197">
        <v>9</v>
      </c>
      <c r="E49" s="197">
        <v>9</v>
      </c>
      <c r="F49" s="197">
        <v>9</v>
      </c>
      <c r="G49" s="197">
        <v>9</v>
      </c>
      <c r="H49" s="197">
        <v>9</v>
      </c>
      <c r="I49" s="197">
        <v>9</v>
      </c>
      <c r="J49" s="197">
        <v>9</v>
      </c>
      <c r="K49" s="197" t="s">
        <v>114</v>
      </c>
      <c r="L49" s="197" t="s">
        <v>114</v>
      </c>
      <c r="M49" s="198">
        <v>9</v>
      </c>
      <c r="N49" s="199">
        <v>9.0368057056667284E-2</v>
      </c>
    </row>
    <row r="50" spans="1:14" s="195" customFormat="1" ht="13.8">
      <c r="A50" s="230" t="s">
        <v>73</v>
      </c>
      <c r="B50" s="211">
        <v>9</v>
      </c>
      <c r="C50" s="211">
        <v>9</v>
      </c>
      <c r="D50" s="211">
        <v>9</v>
      </c>
      <c r="E50" s="211">
        <v>9</v>
      </c>
      <c r="F50" s="211">
        <v>9</v>
      </c>
      <c r="G50" s="211">
        <v>9</v>
      </c>
      <c r="H50" s="211">
        <v>9</v>
      </c>
      <c r="I50" s="211">
        <v>9</v>
      </c>
      <c r="J50" s="211">
        <v>9</v>
      </c>
      <c r="K50" s="211" t="s">
        <v>114</v>
      </c>
      <c r="L50" s="211" t="s">
        <v>114</v>
      </c>
      <c r="M50" s="198">
        <v>9</v>
      </c>
      <c r="N50" s="199">
        <v>7.5226658749721759E-2</v>
      </c>
    </row>
    <row r="51" spans="1:14" s="195" customFormat="1" ht="13.8">
      <c r="A51" s="210" t="s">
        <v>53</v>
      </c>
      <c r="B51" s="211">
        <v>9</v>
      </c>
      <c r="C51" s="211">
        <v>9</v>
      </c>
      <c r="D51" s="211">
        <v>9</v>
      </c>
      <c r="E51" s="211">
        <v>9</v>
      </c>
      <c r="F51" s="211">
        <v>9</v>
      </c>
      <c r="G51" s="211">
        <v>9</v>
      </c>
      <c r="H51" s="211">
        <v>9</v>
      </c>
      <c r="I51" s="211">
        <v>9</v>
      </c>
      <c r="J51" s="211">
        <v>9</v>
      </c>
      <c r="K51" s="211" t="s">
        <v>114</v>
      </c>
      <c r="L51" s="211" t="s">
        <v>114</v>
      </c>
      <c r="M51" s="198">
        <v>9</v>
      </c>
      <c r="N51" s="199">
        <v>5.6260630680892196E-2</v>
      </c>
    </row>
    <row r="52" spans="1:14" s="195" customFormat="1" ht="13.8">
      <c r="A52" s="201" t="s">
        <v>71</v>
      </c>
      <c r="B52" s="197">
        <v>9</v>
      </c>
      <c r="C52" s="197">
        <v>9</v>
      </c>
      <c r="D52" s="197">
        <v>9</v>
      </c>
      <c r="E52" s="197">
        <v>9</v>
      </c>
      <c r="F52" s="197">
        <v>9</v>
      </c>
      <c r="G52" s="197">
        <v>9</v>
      </c>
      <c r="H52" s="197">
        <v>9</v>
      </c>
      <c r="I52" s="197">
        <v>9</v>
      </c>
      <c r="J52" s="197">
        <v>9</v>
      </c>
      <c r="K52" s="197" t="s">
        <v>114</v>
      </c>
      <c r="L52" s="197" t="s">
        <v>114</v>
      </c>
      <c r="M52" s="198">
        <v>9</v>
      </c>
      <c r="N52" s="199">
        <v>7.5407384867682392E-2</v>
      </c>
    </row>
    <row r="53" spans="1:14" s="195" customFormat="1" ht="13.8">
      <c r="A53" s="201" t="s">
        <v>91</v>
      </c>
      <c r="B53" s="197">
        <v>9</v>
      </c>
      <c r="C53" s="197">
        <v>9</v>
      </c>
      <c r="D53" s="197">
        <v>9</v>
      </c>
      <c r="E53" s="197">
        <v>9</v>
      </c>
      <c r="F53" s="197">
        <v>9</v>
      </c>
      <c r="G53" s="197">
        <v>9</v>
      </c>
      <c r="H53" s="197">
        <v>9</v>
      </c>
      <c r="I53" s="197">
        <v>9</v>
      </c>
      <c r="J53" s="197">
        <v>9</v>
      </c>
      <c r="K53" s="197" t="s">
        <v>114</v>
      </c>
      <c r="L53" s="197" t="s">
        <v>114</v>
      </c>
      <c r="M53" s="198">
        <v>9</v>
      </c>
      <c r="N53" s="199">
        <v>9.969408152754014E-2</v>
      </c>
    </row>
    <row r="54" spans="1:14" s="202" customFormat="1" ht="13.8">
      <c r="A54" s="201" t="s">
        <v>102</v>
      </c>
      <c r="B54" s="197">
        <v>9</v>
      </c>
      <c r="C54" s="197">
        <v>9</v>
      </c>
      <c r="D54" s="197">
        <v>9</v>
      </c>
      <c r="E54" s="197">
        <v>9</v>
      </c>
      <c r="F54" s="197">
        <v>9</v>
      </c>
      <c r="G54" s="197">
        <v>9</v>
      </c>
      <c r="H54" s="197">
        <v>9</v>
      </c>
      <c r="I54" s="197">
        <v>9</v>
      </c>
      <c r="J54" s="197">
        <v>9</v>
      </c>
      <c r="K54" s="197" t="s">
        <v>114</v>
      </c>
      <c r="L54" s="197" t="s">
        <v>114</v>
      </c>
      <c r="M54" s="198">
        <v>9</v>
      </c>
      <c r="N54" s="199">
        <v>9.7682963835206499E-2</v>
      </c>
    </row>
    <row r="55" spans="1:14" s="202" customFormat="1" ht="13.8">
      <c r="A55" s="196" t="s">
        <v>92</v>
      </c>
      <c r="B55" s="197">
        <v>9</v>
      </c>
      <c r="C55" s="197">
        <v>9</v>
      </c>
      <c r="D55" s="197">
        <v>9</v>
      </c>
      <c r="E55" s="197">
        <v>9</v>
      </c>
      <c r="F55" s="197">
        <v>9</v>
      </c>
      <c r="G55" s="197">
        <v>9</v>
      </c>
      <c r="H55" s="197">
        <v>9</v>
      </c>
      <c r="I55" s="197">
        <v>9</v>
      </c>
      <c r="J55" s="197">
        <v>9</v>
      </c>
      <c r="K55" s="197" t="s">
        <v>114</v>
      </c>
      <c r="L55" s="197" t="s">
        <v>114</v>
      </c>
      <c r="M55" s="198">
        <v>9</v>
      </c>
      <c r="N55" s="199">
        <v>9.0449834697571313E-2</v>
      </c>
    </row>
  </sheetData>
  <sortState xmlns:xlrd2="http://schemas.microsoft.com/office/spreadsheetml/2017/richdata2" ref="A20:N55">
    <sortCondition ref="M20:M55"/>
    <sortCondition ref="A20:A55"/>
  </sortState>
  <conditionalFormatting sqref="A44:L44">
    <cfRule type="expression" dxfId="0" priority="1">
      <formula>$M44&lt;$M45</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107"/>
  <sheetViews>
    <sheetView workbookViewId="0">
      <selection activeCell="L53" sqref="K1:L53"/>
    </sheetView>
  </sheetViews>
  <sheetFormatPr defaultRowHeight="13.2"/>
  <cols>
    <col min="3" max="18" width="5.5546875" customWidth="1"/>
    <col min="20" max="26" width="3.6640625" customWidth="1"/>
  </cols>
  <sheetData>
    <row r="1" spans="1:27">
      <c r="A1" s="255"/>
      <c r="B1" s="88" t="s">
        <v>53</v>
      </c>
      <c r="H1">
        <v>16</v>
      </c>
      <c r="L1" t="s">
        <v>216</v>
      </c>
      <c r="X1">
        <v>16.056982567166667</v>
      </c>
      <c r="Z1">
        <v>16.056982567166667</v>
      </c>
      <c r="AA1">
        <v>0</v>
      </c>
    </row>
    <row r="2" spans="1:27">
      <c r="A2" s="254"/>
      <c r="B2" s="85" t="s">
        <v>139</v>
      </c>
      <c r="H2">
        <v>23</v>
      </c>
      <c r="L2" t="s">
        <v>105</v>
      </c>
      <c r="X2">
        <v>23.02608059426246</v>
      </c>
      <c r="Z2">
        <v>23.02608059426246</v>
      </c>
      <c r="AA2">
        <v>0</v>
      </c>
    </row>
    <row r="3" spans="1:27">
      <c r="A3" s="255"/>
      <c r="B3" s="88" t="s">
        <v>119</v>
      </c>
      <c r="H3">
        <v>25</v>
      </c>
      <c r="L3" t="s">
        <v>220</v>
      </c>
      <c r="X3">
        <v>25.03412824688764</v>
      </c>
      <c r="Z3">
        <v>25.03412824688764</v>
      </c>
      <c r="AA3">
        <v>0</v>
      </c>
    </row>
    <row r="4" spans="1:27">
      <c r="A4" s="259"/>
      <c r="B4" s="261" t="s">
        <v>145</v>
      </c>
      <c r="H4">
        <v>15</v>
      </c>
      <c r="L4" t="s">
        <v>323</v>
      </c>
      <c r="X4">
        <v>15.01810785747511</v>
      </c>
      <c r="Z4">
        <v>15.01810785747511</v>
      </c>
      <c r="AA4">
        <v>0</v>
      </c>
    </row>
    <row r="5" spans="1:27">
      <c r="A5" s="255"/>
      <c r="B5" s="88" t="s">
        <v>72</v>
      </c>
      <c r="H5">
        <v>37</v>
      </c>
      <c r="K5">
        <v>211</v>
      </c>
      <c r="L5" t="s">
        <v>349</v>
      </c>
      <c r="X5">
        <v>37.032665007287086</v>
      </c>
      <c r="Z5">
        <v>37.032665007287086</v>
      </c>
      <c r="AA5">
        <v>0</v>
      </c>
    </row>
    <row r="6" spans="1:27">
      <c r="A6" s="254"/>
      <c r="B6" s="85" t="s">
        <v>116</v>
      </c>
      <c r="H6">
        <v>6</v>
      </c>
      <c r="L6" t="s">
        <v>243</v>
      </c>
      <c r="X6">
        <v>6.0149224823220147</v>
      </c>
      <c r="Z6">
        <v>6.0149224823220147</v>
      </c>
      <c r="AA6">
        <v>1</v>
      </c>
    </row>
    <row r="7" spans="1:27">
      <c r="A7" s="255"/>
      <c r="B7" s="88" t="s">
        <v>144</v>
      </c>
      <c r="H7">
        <v>10</v>
      </c>
      <c r="L7" t="s">
        <v>279</v>
      </c>
      <c r="X7">
        <v>10.043380017389607</v>
      </c>
      <c r="Z7">
        <v>10.043380017389607</v>
      </c>
      <c r="AA7">
        <v>1</v>
      </c>
    </row>
    <row r="8" spans="1:27">
      <c r="A8" s="259"/>
      <c r="B8" s="261" t="s">
        <v>87</v>
      </c>
      <c r="H8">
        <v>10</v>
      </c>
      <c r="L8" t="s">
        <v>346</v>
      </c>
      <c r="X8">
        <v>10.026675038496364</v>
      </c>
      <c r="Z8">
        <v>10.026675038496364</v>
      </c>
      <c r="AA8">
        <v>1</v>
      </c>
    </row>
    <row r="9" spans="1:27">
      <c r="A9" s="254"/>
      <c r="B9" s="85" t="s">
        <v>164</v>
      </c>
      <c r="H9">
        <v>18</v>
      </c>
      <c r="L9" t="s">
        <v>151</v>
      </c>
      <c r="X9">
        <v>18.059618644862351</v>
      </c>
      <c r="Z9">
        <v>18.059618644862351</v>
      </c>
      <c r="AA9">
        <v>1</v>
      </c>
    </row>
    <row r="10" spans="1:27">
      <c r="A10" s="277"/>
      <c r="B10" s="278" t="s">
        <v>134</v>
      </c>
      <c r="H10">
        <v>22</v>
      </c>
      <c r="L10" t="s">
        <v>86</v>
      </c>
      <c r="X10">
        <v>22.032154712216812</v>
      </c>
      <c r="Z10">
        <v>22.032154712216812</v>
      </c>
      <c r="AA10">
        <v>1</v>
      </c>
    </row>
    <row r="11" spans="1:27">
      <c r="A11" s="259"/>
      <c r="B11" s="261" t="s">
        <v>165</v>
      </c>
      <c r="H11">
        <v>24</v>
      </c>
      <c r="L11" t="s">
        <v>260</v>
      </c>
      <c r="X11">
        <v>24.098799757474964</v>
      </c>
      <c r="Z11">
        <v>24.098799757474964</v>
      </c>
      <c r="AA11">
        <v>1</v>
      </c>
    </row>
    <row r="12" spans="1:27">
      <c r="A12" s="258"/>
      <c r="B12" s="260" t="s">
        <v>102</v>
      </c>
      <c r="H12">
        <v>28</v>
      </c>
      <c r="L12" t="s">
        <v>200</v>
      </c>
      <c r="X12">
        <v>28.026612198115679</v>
      </c>
      <c r="Z12">
        <v>28.026612198115679</v>
      </c>
      <c r="AA12">
        <v>1</v>
      </c>
    </row>
    <row r="13" spans="1:27">
      <c r="A13" s="254"/>
      <c r="B13" s="85" t="s">
        <v>156</v>
      </c>
      <c r="H13">
        <v>38</v>
      </c>
      <c r="L13" t="s">
        <v>130</v>
      </c>
      <c r="X13">
        <v>38.002713683718511</v>
      </c>
      <c r="Z13">
        <v>38.002713683718511</v>
      </c>
      <c r="AA13">
        <v>1</v>
      </c>
    </row>
    <row r="14" spans="1:27">
      <c r="A14" s="258"/>
      <c r="B14" s="260" t="s">
        <v>89</v>
      </c>
      <c r="H14">
        <v>40</v>
      </c>
      <c r="L14" t="s">
        <v>240</v>
      </c>
      <c r="X14">
        <v>40.023808570063608</v>
      </c>
      <c r="Z14">
        <v>40.023808570063608</v>
      </c>
      <c r="AA14">
        <v>1</v>
      </c>
    </row>
    <row r="15" spans="1:27">
      <c r="A15" s="271"/>
      <c r="B15" s="274" t="s">
        <v>163</v>
      </c>
      <c r="H15">
        <v>42</v>
      </c>
      <c r="L15" t="s">
        <v>198</v>
      </c>
      <c r="X15">
        <v>42.060945029075036</v>
      </c>
      <c r="Z15">
        <v>42.060945029075036</v>
      </c>
      <c r="AA15">
        <v>1</v>
      </c>
    </row>
    <row r="16" spans="1:27">
      <c r="A16" s="255"/>
      <c r="B16" s="88" t="s">
        <v>162</v>
      </c>
      <c r="H16">
        <v>33</v>
      </c>
      <c r="L16" t="s">
        <v>302</v>
      </c>
      <c r="X16">
        <v>33.079570114028094</v>
      </c>
      <c r="Z16">
        <v>33.079570114028094</v>
      </c>
      <c r="AA16">
        <v>1</v>
      </c>
    </row>
    <row r="17" spans="1:27">
      <c r="A17" s="254"/>
      <c r="B17" s="85" t="s">
        <v>141</v>
      </c>
      <c r="H17">
        <v>43</v>
      </c>
      <c r="L17" t="s">
        <v>239</v>
      </c>
      <c r="X17">
        <v>43.042469976607507</v>
      </c>
      <c r="Z17">
        <v>43.042469976607507</v>
      </c>
      <c r="AA17">
        <v>1</v>
      </c>
    </row>
    <row r="18" spans="1:27">
      <c r="A18" s="255"/>
      <c r="B18" s="88" t="s">
        <v>138</v>
      </c>
      <c r="H18">
        <v>9</v>
      </c>
      <c r="L18" t="s">
        <v>182</v>
      </c>
      <c r="X18">
        <v>9.0270340632909338</v>
      </c>
      <c r="Z18">
        <v>9.0270340632909338</v>
      </c>
      <c r="AA18">
        <v>2</v>
      </c>
    </row>
    <row r="19" spans="1:27">
      <c r="A19" s="259"/>
      <c r="B19" s="261" t="s">
        <v>142</v>
      </c>
      <c r="H19">
        <v>12</v>
      </c>
      <c r="L19" t="s">
        <v>226</v>
      </c>
      <c r="X19">
        <v>12.041014776620505</v>
      </c>
      <c r="Z19">
        <v>12.041014776620505</v>
      </c>
      <c r="AA19">
        <v>2</v>
      </c>
    </row>
    <row r="20" spans="1:27">
      <c r="A20" s="272"/>
      <c r="B20" s="275" t="s">
        <v>159</v>
      </c>
      <c r="H20">
        <v>30</v>
      </c>
      <c r="L20" t="s">
        <v>91</v>
      </c>
      <c r="X20">
        <v>30.082992901249714</v>
      </c>
      <c r="Z20">
        <v>30.082992901249714</v>
      </c>
      <c r="AA20">
        <v>2</v>
      </c>
    </row>
    <row r="21" spans="1:27">
      <c r="A21" s="254"/>
      <c r="B21" s="85" t="s">
        <v>85</v>
      </c>
      <c r="H21">
        <v>31</v>
      </c>
      <c r="L21" t="s">
        <v>231</v>
      </c>
      <c r="X21">
        <v>31.092817967544978</v>
      </c>
      <c r="Z21">
        <v>31.092817967544978</v>
      </c>
      <c r="AA21">
        <v>2</v>
      </c>
    </row>
    <row r="22" spans="1:27">
      <c r="A22" s="255"/>
      <c r="B22" s="88" t="s">
        <v>120</v>
      </c>
      <c r="H22">
        <v>4</v>
      </c>
      <c r="L22" t="s">
        <v>229</v>
      </c>
      <c r="X22">
        <v>4.0893955562646571</v>
      </c>
      <c r="Z22">
        <v>4.0893955562646571</v>
      </c>
      <c r="AA22">
        <v>3</v>
      </c>
    </row>
    <row r="23" spans="1:27">
      <c r="A23" s="259"/>
      <c r="B23" s="261" t="s">
        <v>123</v>
      </c>
      <c r="H23">
        <v>11</v>
      </c>
      <c r="L23" t="s">
        <v>337</v>
      </c>
      <c r="X23">
        <v>11.059938259120463</v>
      </c>
      <c r="Z23">
        <v>11.059938259120463</v>
      </c>
      <c r="AA23">
        <v>3</v>
      </c>
    </row>
    <row r="24" spans="1:27">
      <c r="A24" s="255"/>
      <c r="B24" s="88" t="s">
        <v>118</v>
      </c>
      <c r="H24">
        <v>36</v>
      </c>
      <c r="L24" t="s">
        <v>165</v>
      </c>
      <c r="X24">
        <v>36.07517142266591</v>
      </c>
      <c r="Z24">
        <v>36.07517142266591</v>
      </c>
      <c r="AA24">
        <v>3</v>
      </c>
    </row>
    <row r="25" spans="1:27">
      <c r="A25" s="259"/>
      <c r="B25" s="261" t="s">
        <v>161</v>
      </c>
      <c r="H25">
        <v>39</v>
      </c>
      <c r="L25" t="s">
        <v>119</v>
      </c>
      <c r="X25">
        <v>39.087621807967288</v>
      </c>
      <c r="Z25">
        <v>39.087621807967288</v>
      </c>
      <c r="AA25">
        <v>3</v>
      </c>
    </row>
    <row r="26" spans="1:27">
      <c r="A26" s="258"/>
      <c r="B26" s="260" t="s">
        <v>157</v>
      </c>
      <c r="H26">
        <v>1</v>
      </c>
      <c r="K26" t="s">
        <v>143</v>
      </c>
      <c r="L26" t="s">
        <v>44</v>
      </c>
      <c r="X26">
        <v>1.0585506882891269</v>
      </c>
      <c r="Z26">
        <v>1.0585506882891269</v>
      </c>
      <c r="AA26">
        <v>3</v>
      </c>
    </row>
    <row r="27" spans="1:27">
      <c r="A27" s="271"/>
      <c r="B27" s="274" t="s">
        <v>155</v>
      </c>
      <c r="H27">
        <v>7</v>
      </c>
      <c r="L27" t="s">
        <v>171</v>
      </c>
      <c r="X27">
        <v>7.0753478113079611</v>
      </c>
      <c r="Z27">
        <v>7.0753478113079611</v>
      </c>
      <c r="AA27">
        <v>5</v>
      </c>
    </row>
    <row r="28" spans="1:27">
      <c r="A28" s="258"/>
      <c r="B28" s="260" t="s">
        <v>154</v>
      </c>
      <c r="H28">
        <v>26</v>
      </c>
      <c r="L28" t="s">
        <v>154</v>
      </c>
      <c r="X28">
        <v>26.029167525487843</v>
      </c>
      <c r="Z28">
        <v>26.029167525487843</v>
      </c>
      <c r="AA28">
        <v>5</v>
      </c>
    </row>
    <row r="29" spans="1:27">
      <c r="A29" s="271"/>
      <c r="B29" s="274" t="s">
        <v>112</v>
      </c>
      <c r="H29">
        <v>27</v>
      </c>
      <c r="L29" t="s">
        <v>112</v>
      </c>
      <c r="X29">
        <v>27.071645208665906</v>
      </c>
      <c r="Z29">
        <v>27.071645208665906</v>
      </c>
      <c r="AA29">
        <v>6</v>
      </c>
    </row>
    <row r="30" spans="1:27">
      <c r="A30" s="258"/>
      <c r="B30" s="260" t="s">
        <v>127</v>
      </c>
      <c r="H30">
        <v>32</v>
      </c>
      <c r="L30" t="s">
        <v>340</v>
      </c>
      <c r="X30">
        <v>32.069921908609864</v>
      </c>
      <c r="Z30">
        <v>32.069921908609864</v>
      </c>
      <c r="AA30">
        <v>6</v>
      </c>
    </row>
    <row r="31" spans="1:27">
      <c r="A31" s="272"/>
      <c r="B31" s="275" t="s">
        <v>91</v>
      </c>
      <c r="H31">
        <v>19</v>
      </c>
      <c r="L31" t="s">
        <v>245</v>
      </c>
      <c r="X31">
        <v>19.044879975775331</v>
      </c>
      <c r="Z31">
        <v>19.044879975775331</v>
      </c>
      <c r="AA31">
        <v>7</v>
      </c>
    </row>
    <row r="32" spans="1:27">
      <c r="A32" s="258"/>
      <c r="B32" s="260" t="s">
        <v>128</v>
      </c>
      <c r="H32">
        <v>21</v>
      </c>
      <c r="L32" t="s">
        <v>303</v>
      </c>
      <c r="X32">
        <v>21.036435644597152</v>
      </c>
      <c r="Z32">
        <v>21.036435644597152</v>
      </c>
      <c r="AA32">
        <v>7</v>
      </c>
    </row>
    <row r="33" spans="1:31">
      <c r="A33" s="255"/>
      <c r="B33" s="88" t="s">
        <v>152</v>
      </c>
      <c r="H33">
        <v>41</v>
      </c>
      <c r="L33" t="s">
        <v>52</v>
      </c>
      <c r="X33">
        <v>41.039342238779149</v>
      </c>
      <c r="Z33">
        <v>41.039342238779149</v>
      </c>
      <c r="AA33">
        <v>7</v>
      </c>
    </row>
    <row r="34" spans="1:31">
      <c r="A34" s="254"/>
      <c r="B34" s="85" t="s">
        <v>140</v>
      </c>
      <c r="H34">
        <v>2</v>
      </c>
      <c r="L34" t="s">
        <v>213</v>
      </c>
      <c r="X34">
        <v>2.0679086930672734</v>
      </c>
      <c r="Z34">
        <v>2.0679086930672734</v>
      </c>
      <c r="AA34">
        <v>8</v>
      </c>
    </row>
    <row r="35" spans="1:31">
      <c r="A35" s="258"/>
      <c r="B35" s="260" t="s">
        <v>151</v>
      </c>
      <c r="H35">
        <v>13</v>
      </c>
      <c r="L35" t="s">
        <v>202</v>
      </c>
      <c r="X35">
        <v>13.036818125310893</v>
      </c>
      <c r="Z35">
        <v>13.036818125310893</v>
      </c>
      <c r="AA35">
        <v>9</v>
      </c>
    </row>
    <row r="36" spans="1:31">
      <c r="A36" s="254"/>
      <c r="B36" s="85" t="s">
        <v>86</v>
      </c>
      <c r="H36">
        <v>14</v>
      </c>
      <c r="L36" t="s">
        <v>233</v>
      </c>
      <c r="X36">
        <v>14.034263273238341</v>
      </c>
      <c r="Z36">
        <v>14.034263273238341</v>
      </c>
      <c r="AA36">
        <v>9</v>
      </c>
    </row>
    <row r="37" spans="1:31">
      <c r="A37" s="255"/>
      <c r="B37" s="88" t="s">
        <v>130</v>
      </c>
      <c r="H37">
        <v>17</v>
      </c>
      <c r="L37" t="s">
        <v>248</v>
      </c>
      <c r="X37">
        <v>17.030849979332572</v>
      </c>
      <c r="Z37">
        <v>17.030849979332572</v>
      </c>
      <c r="AA37">
        <v>9</v>
      </c>
    </row>
    <row r="38" spans="1:31">
      <c r="A38" s="254"/>
      <c r="B38" s="85" t="s">
        <v>84</v>
      </c>
      <c r="H38">
        <v>29</v>
      </c>
      <c r="L38" t="s">
        <v>84</v>
      </c>
      <c r="X38">
        <v>29.035292110392188</v>
      </c>
      <c r="Z38">
        <v>29.035292110392188</v>
      </c>
      <c r="AA38">
        <v>9</v>
      </c>
    </row>
    <row r="39" spans="1:31">
      <c r="A39" s="255"/>
      <c r="B39" s="88" t="s">
        <v>70</v>
      </c>
      <c r="H39">
        <v>34</v>
      </c>
      <c r="L39" t="s">
        <v>127</v>
      </c>
      <c r="X39">
        <v>34.073350743987746</v>
      </c>
      <c r="Z39">
        <v>34.073350743987746</v>
      </c>
      <c r="AA39">
        <v>9</v>
      </c>
    </row>
    <row r="40" spans="1:31">
      <c r="A40" s="259"/>
      <c r="B40" s="261" t="s">
        <v>75</v>
      </c>
      <c r="H40">
        <v>35</v>
      </c>
      <c r="L40" t="s">
        <v>325</v>
      </c>
      <c r="X40">
        <v>35.029496211079874</v>
      </c>
      <c r="Z40">
        <v>35.029496211079874</v>
      </c>
      <c r="AA40">
        <v>9</v>
      </c>
    </row>
    <row r="41" spans="1:31">
      <c r="A41" s="258"/>
      <c r="B41" s="260" t="s">
        <v>105</v>
      </c>
      <c r="H41">
        <v>3</v>
      </c>
      <c r="L41" t="s">
        <v>70</v>
      </c>
      <c r="X41">
        <v>3.0124990914871304</v>
      </c>
      <c r="Z41">
        <v>3.0124990914871304</v>
      </c>
      <c r="AA41">
        <v>10</v>
      </c>
    </row>
    <row r="42" spans="1:31">
      <c r="A42" s="259"/>
      <c r="B42" s="261" t="s">
        <v>131</v>
      </c>
      <c r="H42">
        <v>5</v>
      </c>
      <c r="L42" t="s">
        <v>324</v>
      </c>
      <c r="X42">
        <v>5.0010496411886276</v>
      </c>
      <c r="Z42">
        <v>5.0010496411886276</v>
      </c>
      <c r="AA42">
        <v>10</v>
      </c>
      <c r="AE42" s="82" t="s">
        <v>147</v>
      </c>
    </row>
    <row r="43" spans="1:31">
      <c r="A43" s="259"/>
      <c r="B43" s="261" t="s">
        <v>121</v>
      </c>
      <c r="H43">
        <v>20</v>
      </c>
      <c r="L43" t="s">
        <v>282</v>
      </c>
      <c r="X43">
        <v>20.04906361744143</v>
      </c>
      <c r="Z43">
        <v>20.04906361744143</v>
      </c>
      <c r="AA43">
        <v>10</v>
      </c>
    </row>
    <row r="44" spans="1:31">
      <c r="A44" s="273"/>
      <c r="B44" s="276"/>
      <c r="K44" t="s">
        <v>252</v>
      </c>
      <c r="L44" t="s">
        <v>278</v>
      </c>
    </row>
    <row r="45" spans="1:31">
      <c r="K45">
        <v>77</v>
      </c>
      <c r="L45" t="s">
        <v>281</v>
      </c>
    </row>
    <row r="46" spans="1:31">
      <c r="K46" t="s">
        <v>94</v>
      </c>
      <c r="L46" t="s">
        <v>75</v>
      </c>
    </row>
    <row r="47" spans="1:31">
      <c r="L47" t="s">
        <v>118</v>
      </c>
    </row>
    <row r="48" spans="1:31">
      <c r="L48" t="s">
        <v>156</v>
      </c>
    </row>
    <row r="49" spans="1:12">
      <c r="L49" t="s">
        <v>195</v>
      </c>
    </row>
    <row r="50" spans="1:12">
      <c r="L50" t="s">
        <v>280</v>
      </c>
    </row>
    <row r="51" spans="1:12">
      <c r="A51" s="254"/>
      <c r="B51" s="85" t="s">
        <v>140</v>
      </c>
      <c r="F51">
        <v>1</v>
      </c>
      <c r="I51" s="254"/>
      <c r="J51" s="85" t="s">
        <v>140</v>
      </c>
      <c r="L51" t="s">
        <v>228</v>
      </c>
    </row>
    <row r="52" spans="1:12">
      <c r="A52" s="255"/>
      <c r="B52" s="88" t="s">
        <v>105</v>
      </c>
      <c r="F52">
        <v>2</v>
      </c>
      <c r="I52" s="255"/>
      <c r="J52" s="88" t="s">
        <v>204</v>
      </c>
      <c r="L52" t="s">
        <v>242</v>
      </c>
    </row>
    <row r="53" spans="1:12">
      <c r="A53" s="254"/>
      <c r="B53" s="85" t="s">
        <v>120</v>
      </c>
      <c r="F53">
        <v>3</v>
      </c>
      <c r="I53" s="259">
        <v>62</v>
      </c>
      <c r="J53" s="261" t="s">
        <v>232</v>
      </c>
      <c r="K53" t="s">
        <v>253</v>
      </c>
      <c r="L53" t="s">
        <v>221</v>
      </c>
    </row>
    <row r="54" spans="1:12">
      <c r="A54" s="258" t="s">
        <v>168</v>
      </c>
      <c r="B54" s="260" t="s">
        <v>169</v>
      </c>
      <c r="F54">
        <v>4</v>
      </c>
      <c r="I54" s="258"/>
      <c r="J54" s="260" t="s">
        <v>216</v>
      </c>
    </row>
    <row r="55" spans="1:12">
      <c r="A55" s="259" t="s">
        <v>146</v>
      </c>
      <c r="B55" s="261" t="s">
        <v>131</v>
      </c>
      <c r="F55">
        <v>5</v>
      </c>
      <c r="I55" s="259"/>
      <c r="J55" s="261" t="s">
        <v>120</v>
      </c>
    </row>
    <row r="56" spans="1:12">
      <c r="A56" s="258"/>
      <c r="B56" s="260" t="s">
        <v>186</v>
      </c>
      <c r="F56">
        <v>6</v>
      </c>
      <c r="I56" s="284">
        <v>112</v>
      </c>
      <c r="J56" s="286" t="s">
        <v>220</v>
      </c>
    </row>
    <row r="57" spans="1:12">
      <c r="A57" s="259"/>
      <c r="B57" s="261" t="s">
        <v>155</v>
      </c>
      <c r="F57">
        <v>7</v>
      </c>
      <c r="I57" s="254"/>
      <c r="J57" s="85" t="s">
        <v>116</v>
      </c>
    </row>
    <row r="58" spans="1:12">
      <c r="A58" s="255"/>
      <c r="B58" s="88" t="s">
        <v>167</v>
      </c>
      <c r="F58">
        <v>8</v>
      </c>
      <c r="I58" s="255"/>
      <c r="J58" s="88" t="s">
        <v>186</v>
      </c>
    </row>
    <row r="59" spans="1:12">
      <c r="A59" s="254"/>
      <c r="B59" s="85" t="s">
        <v>138</v>
      </c>
      <c r="F59">
        <v>9</v>
      </c>
      <c r="I59" s="254"/>
      <c r="J59" s="85" t="s">
        <v>218</v>
      </c>
    </row>
    <row r="60" spans="1:12">
      <c r="A60" s="258"/>
      <c r="B60" s="260" t="s">
        <v>101</v>
      </c>
      <c r="F60">
        <v>10</v>
      </c>
      <c r="I60" s="258"/>
      <c r="J60" s="260" t="s">
        <v>155</v>
      </c>
    </row>
    <row r="61" spans="1:12">
      <c r="A61" s="254" t="s">
        <v>136</v>
      </c>
      <c r="B61" s="85" t="s">
        <v>123</v>
      </c>
      <c r="F61">
        <v>11</v>
      </c>
      <c r="I61" s="259"/>
      <c r="J61" s="261" t="s">
        <v>167</v>
      </c>
    </row>
    <row r="62" spans="1:12">
      <c r="A62" s="255"/>
      <c r="B62" s="88" t="s">
        <v>188</v>
      </c>
      <c r="F62">
        <v>12</v>
      </c>
      <c r="I62" s="258"/>
      <c r="J62" s="260" t="s">
        <v>43</v>
      </c>
    </row>
    <row r="63" spans="1:12">
      <c r="A63" s="259"/>
      <c r="B63" s="261" t="s">
        <v>103</v>
      </c>
      <c r="F63">
        <v>13</v>
      </c>
      <c r="I63" s="259"/>
      <c r="J63" s="261" t="s">
        <v>211</v>
      </c>
    </row>
    <row r="64" spans="1:12">
      <c r="A64" s="258"/>
      <c r="B64" s="260" t="s">
        <v>151</v>
      </c>
      <c r="F64">
        <v>14</v>
      </c>
      <c r="I64" s="258"/>
      <c r="J64" s="260" t="s">
        <v>138</v>
      </c>
    </row>
    <row r="65" spans="1:10">
      <c r="A65" s="259" t="s">
        <v>143</v>
      </c>
      <c r="B65" s="261" t="s">
        <v>145</v>
      </c>
      <c r="F65">
        <v>15</v>
      </c>
      <c r="I65" s="259"/>
      <c r="J65" s="261" t="s">
        <v>101</v>
      </c>
    </row>
    <row r="66" spans="1:10">
      <c r="A66" s="258"/>
      <c r="B66" s="260" t="s">
        <v>180</v>
      </c>
      <c r="F66">
        <v>16</v>
      </c>
      <c r="I66" s="258"/>
      <c r="J66" s="260" t="s">
        <v>205</v>
      </c>
    </row>
    <row r="67" spans="1:10">
      <c r="A67" s="259"/>
      <c r="B67" s="261" t="s">
        <v>182</v>
      </c>
      <c r="F67">
        <v>17</v>
      </c>
      <c r="I67" s="259"/>
      <c r="J67" s="261" t="s">
        <v>151</v>
      </c>
    </row>
    <row r="68" spans="1:10">
      <c r="A68" s="255"/>
      <c r="B68" s="88" t="s">
        <v>128</v>
      </c>
      <c r="F68">
        <v>18</v>
      </c>
      <c r="I68" s="258"/>
      <c r="J68" s="260" t="s">
        <v>224</v>
      </c>
    </row>
    <row r="69" spans="1:10">
      <c r="A69" s="254" t="s">
        <v>178</v>
      </c>
      <c r="B69" s="85" t="s">
        <v>177</v>
      </c>
      <c r="F69">
        <v>19</v>
      </c>
      <c r="I69" s="254"/>
      <c r="J69" s="85" t="s">
        <v>73</v>
      </c>
    </row>
    <row r="70" spans="1:10">
      <c r="A70" s="255" t="s">
        <v>170</v>
      </c>
      <c r="B70" s="88" t="s">
        <v>171</v>
      </c>
      <c r="F70">
        <v>20</v>
      </c>
      <c r="I70" s="258"/>
      <c r="J70" s="260" t="s">
        <v>86</v>
      </c>
    </row>
    <row r="71" spans="1:10">
      <c r="A71" s="254"/>
      <c r="B71" s="85" t="s">
        <v>154</v>
      </c>
      <c r="F71">
        <v>21</v>
      </c>
      <c r="I71" s="254" t="s">
        <v>143</v>
      </c>
      <c r="J71" s="85" t="s">
        <v>145</v>
      </c>
    </row>
    <row r="72" spans="1:10">
      <c r="A72" s="258"/>
      <c r="B72" s="260" t="s">
        <v>52</v>
      </c>
      <c r="F72">
        <v>22</v>
      </c>
      <c r="I72" s="255"/>
      <c r="J72" s="88" t="s">
        <v>200</v>
      </c>
    </row>
    <row r="73" spans="1:10">
      <c r="A73" s="254"/>
      <c r="B73" s="85" t="s">
        <v>176</v>
      </c>
      <c r="F73">
        <v>23</v>
      </c>
      <c r="I73" s="254"/>
      <c r="J73" s="85" t="s">
        <v>198</v>
      </c>
    </row>
    <row r="74" spans="1:10">
      <c r="A74" s="255"/>
      <c r="B74" s="88" t="s">
        <v>84</v>
      </c>
      <c r="F74">
        <v>24</v>
      </c>
      <c r="I74" s="255"/>
      <c r="J74" s="88" t="s">
        <v>197</v>
      </c>
    </row>
    <row r="75" spans="1:10">
      <c r="A75" s="259"/>
      <c r="B75" s="261" t="s">
        <v>175</v>
      </c>
      <c r="F75">
        <v>25</v>
      </c>
      <c r="I75" s="259"/>
      <c r="J75" s="261" t="s">
        <v>164</v>
      </c>
    </row>
    <row r="76" spans="1:10">
      <c r="A76" s="255"/>
      <c r="B76" s="88" t="s">
        <v>85</v>
      </c>
      <c r="F76">
        <v>26</v>
      </c>
      <c r="I76" s="255"/>
      <c r="J76" s="88" t="s">
        <v>180</v>
      </c>
    </row>
    <row r="77" spans="1:10">
      <c r="A77" s="254"/>
      <c r="B77" s="85" t="s">
        <v>127</v>
      </c>
      <c r="F77">
        <v>27</v>
      </c>
      <c r="I77" s="254"/>
      <c r="J77" s="85" t="s">
        <v>187</v>
      </c>
    </row>
    <row r="78" spans="1:10">
      <c r="A78" s="258"/>
      <c r="B78" s="260" t="s">
        <v>129</v>
      </c>
      <c r="F78">
        <v>28</v>
      </c>
      <c r="I78" s="284" t="s">
        <v>223</v>
      </c>
      <c r="J78" s="286" t="s">
        <v>225</v>
      </c>
    </row>
    <row r="79" spans="1:10">
      <c r="A79" s="259"/>
      <c r="B79" s="261" t="s">
        <v>70</v>
      </c>
      <c r="F79">
        <v>29</v>
      </c>
      <c r="I79" s="254"/>
      <c r="J79" s="85" t="s">
        <v>196</v>
      </c>
    </row>
    <row r="80" spans="1:10">
      <c r="A80" s="258"/>
      <c r="B80" s="260" t="s">
        <v>179</v>
      </c>
      <c r="F80">
        <v>30</v>
      </c>
      <c r="I80" s="255"/>
      <c r="J80" s="88" t="s">
        <v>226</v>
      </c>
    </row>
    <row r="81" spans="1:10">
      <c r="A81" s="259"/>
      <c r="B81" s="261" t="s">
        <v>173</v>
      </c>
      <c r="F81">
        <v>31</v>
      </c>
      <c r="I81" s="259"/>
      <c r="J81" s="261" t="s">
        <v>222</v>
      </c>
    </row>
    <row r="82" spans="1:10">
      <c r="A82" s="255"/>
      <c r="B82" s="88" t="s">
        <v>174</v>
      </c>
      <c r="F82">
        <v>32</v>
      </c>
      <c r="I82" s="258"/>
      <c r="J82" s="260" t="s">
        <v>208</v>
      </c>
    </row>
    <row r="83" spans="1:10">
      <c r="A83" s="259"/>
      <c r="B83" s="261" t="s">
        <v>118</v>
      </c>
      <c r="F83">
        <v>33</v>
      </c>
      <c r="I83" s="254"/>
      <c r="J83" s="85" t="s">
        <v>231</v>
      </c>
    </row>
    <row r="84" spans="1:10">
      <c r="A84" s="258"/>
      <c r="B84" s="260" t="s">
        <v>72</v>
      </c>
      <c r="F84">
        <v>34</v>
      </c>
      <c r="I84" s="258"/>
      <c r="J84" s="260" t="s">
        <v>229</v>
      </c>
    </row>
    <row r="85" spans="1:10">
      <c r="A85" s="259"/>
      <c r="B85" s="261" t="s">
        <v>156</v>
      </c>
      <c r="F85">
        <v>35</v>
      </c>
      <c r="I85" s="254"/>
      <c r="J85" s="85" t="s">
        <v>134</v>
      </c>
    </row>
    <row r="86" spans="1:10">
      <c r="A86" s="258"/>
      <c r="B86" s="260" t="s">
        <v>161</v>
      </c>
      <c r="F86">
        <v>36</v>
      </c>
      <c r="I86" s="255" t="s">
        <v>178</v>
      </c>
      <c r="J86" s="88" t="s">
        <v>177</v>
      </c>
    </row>
    <row r="87" spans="1:10">
      <c r="A87" s="254"/>
      <c r="B87" s="85" t="s">
        <v>152</v>
      </c>
      <c r="F87">
        <v>37</v>
      </c>
      <c r="I87" s="259"/>
      <c r="J87" s="261" t="s">
        <v>154</v>
      </c>
    </row>
    <row r="88" spans="1:10">
      <c r="A88" s="255"/>
      <c r="B88" s="88"/>
      <c r="I88" s="255"/>
      <c r="J88" s="88" t="s">
        <v>112</v>
      </c>
    </row>
    <row r="89" spans="1:10">
      <c r="A89" s="259"/>
      <c r="B89" s="261"/>
      <c r="I89" s="259"/>
      <c r="J89" s="261" t="s">
        <v>201</v>
      </c>
    </row>
    <row r="90" spans="1:10">
      <c r="A90" s="258"/>
      <c r="B90" s="260"/>
      <c r="I90" s="258"/>
      <c r="J90" s="260" t="s">
        <v>52</v>
      </c>
    </row>
    <row r="91" spans="1:10">
      <c r="A91" s="259"/>
      <c r="B91" s="261"/>
      <c r="I91" s="254"/>
      <c r="J91" s="85" t="s">
        <v>102</v>
      </c>
    </row>
    <row r="92" spans="1:10">
      <c r="A92" s="258"/>
      <c r="B92" s="260"/>
      <c r="I92" s="284"/>
      <c r="J92" s="286" t="s">
        <v>213</v>
      </c>
    </row>
    <row r="93" spans="1:10">
      <c r="I93" s="254"/>
      <c r="J93" s="85" t="s">
        <v>202</v>
      </c>
    </row>
    <row r="94" spans="1:10">
      <c r="I94" s="258">
        <v>105</v>
      </c>
      <c r="J94" s="260" t="s">
        <v>233</v>
      </c>
    </row>
    <row r="95" spans="1:10">
      <c r="I95" s="254"/>
      <c r="J95" s="85" t="s">
        <v>159</v>
      </c>
    </row>
    <row r="96" spans="1:10">
      <c r="I96" s="258"/>
      <c r="J96" s="260" t="s">
        <v>85</v>
      </c>
    </row>
    <row r="97" spans="9:10">
      <c r="I97" s="259"/>
      <c r="J97" s="261" t="s">
        <v>127</v>
      </c>
    </row>
    <row r="98" spans="9:10">
      <c r="I98" s="255"/>
      <c r="J98" s="88" t="s">
        <v>70</v>
      </c>
    </row>
    <row r="99" spans="9:10">
      <c r="I99" s="259"/>
      <c r="J99" s="261" t="s">
        <v>173</v>
      </c>
    </row>
    <row r="100" spans="9:10">
      <c r="I100" s="258"/>
      <c r="J100" s="260" t="s">
        <v>75</v>
      </c>
    </row>
    <row r="101" spans="9:10">
      <c r="I101" s="259"/>
      <c r="J101" s="261" t="s">
        <v>118</v>
      </c>
    </row>
    <row r="102" spans="9:10">
      <c r="I102" s="255"/>
      <c r="J102" s="88" t="s">
        <v>156</v>
      </c>
    </row>
    <row r="103" spans="9:10">
      <c r="I103" s="254"/>
      <c r="J103" s="85" t="s">
        <v>161</v>
      </c>
    </row>
    <row r="104" spans="9:10">
      <c r="I104" s="255"/>
      <c r="J104" s="88" t="s">
        <v>195</v>
      </c>
    </row>
    <row r="105" spans="9:10">
      <c r="I105" s="254"/>
      <c r="J105" s="85" t="s">
        <v>228</v>
      </c>
    </row>
    <row r="106" spans="9:10">
      <c r="I106" s="258"/>
      <c r="J106" s="260" t="s">
        <v>163</v>
      </c>
    </row>
    <row r="107" spans="9:10">
      <c r="I107" s="259"/>
      <c r="J107" s="261" t="s">
        <v>221</v>
      </c>
    </row>
  </sheetData>
  <sortState xmlns:xlrd2="http://schemas.microsoft.com/office/spreadsheetml/2017/richdata2" ref="K1:L58">
    <sortCondition ref="L1:L5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indexed="32"/>
  </sheetPr>
  <dimension ref="A1:CZ82"/>
  <sheetViews>
    <sheetView showGridLines="0" showZeros="0" zoomScaleNormal="100" workbookViewId="0">
      <pane xSplit="2" ySplit="1" topLeftCell="C17" activePane="bottomRight" state="frozen"/>
      <selection activeCell="B47" sqref="B47"/>
      <selection pane="topRight" activeCell="B47" sqref="B47"/>
      <selection pane="bottomLeft" activeCell="B47" sqref="B47"/>
      <selection pane="bottomRight" activeCell="Y32" sqref="Y32"/>
    </sheetView>
  </sheetViews>
  <sheetFormatPr defaultColWidth="9.33203125" defaultRowHeight="13.2"/>
  <cols>
    <col min="1" max="1" width="8" style="257" customWidth="1"/>
    <col min="2" max="2" width="13.88671875" style="321" customWidth="1"/>
    <col min="3" max="4" width="5.44140625" style="71" customWidth="1"/>
    <col min="5" max="5" width="5.44140625" style="74" customWidth="1"/>
    <col min="6" max="8" width="5.44140625" style="73" customWidth="1"/>
    <col min="9" max="17" width="5.44140625" style="71" customWidth="1"/>
    <col min="18" max="18" width="5.44140625" style="73" customWidth="1"/>
    <col min="19" max="20" width="5.44140625" style="71" customWidth="1"/>
    <col min="21" max="23" width="5.44140625" style="73" customWidth="1"/>
    <col min="24" max="24" width="5.44140625" style="133" customWidth="1"/>
    <col min="25" max="25" width="5.44140625" style="59" customWidth="1"/>
    <col min="26" max="26" width="5.6640625" style="31" customWidth="1"/>
    <col min="27" max="27" width="10.6640625" style="87" customWidth="1"/>
    <col min="28" max="28" width="5.88671875" style="87" customWidth="1"/>
    <col min="29" max="29" width="4.6640625" style="151" customWidth="1"/>
    <col min="30" max="30" width="17" style="60" customWidth="1"/>
    <col min="31" max="31" width="6.109375" style="60" customWidth="1"/>
    <col min="32" max="61" width="9.33203125" style="60"/>
    <col min="62" max="104" width="9.33203125" style="61"/>
    <col min="105" max="16384" width="9.33203125" style="62"/>
  </cols>
  <sheetData>
    <row r="1" spans="1:104" ht="14.4" thickBot="1">
      <c r="A1" s="253"/>
      <c r="C1" s="96">
        <v>1</v>
      </c>
      <c r="D1" s="96">
        <v>2</v>
      </c>
      <c r="E1" s="96">
        <v>3</v>
      </c>
      <c r="F1" s="96">
        <v>4</v>
      </c>
      <c r="G1" s="96">
        <v>5</v>
      </c>
      <c r="H1" s="96">
        <v>6</v>
      </c>
      <c r="I1" s="96">
        <v>7</v>
      </c>
      <c r="J1" s="96">
        <v>8</v>
      </c>
      <c r="K1" s="96">
        <v>9</v>
      </c>
      <c r="L1" s="96">
        <v>10</v>
      </c>
      <c r="M1" s="96">
        <v>11</v>
      </c>
      <c r="N1" s="96">
        <v>12</v>
      </c>
      <c r="O1" s="96">
        <v>13</v>
      </c>
      <c r="P1" s="96">
        <v>14</v>
      </c>
      <c r="Q1" s="96">
        <v>15</v>
      </c>
      <c r="R1" s="96">
        <v>16</v>
      </c>
      <c r="S1" s="96">
        <v>17</v>
      </c>
      <c r="T1" s="96">
        <v>18</v>
      </c>
      <c r="U1" s="96">
        <v>19</v>
      </c>
      <c r="V1" s="96">
        <v>20</v>
      </c>
      <c r="W1" s="96">
        <v>21</v>
      </c>
      <c r="Y1" s="59" t="s">
        <v>1</v>
      </c>
      <c r="Z1" s="30"/>
      <c r="AA1" s="87" t="s">
        <v>49</v>
      </c>
      <c r="AB1" s="87" t="s">
        <v>62</v>
      </c>
      <c r="AF1" s="60" t="s">
        <v>194</v>
      </c>
      <c r="AH1" s="60" t="s">
        <v>193</v>
      </c>
    </row>
    <row r="2" spans="1:104" s="63" customFormat="1">
      <c r="A2" s="254"/>
      <c r="B2" s="322" t="s">
        <v>216</v>
      </c>
      <c r="C2" s="80"/>
      <c r="D2" s="80"/>
      <c r="E2" s="80"/>
      <c r="F2" s="80"/>
      <c r="G2" s="80"/>
      <c r="H2" s="80"/>
      <c r="I2" s="80"/>
      <c r="J2" s="80"/>
      <c r="K2" s="80"/>
      <c r="L2" s="80"/>
      <c r="M2" s="80"/>
      <c r="N2" s="80"/>
      <c r="O2" s="80"/>
      <c r="P2" s="80"/>
      <c r="Q2" s="80"/>
      <c r="R2" s="80"/>
      <c r="S2" s="80"/>
      <c r="T2" s="80"/>
      <c r="U2" s="80"/>
      <c r="V2" s="80"/>
      <c r="W2" s="80"/>
      <c r="X2" s="134">
        <f ca="1">SUM(C2:W2)+RAND()/10</f>
        <v>2.2283386634909939E-2</v>
      </c>
      <c r="Y2" s="81"/>
      <c r="Z2" s="137">
        <f t="shared" ref="Z2:Z24" ca="1" si="0">SUM(X2:Y2)</f>
        <v>2.2283386634909939E-2</v>
      </c>
      <c r="AA2" s="87">
        <f ca="1">COUNTIF(Teams!$4:$20,B2)</f>
        <v>3</v>
      </c>
      <c r="AB2" s="87">
        <f t="shared" ref="AB2:AB33" ca="1" si="1">RANK(Z2,$Z$2:$Z$55)</f>
        <v>50</v>
      </c>
      <c r="AC2" s="151">
        <v>1</v>
      </c>
      <c r="AD2" s="152" t="str">
        <f t="shared" ref="AD2:AD33" ca="1" si="2">INDEX($B$2:$B$55,MATCH(AC2,$AB$2:$AB$55,0))</f>
        <v>Vingegaard</v>
      </c>
      <c r="AE2" s="186">
        <f t="shared" ref="AE2:AE33" ca="1" si="3">INDEX($Z$2:$Z$55,MATCH(AC2,$AB$2:$AB$55,0))</f>
        <v>588.09902077888091</v>
      </c>
      <c r="AF2" s="60">
        <f ca="1">COUNTIF(Teams!$4:$27,AD2)</f>
        <v>12</v>
      </c>
      <c r="AG2" s="60"/>
      <c r="AH2" s="60">
        <f ca="1">COUNTIF(Teams!$4:$20,AD2)</f>
        <v>12</v>
      </c>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row>
    <row r="3" spans="1:104" s="63" customFormat="1">
      <c r="A3" s="255"/>
      <c r="B3" s="323" t="s">
        <v>105</v>
      </c>
      <c r="C3" s="89"/>
      <c r="D3" s="89"/>
      <c r="E3" s="89"/>
      <c r="F3" s="89"/>
      <c r="G3" s="89"/>
      <c r="H3" s="89">
        <f>16+2</f>
        <v>18</v>
      </c>
      <c r="I3" s="89">
        <f>18+5</f>
        <v>23</v>
      </c>
      <c r="J3" s="89">
        <f>6+5</f>
        <v>11</v>
      </c>
      <c r="K3" s="89">
        <f>14+5</f>
        <v>19</v>
      </c>
      <c r="L3" s="89">
        <v>4</v>
      </c>
      <c r="M3" s="89">
        <f>26+9</f>
        <v>35</v>
      </c>
      <c r="N3" s="89">
        <f>15+7</f>
        <v>22</v>
      </c>
      <c r="O3" s="89">
        <v>7</v>
      </c>
      <c r="P3" s="89">
        <v>7</v>
      </c>
      <c r="Q3" s="89">
        <v>7</v>
      </c>
      <c r="R3" s="89">
        <v>2</v>
      </c>
      <c r="S3" s="89">
        <f>20+5</f>
        <v>25</v>
      </c>
      <c r="T3" s="89">
        <f>9+3</f>
        <v>12</v>
      </c>
      <c r="U3" s="89">
        <v>3</v>
      </c>
      <c r="V3" s="89">
        <v>4</v>
      </c>
      <c r="W3" s="89">
        <v>4</v>
      </c>
      <c r="X3" s="135">
        <f t="shared" ref="X3:X52" ca="1" si="4">SUM(C3:W3)+RAND()/10</f>
        <v>203.049165623199</v>
      </c>
      <c r="Y3" s="90">
        <v>38</v>
      </c>
      <c r="Z3" s="138">
        <f t="shared" ca="1" si="0"/>
        <v>241.049165623199</v>
      </c>
      <c r="AA3" s="87">
        <f ca="1">COUNTIF(Teams!$4:$20,B3)</f>
        <v>4</v>
      </c>
      <c r="AB3" s="87">
        <f t="shared" ca="1" si="1"/>
        <v>7</v>
      </c>
      <c r="AC3" s="151">
        <v>2</v>
      </c>
      <c r="AD3" s="152" t="str">
        <f t="shared" ca="1" si="2"/>
        <v>van Aert</v>
      </c>
      <c r="AE3" s="186">
        <f t="shared" ca="1" si="3"/>
        <v>472.01070520640775</v>
      </c>
      <c r="AF3" s="60">
        <f ca="1">COUNTIF(Teams!$4:$27,AD3)</f>
        <v>12</v>
      </c>
      <c r="AG3" s="60"/>
      <c r="AH3" s="60">
        <f ca="1">COUNTIF(Teams!$4:$20,AD3)</f>
        <v>12</v>
      </c>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row>
    <row r="4" spans="1:104" s="63" customFormat="1">
      <c r="A4" s="254"/>
      <c r="B4" s="322" t="s">
        <v>220</v>
      </c>
      <c r="C4" s="80"/>
      <c r="D4" s="80"/>
      <c r="E4" s="80"/>
      <c r="F4" s="80">
        <v>7</v>
      </c>
      <c r="G4" s="80"/>
      <c r="H4" s="80"/>
      <c r="I4" s="80"/>
      <c r="J4" s="80"/>
      <c r="K4" s="80"/>
      <c r="L4" s="80"/>
      <c r="M4" s="80"/>
      <c r="N4" s="80"/>
      <c r="O4" s="80"/>
      <c r="P4" s="80"/>
      <c r="Q4" s="80"/>
      <c r="R4" s="80"/>
      <c r="S4" s="80"/>
      <c r="T4" s="80"/>
      <c r="U4" s="80"/>
      <c r="V4" s="80"/>
      <c r="W4" s="80"/>
      <c r="X4" s="134">
        <f t="shared" ca="1" si="4"/>
        <v>7.0191013203695869</v>
      </c>
      <c r="Y4" s="81"/>
      <c r="Z4" s="137">
        <f t="shared" ca="1" si="0"/>
        <v>7.0191013203695869</v>
      </c>
      <c r="AA4" s="87">
        <f ca="1">COUNTIF(Teams!$4:$20,B4)</f>
        <v>1</v>
      </c>
      <c r="AB4" s="87">
        <f t="shared" ca="1" si="1"/>
        <v>46</v>
      </c>
      <c r="AC4" s="151">
        <v>3</v>
      </c>
      <c r="AD4" s="152" t="str">
        <f t="shared" ca="1" si="2"/>
        <v>Thomas</v>
      </c>
      <c r="AE4" s="186">
        <f t="shared" ca="1" si="3"/>
        <v>363.06351184747467</v>
      </c>
      <c r="AF4" s="60">
        <f ca="1">COUNTIF(Teams!$4:$27,AD4)</f>
        <v>9</v>
      </c>
      <c r="AG4" s="60"/>
      <c r="AH4" s="60">
        <f ca="1">COUNTIF(Teams!$4:$20,AD4)</f>
        <v>8</v>
      </c>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row>
    <row r="5" spans="1:104" s="63" customFormat="1">
      <c r="A5" s="255"/>
      <c r="B5" s="323" t="s">
        <v>323</v>
      </c>
      <c r="C5" s="89"/>
      <c r="D5" s="89"/>
      <c r="E5" s="89"/>
      <c r="F5" s="89"/>
      <c r="G5" s="89"/>
      <c r="H5" s="89"/>
      <c r="I5" s="89"/>
      <c r="J5" s="89"/>
      <c r="K5" s="89"/>
      <c r="L5" s="89"/>
      <c r="M5" s="89"/>
      <c r="N5" s="89"/>
      <c r="O5" s="89"/>
      <c r="P5" s="89"/>
      <c r="Q5" s="89"/>
      <c r="R5" s="89"/>
      <c r="S5" s="89"/>
      <c r="T5" s="89"/>
      <c r="U5" s="89"/>
      <c r="V5" s="89"/>
      <c r="W5" s="89"/>
      <c r="X5" s="135">
        <f t="shared" ca="1" si="4"/>
        <v>6.905920733659354E-3</v>
      </c>
      <c r="Y5" s="90"/>
      <c r="Z5" s="138">
        <f t="shared" ca="1" si="0"/>
        <v>6.905920733659354E-3</v>
      </c>
      <c r="AA5" s="87">
        <f ca="1">COUNTIF(Teams!$4:$20,B5)</f>
        <v>1</v>
      </c>
      <c r="AB5" s="87">
        <f t="shared" ca="1" si="1"/>
        <v>54</v>
      </c>
      <c r="AC5" s="151">
        <v>4</v>
      </c>
      <c r="AD5" s="152" t="str">
        <f t="shared" ca="1" si="2"/>
        <v>Gaudu</v>
      </c>
      <c r="AE5" s="186">
        <f t="shared" ca="1" si="3"/>
        <v>298.05243185002541</v>
      </c>
      <c r="AF5" s="60">
        <f ca="1">COUNTIF(Teams!$4:$27,AD5)</f>
        <v>8</v>
      </c>
      <c r="AG5" s="60"/>
      <c r="AH5" s="60">
        <f ca="1">COUNTIF(Teams!$4:$20,AD5)</f>
        <v>6</v>
      </c>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row>
    <row r="6" spans="1:104" s="63" customFormat="1">
      <c r="A6" s="254">
        <v>211</v>
      </c>
      <c r="B6" s="322" t="s">
        <v>349</v>
      </c>
      <c r="C6" s="80"/>
      <c r="D6" s="80"/>
      <c r="E6" s="80"/>
      <c r="F6" s="80"/>
      <c r="G6" s="80"/>
      <c r="H6" s="80"/>
      <c r="I6" s="80"/>
      <c r="J6" s="80"/>
      <c r="K6" s="80"/>
      <c r="L6" s="80"/>
      <c r="M6" s="80"/>
      <c r="N6" s="80"/>
      <c r="O6" s="80"/>
      <c r="P6" s="80">
        <v>11</v>
      </c>
      <c r="Q6" s="80"/>
      <c r="R6" s="80"/>
      <c r="S6" s="80"/>
      <c r="T6" s="80"/>
      <c r="U6" s="80"/>
      <c r="V6" s="80"/>
      <c r="W6" s="80"/>
      <c r="X6" s="134">
        <f t="shared" ca="1" si="4"/>
        <v>11.058646615237274</v>
      </c>
      <c r="Y6" s="81"/>
      <c r="Z6" s="137">
        <f t="shared" ca="1" si="0"/>
        <v>11.058646615237274</v>
      </c>
      <c r="AA6" s="87">
        <f ca="1">COUNTIF(Teams!$4:$20,B6)</f>
        <v>0</v>
      </c>
      <c r="AB6" s="87">
        <f t="shared" ca="1" si="1"/>
        <v>45</v>
      </c>
      <c r="AC6" s="151">
        <v>5</v>
      </c>
      <c r="AD6" s="152" t="str">
        <f t="shared" ca="1" si="2"/>
        <v>Quintana</v>
      </c>
      <c r="AE6" s="186">
        <f t="shared" ca="1" si="3"/>
        <v>264.06950400498454</v>
      </c>
      <c r="AF6" s="60">
        <f ca="1">COUNTIF(Teams!$4:$27,AD6)</f>
        <v>2</v>
      </c>
      <c r="AG6" s="60"/>
      <c r="AH6" s="60">
        <f ca="1">COUNTIF(Teams!$4:$20,AD6)</f>
        <v>0</v>
      </c>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row>
    <row r="7" spans="1:104" s="63" customFormat="1">
      <c r="A7" s="255"/>
      <c r="B7" s="323" t="s">
        <v>243</v>
      </c>
      <c r="C7" s="89"/>
      <c r="D7" s="89"/>
      <c r="E7" s="89"/>
      <c r="F7" s="89"/>
      <c r="G7" s="89"/>
      <c r="H7" s="89"/>
      <c r="I7" s="89">
        <v>9</v>
      </c>
      <c r="J7" s="89">
        <v>7</v>
      </c>
      <c r="K7" s="89">
        <f>15</f>
        <v>15</v>
      </c>
      <c r="L7" s="89"/>
      <c r="M7" s="89"/>
      <c r="N7" s="89"/>
      <c r="O7" s="89"/>
      <c r="P7" s="89"/>
      <c r="Q7" s="89"/>
      <c r="R7" s="89">
        <v>16</v>
      </c>
      <c r="S7" s="89"/>
      <c r="T7" s="89"/>
      <c r="U7" s="89"/>
      <c r="V7" s="89"/>
      <c r="W7" s="89"/>
      <c r="X7" s="135">
        <f t="shared" ca="1" si="4"/>
        <v>47.089298795162897</v>
      </c>
      <c r="Y7" s="90"/>
      <c r="Z7" s="138">
        <f t="shared" ca="1" si="0"/>
        <v>47.089298795162897</v>
      </c>
      <c r="AA7" s="87">
        <f ca="1">COUNTIF(Teams!$4:$20,B7)</f>
        <v>7</v>
      </c>
      <c r="AB7" s="87">
        <f t="shared" ca="1" si="1"/>
        <v>36</v>
      </c>
      <c r="AC7" s="151">
        <v>6</v>
      </c>
      <c r="AD7" s="152" t="str">
        <f t="shared" ca="1" si="2"/>
        <v>Pidcock</v>
      </c>
      <c r="AE7" s="186">
        <f t="shared" ca="1" si="3"/>
        <v>255.08009517837525</v>
      </c>
      <c r="AF7" s="60">
        <f ca="1">COUNTIF(Teams!$4:$27,AD7)</f>
        <v>1</v>
      </c>
      <c r="AG7" s="60"/>
      <c r="AH7" s="60">
        <f ca="1">COUNTIF(Teams!$4:$20,AD7)</f>
        <v>1</v>
      </c>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row>
    <row r="8" spans="1:104" s="63" customFormat="1">
      <c r="A8" s="254"/>
      <c r="B8" s="322" t="s">
        <v>279</v>
      </c>
      <c r="C8" s="80"/>
      <c r="D8" s="80"/>
      <c r="E8" s="80"/>
      <c r="F8" s="80"/>
      <c r="G8" s="80"/>
      <c r="H8" s="80"/>
      <c r="I8" s="80"/>
      <c r="J8" s="80"/>
      <c r="K8" s="80"/>
      <c r="L8" s="80"/>
      <c r="M8" s="80"/>
      <c r="N8" s="80">
        <f>16+2</f>
        <v>18</v>
      </c>
      <c r="O8" s="80">
        <v>2</v>
      </c>
      <c r="P8" s="80">
        <v>1</v>
      </c>
      <c r="Q8" s="80">
        <v>1</v>
      </c>
      <c r="R8" s="80">
        <v>1</v>
      </c>
      <c r="S8" s="80">
        <f>12+2</f>
        <v>14</v>
      </c>
      <c r="T8" s="80">
        <v>3</v>
      </c>
      <c r="U8" s="80">
        <v>3</v>
      </c>
      <c r="V8" s="80">
        <v>3</v>
      </c>
      <c r="W8" s="80">
        <v>3</v>
      </c>
      <c r="X8" s="134">
        <f t="shared" ca="1" si="4"/>
        <v>49.054533670550349</v>
      </c>
      <c r="Y8" s="81">
        <v>5</v>
      </c>
      <c r="Z8" s="137">
        <f t="shared" ca="1" si="0"/>
        <v>54.054533670550349</v>
      </c>
      <c r="AA8" s="87">
        <f ca="1">COUNTIF(Teams!$4:$20,B8)</f>
        <v>1</v>
      </c>
      <c r="AB8" s="87">
        <f t="shared" ca="1" si="1"/>
        <v>32</v>
      </c>
      <c r="AC8" s="151">
        <v>7</v>
      </c>
      <c r="AD8" s="152" t="str">
        <f t="shared" ca="1" si="2"/>
        <v>Bardet</v>
      </c>
      <c r="AE8" s="186">
        <f t="shared" ca="1" si="3"/>
        <v>241.049165623199</v>
      </c>
      <c r="AF8" s="60">
        <f ca="1">COUNTIF(Teams!$4:$27,AD8)</f>
        <v>5</v>
      </c>
      <c r="AG8" s="60"/>
      <c r="AH8" s="60">
        <f ca="1">COUNTIF(Teams!$4:$20,AD8)</f>
        <v>4</v>
      </c>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row>
    <row r="9" spans="1:104" s="63" customFormat="1">
      <c r="A9" s="255"/>
      <c r="B9" s="323" t="s">
        <v>346</v>
      </c>
      <c r="C9" s="89"/>
      <c r="D9" s="89"/>
      <c r="E9" s="89"/>
      <c r="F9" s="89"/>
      <c r="G9" s="89"/>
      <c r="H9" s="89"/>
      <c r="I9" s="89"/>
      <c r="J9" s="89"/>
      <c r="K9" s="89"/>
      <c r="L9" s="89"/>
      <c r="M9" s="89"/>
      <c r="N9" s="89"/>
      <c r="O9" s="89"/>
      <c r="P9" s="89"/>
      <c r="Q9" s="89"/>
      <c r="R9" s="89"/>
      <c r="S9" s="89"/>
      <c r="T9" s="89"/>
      <c r="U9" s="89"/>
      <c r="V9" s="89"/>
      <c r="W9" s="89"/>
      <c r="X9" s="135">
        <f t="shared" ca="1" si="4"/>
        <v>3.0269420799053991E-2</v>
      </c>
      <c r="Y9" s="90"/>
      <c r="Z9" s="138">
        <f t="shared" ca="1" si="0"/>
        <v>3.0269420799053991E-2</v>
      </c>
      <c r="AA9" s="87">
        <f ca="1">COUNTIF(Teams!$4:$20,B9)</f>
        <v>1</v>
      </c>
      <c r="AB9" s="87">
        <f t="shared" ca="1" si="1"/>
        <v>49</v>
      </c>
      <c r="AC9" s="151">
        <v>8</v>
      </c>
      <c r="AD9" s="152" t="str">
        <f t="shared" ca="1" si="2"/>
        <v>Philipsen</v>
      </c>
      <c r="AE9" s="186">
        <f t="shared" ca="1" si="3"/>
        <v>241.01827223594739</v>
      </c>
      <c r="AF9" s="60">
        <f ca="1">COUNTIF(Teams!$4:$27,AD9)</f>
        <v>10</v>
      </c>
      <c r="AG9" s="60"/>
      <c r="AH9" s="60">
        <f ca="1">COUNTIF(Teams!$4:$20,AD9)</f>
        <v>10</v>
      </c>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row>
    <row r="10" spans="1:104" s="63" customFormat="1">
      <c r="A10" s="254"/>
      <c r="B10" s="322" t="s">
        <v>151</v>
      </c>
      <c r="C10" s="80"/>
      <c r="D10" s="80">
        <v>13</v>
      </c>
      <c r="E10" s="80">
        <v>17</v>
      </c>
      <c r="F10" s="80"/>
      <c r="G10" s="80"/>
      <c r="H10" s="80"/>
      <c r="I10" s="80"/>
      <c r="J10" s="80"/>
      <c r="K10" s="80"/>
      <c r="L10" s="80"/>
      <c r="M10" s="80"/>
      <c r="N10" s="80"/>
      <c r="O10" s="80"/>
      <c r="P10" s="80"/>
      <c r="Q10" s="80"/>
      <c r="R10" s="80"/>
      <c r="S10" s="80"/>
      <c r="T10" s="80"/>
      <c r="U10" s="80">
        <v>16</v>
      </c>
      <c r="V10" s="80"/>
      <c r="W10" s="80">
        <v>18</v>
      </c>
      <c r="X10" s="134">
        <f t="shared" ca="1" si="4"/>
        <v>64.004078220764413</v>
      </c>
      <c r="Y10" s="81"/>
      <c r="Z10" s="137">
        <f t="shared" ca="1" si="0"/>
        <v>64.004078220764413</v>
      </c>
      <c r="AA10" s="87">
        <f ca="1">COUNTIF(Teams!$4:$20,B10)</f>
        <v>9</v>
      </c>
      <c r="AB10" s="87">
        <f t="shared" ca="1" si="1"/>
        <v>30</v>
      </c>
      <c r="AC10" s="151">
        <v>9</v>
      </c>
      <c r="AD10" s="152" t="str">
        <f t="shared" ca="1" si="2"/>
        <v>Vlasov</v>
      </c>
      <c r="AE10" s="186">
        <f t="shared" ca="1" si="3"/>
        <v>240.01329255329725</v>
      </c>
      <c r="AF10" s="60">
        <f ca="1">COUNTIF(Teams!$4:$27,AD10)</f>
        <v>11</v>
      </c>
      <c r="AG10" s="60"/>
      <c r="AH10" s="60">
        <f ca="1">COUNTIF(Teams!$4:$20,AD10)</f>
        <v>11</v>
      </c>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row>
    <row r="11" spans="1:104" s="63" customFormat="1">
      <c r="A11" s="255"/>
      <c r="B11" s="323" t="s">
        <v>86</v>
      </c>
      <c r="C11" s="89"/>
      <c r="D11" s="89"/>
      <c r="E11" s="89"/>
      <c r="F11" s="89"/>
      <c r="G11" s="89">
        <v>7</v>
      </c>
      <c r="H11" s="89"/>
      <c r="I11" s="89"/>
      <c r="J11" s="89"/>
      <c r="K11" s="89"/>
      <c r="L11" s="89"/>
      <c r="M11" s="89"/>
      <c r="N11" s="89"/>
      <c r="O11" s="89"/>
      <c r="P11" s="89">
        <v>20</v>
      </c>
      <c r="Q11" s="89"/>
      <c r="R11" s="89"/>
      <c r="S11" s="89"/>
      <c r="T11" s="89"/>
      <c r="U11" s="89"/>
      <c r="V11" s="89"/>
      <c r="W11" s="89"/>
      <c r="X11" s="135">
        <f t="shared" ref="X11:X12" ca="1" si="5">SUM(C11:W11)+RAND()/10</f>
        <v>27.062501140673955</v>
      </c>
      <c r="Y11" s="90"/>
      <c r="Z11" s="138">
        <f t="shared" ref="Z11:Z12" ca="1" si="6">SUM(X11:Y11)</f>
        <v>27.062501140673955</v>
      </c>
      <c r="AA11" s="87">
        <f ca="1">COUNTIF(Teams!$4:$20,B11)</f>
        <v>1</v>
      </c>
      <c r="AB11" s="87">
        <f t="shared" ca="1" si="1"/>
        <v>41</v>
      </c>
      <c r="AC11" s="151">
        <v>10</v>
      </c>
      <c r="AD11" s="152" t="str">
        <f t="shared" ca="1" si="2"/>
        <v>Yates</v>
      </c>
      <c r="AE11" s="186">
        <f t="shared" ca="1" si="3"/>
        <v>237.08506228460507</v>
      </c>
      <c r="AF11" s="60">
        <f ca="1">COUNTIF(Teams!$4:$27,AD11)</f>
        <v>2</v>
      </c>
      <c r="AG11" s="60"/>
      <c r="AH11" s="60">
        <f ca="1">COUNTIF(Teams!$4:$20,AD11)</f>
        <v>2</v>
      </c>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row>
    <row r="12" spans="1:104" s="63" customFormat="1">
      <c r="A12" s="254"/>
      <c r="B12" s="322" t="s">
        <v>260</v>
      </c>
      <c r="C12" s="80">
        <f>24+7+2</f>
        <v>33</v>
      </c>
      <c r="D12" s="80">
        <v>7</v>
      </c>
      <c r="E12" s="80"/>
      <c r="F12" s="80"/>
      <c r="G12" s="80"/>
      <c r="H12" s="80"/>
      <c r="I12" s="80"/>
      <c r="J12" s="80"/>
      <c r="K12" s="80"/>
      <c r="L12" s="80"/>
      <c r="M12" s="80"/>
      <c r="N12" s="80"/>
      <c r="O12" s="80">
        <v>20</v>
      </c>
      <c r="P12" s="80"/>
      <c r="Q12" s="80"/>
      <c r="R12" s="80"/>
      <c r="S12" s="80"/>
      <c r="T12" s="80"/>
      <c r="U12" s="80"/>
      <c r="V12" s="80">
        <v>22</v>
      </c>
      <c r="W12" s="80"/>
      <c r="X12" s="134">
        <f t="shared" ca="1" si="5"/>
        <v>82.021647538499622</v>
      </c>
      <c r="Y12" s="81"/>
      <c r="Z12" s="137">
        <f t="shared" ca="1" si="6"/>
        <v>82.021647538499622</v>
      </c>
      <c r="AA12" s="87">
        <f ca="1">COUNTIF(Teams!$4:$20,B12)</f>
        <v>3</v>
      </c>
      <c r="AB12" s="87">
        <f t="shared" ca="1" si="1"/>
        <v>25</v>
      </c>
      <c r="AC12" s="151">
        <v>11</v>
      </c>
      <c r="AD12" s="152" t="str">
        <f t="shared" ca="1" si="2"/>
        <v>Pedersen</v>
      </c>
      <c r="AE12" s="186">
        <f t="shared" ca="1" si="3"/>
        <v>182.03593988624741</v>
      </c>
      <c r="AF12" s="60">
        <f ca="1">COUNTIF(Teams!$4:$27,AD12)</f>
        <v>9</v>
      </c>
      <c r="AG12" s="60"/>
      <c r="AH12" s="60">
        <f ca="1">COUNTIF(Teams!$4:$20,AD12)</f>
        <v>9</v>
      </c>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row>
    <row r="13" spans="1:104" s="63" customFormat="1">
      <c r="A13" s="255"/>
      <c r="B13" s="323" t="s">
        <v>200</v>
      </c>
      <c r="C13" s="89"/>
      <c r="D13" s="89"/>
      <c r="E13" s="89"/>
      <c r="F13" s="89"/>
      <c r="G13" s="89"/>
      <c r="H13" s="89">
        <f>26+1+1</f>
        <v>28</v>
      </c>
      <c r="I13" s="89">
        <f>20+6</f>
        <v>26</v>
      </c>
      <c r="J13" s="89">
        <f>14+6</f>
        <v>20</v>
      </c>
      <c r="K13" s="89">
        <f>13+6</f>
        <v>19</v>
      </c>
      <c r="L13" s="89">
        <v>5</v>
      </c>
      <c r="M13" s="89">
        <f>22+4</f>
        <v>26</v>
      </c>
      <c r="N13" s="89">
        <f>13+4</f>
        <v>17</v>
      </c>
      <c r="O13" s="89">
        <v>4</v>
      </c>
      <c r="P13" s="89">
        <v>3</v>
      </c>
      <c r="Q13" s="89">
        <v>3</v>
      </c>
      <c r="R13" s="89">
        <f>8+6</f>
        <v>14</v>
      </c>
      <c r="S13" s="89">
        <f>19+6</f>
        <v>25</v>
      </c>
      <c r="T13" s="89">
        <f>22+7</f>
        <v>29</v>
      </c>
      <c r="U13" s="89">
        <f>10+7</f>
        <v>17</v>
      </c>
      <c r="V13" s="89">
        <v>7</v>
      </c>
      <c r="W13" s="89">
        <v>7</v>
      </c>
      <c r="X13" s="135">
        <f t="shared" ca="1" si="4"/>
        <v>250.05243185002539</v>
      </c>
      <c r="Y13" s="90">
        <v>48</v>
      </c>
      <c r="Z13" s="138">
        <f t="shared" ca="1" si="0"/>
        <v>298.05243185002541</v>
      </c>
      <c r="AA13" s="87">
        <f ca="1">COUNTIF(Teams!$4:$20,B13)</f>
        <v>6</v>
      </c>
      <c r="AB13" s="87">
        <f t="shared" ca="1" si="1"/>
        <v>4</v>
      </c>
      <c r="AC13" s="151">
        <v>12</v>
      </c>
      <c r="AD13" s="152" t="str">
        <f t="shared" ca="1" si="2"/>
        <v>Meintjes</v>
      </c>
      <c r="AE13" s="186">
        <f t="shared" ca="1" si="3"/>
        <v>177.07945849142075</v>
      </c>
      <c r="AF13" s="60">
        <f ca="1">COUNTIF(Teams!$4:$27,AD13)</f>
        <v>1</v>
      </c>
      <c r="AG13" s="60"/>
      <c r="AH13" s="60">
        <f ca="1">COUNTIF(Teams!$4:$20,AD13)</f>
        <v>0</v>
      </c>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row>
    <row r="14" spans="1:104" s="63" customFormat="1">
      <c r="A14" s="254"/>
      <c r="B14" s="322" t="s">
        <v>130</v>
      </c>
      <c r="C14" s="80"/>
      <c r="D14" s="80">
        <v>18</v>
      </c>
      <c r="E14" s="80">
        <f>35+3</f>
        <v>38</v>
      </c>
      <c r="F14" s="80"/>
      <c r="G14" s="80"/>
      <c r="H14" s="80"/>
      <c r="I14" s="80"/>
      <c r="J14" s="80"/>
      <c r="K14" s="80"/>
      <c r="L14" s="80"/>
      <c r="M14" s="80"/>
      <c r="N14" s="80"/>
      <c r="O14" s="80"/>
      <c r="P14" s="80"/>
      <c r="Q14" s="80">
        <v>20</v>
      </c>
      <c r="R14" s="80"/>
      <c r="S14" s="80"/>
      <c r="T14" s="80"/>
      <c r="U14" s="80">
        <f>19</f>
        <v>19</v>
      </c>
      <c r="V14" s="80"/>
      <c r="W14" s="80">
        <v>30</v>
      </c>
      <c r="X14" s="134">
        <f t="shared" ca="1" si="4"/>
        <v>125.03457278117838</v>
      </c>
      <c r="Y14" s="81"/>
      <c r="Z14" s="137">
        <f t="shared" ca="1" si="0"/>
        <v>125.03457278117838</v>
      </c>
      <c r="AA14" s="87">
        <f ca="1">COUNTIF(Teams!$4:$20,B14)</f>
        <v>7</v>
      </c>
      <c r="AB14" s="87">
        <f t="shared" ca="1" si="1"/>
        <v>16</v>
      </c>
      <c r="AC14" s="151">
        <v>13</v>
      </c>
      <c r="AD14" s="152" t="str">
        <f t="shared" ca="1" si="2"/>
        <v>Jakobsen</v>
      </c>
      <c r="AE14" s="186">
        <f t="shared" ca="1" si="3"/>
        <v>155.01471988537023</v>
      </c>
      <c r="AF14" s="60">
        <f ca="1">COUNTIF(Teams!$4:$27,AD14)</f>
        <v>12</v>
      </c>
      <c r="AG14" s="60"/>
      <c r="AH14" s="60">
        <f ca="1">COUNTIF(Teams!$4:$20,AD14)</f>
        <v>12</v>
      </c>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row>
    <row r="15" spans="1:104" s="63" customFormat="1">
      <c r="A15" s="255"/>
      <c r="B15" s="323" t="s">
        <v>240</v>
      </c>
      <c r="C15" s="89"/>
      <c r="D15" s="89"/>
      <c r="E15" s="89"/>
      <c r="F15" s="89"/>
      <c r="G15" s="89"/>
      <c r="H15" s="89"/>
      <c r="I15" s="89"/>
      <c r="J15" s="89"/>
      <c r="K15" s="89"/>
      <c r="L15" s="89"/>
      <c r="M15" s="89"/>
      <c r="N15" s="89"/>
      <c r="O15" s="89"/>
      <c r="P15" s="89"/>
      <c r="Q15" s="89"/>
      <c r="R15" s="89"/>
      <c r="S15" s="89"/>
      <c r="T15" s="89"/>
      <c r="U15" s="89"/>
      <c r="V15" s="89"/>
      <c r="W15" s="89"/>
      <c r="X15" s="135">
        <f t="shared" ca="1" si="4"/>
        <v>1.7260791051733938E-2</v>
      </c>
      <c r="Y15" s="90"/>
      <c r="Z15" s="138">
        <f t="shared" ca="1" si="0"/>
        <v>1.7260791051733938E-2</v>
      </c>
      <c r="AA15" s="87">
        <f ca="1">COUNTIF(Teams!$4:$20,B15)</f>
        <v>2</v>
      </c>
      <c r="AB15" s="87">
        <f t="shared" ca="1" si="1"/>
        <v>51</v>
      </c>
      <c r="AC15" s="151">
        <v>14</v>
      </c>
      <c r="AD15" s="152" t="str">
        <f t="shared" ca="1" si="2"/>
        <v>Lutsenko</v>
      </c>
      <c r="AE15" s="186">
        <f t="shared" ca="1" si="3"/>
        <v>142.06456752185426</v>
      </c>
      <c r="AF15" s="60">
        <f ca="1">COUNTIF(Teams!$4:$27,AD15)</f>
        <v>3</v>
      </c>
      <c r="AG15" s="60"/>
      <c r="AH15" s="60">
        <f ca="1">COUNTIF(Teams!$4:$20,AD15)</f>
        <v>0</v>
      </c>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row>
    <row r="16" spans="1:104" s="63" customFormat="1">
      <c r="A16" s="254"/>
      <c r="B16" s="322" t="s">
        <v>198</v>
      </c>
      <c r="C16" s="80"/>
      <c r="D16" s="80"/>
      <c r="E16" s="80"/>
      <c r="F16" s="80"/>
      <c r="G16" s="80"/>
      <c r="H16" s="80"/>
      <c r="I16" s="80"/>
      <c r="J16" s="80"/>
      <c r="K16" s="80"/>
      <c r="L16" s="80"/>
      <c r="M16" s="80"/>
      <c r="N16" s="80"/>
      <c r="O16" s="80"/>
      <c r="P16" s="80"/>
      <c r="Q16" s="80"/>
      <c r="R16" s="80"/>
      <c r="S16" s="80"/>
      <c r="T16" s="80"/>
      <c r="U16" s="80"/>
      <c r="V16" s="80"/>
      <c r="W16" s="80"/>
      <c r="X16" s="134">
        <f t="shared" ca="1" si="4"/>
        <v>1.2655944708530775E-2</v>
      </c>
      <c r="Y16" s="81"/>
      <c r="Z16" s="137">
        <f t="shared" ca="1" si="0"/>
        <v>1.2655944708530775E-2</v>
      </c>
      <c r="AA16" s="87">
        <f ca="1">COUNTIF(Teams!$4:$20,B16)</f>
        <v>3</v>
      </c>
      <c r="AB16" s="87">
        <f t="shared" ca="1" si="1"/>
        <v>53</v>
      </c>
      <c r="AC16" s="151">
        <v>15</v>
      </c>
      <c r="AD16" s="152" t="str">
        <f t="shared" ca="1" si="2"/>
        <v>Mas</v>
      </c>
      <c r="AE16" s="186">
        <f t="shared" ca="1" si="3"/>
        <v>128.00907381152805</v>
      </c>
      <c r="AF16" s="60">
        <f ca="1">COUNTIF(Teams!$4:$27,AD16)</f>
        <v>9</v>
      </c>
      <c r="AG16" s="60"/>
      <c r="AH16" s="60">
        <f ca="1">COUNTIF(Teams!$4:$20,AD16)</f>
        <v>7</v>
      </c>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row>
    <row r="17" spans="1:104" s="63" customFormat="1">
      <c r="A17" s="255"/>
      <c r="B17" s="323" t="s">
        <v>302</v>
      </c>
      <c r="C17" s="89"/>
      <c r="D17" s="89">
        <v>16</v>
      </c>
      <c r="E17" s="89">
        <v>18</v>
      </c>
      <c r="F17" s="89">
        <v>18</v>
      </c>
      <c r="G17" s="89">
        <v>6</v>
      </c>
      <c r="H17" s="89"/>
      <c r="I17" s="89"/>
      <c r="J17" s="89"/>
      <c r="K17" s="89"/>
      <c r="L17" s="89"/>
      <c r="M17" s="89"/>
      <c r="N17" s="89"/>
      <c r="O17" s="89"/>
      <c r="P17" s="89"/>
      <c r="Q17" s="89">
        <v>11</v>
      </c>
      <c r="R17" s="89"/>
      <c r="S17" s="89"/>
      <c r="T17" s="89"/>
      <c r="U17" s="89">
        <v>18</v>
      </c>
      <c r="V17" s="89"/>
      <c r="W17" s="89">
        <v>17</v>
      </c>
      <c r="X17" s="135">
        <f t="shared" ca="1" si="4"/>
        <v>104.04686180977619</v>
      </c>
      <c r="Y17" s="90"/>
      <c r="Z17" s="138">
        <f t="shared" ca="1" si="0"/>
        <v>104.04686180977619</v>
      </c>
      <c r="AA17" s="87">
        <f ca="1">COUNTIF(Teams!$4:$20,B17)</f>
        <v>1</v>
      </c>
      <c r="AB17" s="87">
        <f t="shared" ca="1" si="1"/>
        <v>21</v>
      </c>
      <c r="AC17" s="151">
        <v>16</v>
      </c>
      <c r="AD17" s="152" t="str">
        <f t="shared" ca="1" si="2"/>
        <v>Groenewegen</v>
      </c>
      <c r="AE17" s="186">
        <f t="shared" ca="1" si="3"/>
        <v>125.03457278117838</v>
      </c>
      <c r="AF17" s="60">
        <f ca="1">COUNTIF(Teams!$4:$27,AD17)</f>
        <v>8</v>
      </c>
      <c r="AG17" s="60"/>
      <c r="AH17" s="60">
        <f ca="1">COUNTIF(Teams!$4:$20,AD17)</f>
        <v>7</v>
      </c>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s="63" customFormat="1">
      <c r="A18" s="254"/>
      <c r="B18" s="322" t="s">
        <v>239</v>
      </c>
      <c r="C18" s="80"/>
      <c r="D18" s="80">
        <f>35+4</f>
        <v>39</v>
      </c>
      <c r="E18" s="80">
        <f>22+4</f>
        <v>26</v>
      </c>
      <c r="F18" s="80">
        <f>13+4</f>
        <v>17</v>
      </c>
      <c r="G18" s="80">
        <f>17+4</f>
        <v>21</v>
      </c>
      <c r="H18" s="80">
        <v>4</v>
      </c>
      <c r="I18" s="80">
        <v>4</v>
      </c>
      <c r="J18" s="80">
        <v>4</v>
      </c>
      <c r="K18" s="80">
        <v>4</v>
      </c>
      <c r="L18" s="80">
        <v>4</v>
      </c>
      <c r="M18" s="80">
        <v>4</v>
      </c>
      <c r="N18" s="80">
        <v>3</v>
      </c>
      <c r="O18" s="80">
        <v>3</v>
      </c>
      <c r="P18" s="80">
        <v>3</v>
      </c>
      <c r="Q18" s="80">
        <v>1</v>
      </c>
      <c r="R18" s="80">
        <v>1</v>
      </c>
      <c r="S18" s="80">
        <v>1</v>
      </c>
      <c r="T18" s="80">
        <v>1</v>
      </c>
      <c r="U18" s="80"/>
      <c r="V18" s="80"/>
      <c r="W18" s="80">
        <f>13+1</f>
        <v>14</v>
      </c>
      <c r="X18" s="134">
        <f t="shared" ca="1" si="4"/>
        <v>154.01471988537023</v>
      </c>
      <c r="Y18" s="81">
        <v>1</v>
      </c>
      <c r="Z18" s="137">
        <f t="shared" ca="1" si="0"/>
        <v>155.01471988537023</v>
      </c>
      <c r="AA18" s="87">
        <f ca="1">COUNTIF(Teams!$4:$20,B18)</f>
        <v>12</v>
      </c>
      <c r="AB18" s="87">
        <f t="shared" ca="1" si="1"/>
        <v>13</v>
      </c>
      <c r="AC18" s="151">
        <v>17</v>
      </c>
      <c r="AD18" s="152" t="str">
        <f t="shared" ca="1" si="2"/>
        <v>Sagan</v>
      </c>
      <c r="AE18" s="186">
        <f t="shared" ca="1" si="3"/>
        <v>122.04417149935375</v>
      </c>
      <c r="AF18" s="60">
        <f ca="1">COUNTIF(Teams!$4:$27,AD18)</f>
        <v>4</v>
      </c>
      <c r="AG18" s="60"/>
      <c r="AH18" s="60">
        <f ca="1">COUNTIF(Teams!$4:$20,AD18)</f>
        <v>3</v>
      </c>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row>
    <row r="19" spans="1:104" s="63" customFormat="1">
      <c r="A19" s="255"/>
      <c r="B19" s="323" t="s">
        <v>182</v>
      </c>
      <c r="C19" s="89">
        <v>7</v>
      </c>
      <c r="D19" s="89"/>
      <c r="E19" s="89"/>
      <c r="F19" s="89"/>
      <c r="G19" s="89"/>
      <c r="H19" s="89"/>
      <c r="I19" s="89">
        <f>24+1</f>
        <v>25</v>
      </c>
      <c r="J19" s="89">
        <v>1</v>
      </c>
      <c r="K19" s="89"/>
      <c r="L19" s="89">
        <f>16+9</f>
        <v>25</v>
      </c>
      <c r="M19" s="89"/>
      <c r="N19" s="89"/>
      <c r="O19" s="89"/>
      <c r="P19" s="89">
        <v>18</v>
      </c>
      <c r="Q19" s="89"/>
      <c r="R19" s="89"/>
      <c r="S19" s="89"/>
      <c r="T19" s="89"/>
      <c r="U19" s="89"/>
      <c r="V19" s="89"/>
      <c r="W19" s="89"/>
      <c r="X19" s="135">
        <f t="shared" ca="1" si="4"/>
        <v>76.002630716447058</v>
      </c>
      <c r="Y19" s="90"/>
      <c r="Z19" s="138">
        <f t="shared" ca="1" si="0"/>
        <v>76.002630716447058</v>
      </c>
      <c r="AA19" s="87">
        <f ca="1">COUNTIF(Teams!$4:$20,B19)</f>
        <v>1</v>
      </c>
      <c r="AB19" s="87">
        <f t="shared" ca="1" si="1"/>
        <v>27</v>
      </c>
      <c r="AC19" s="151">
        <v>18</v>
      </c>
      <c r="AD19" s="152" t="str">
        <f t="shared" ca="1" si="2"/>
        <v>Matthews</v>
      </c>
      <c r="AE19" s="186">
        <f t="shared" ca="1" si="3"/>
        <v>121.07513679097575</v>
      </c>
      <c r="AF19" s="60">
        <f ca="1">COUNTIF(Teams!$4:$27,AD19)</f>
        <v>6</v>
      </c>
      <c r="AG19" s="60"/>
      <c r="AH19" s="60">
        <f ca="1">COUNTIF(Teams!$4:$20,AD19)</f>
        <v>5</v>
      </c>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row>
    <row r="20" spans="1:104" s="86" customFormat="1">
      <c r="A20" s="254"/>
      <c r="B20" s="322" t="s">
        <v>226</v>
      </c>
      <c r="C20" s="80"/>
      <c r="D20" s="80"/>
      <c r="E20" s="80">
        <v>9</v>
      </c>
      <c r="F20" s="80"/>
      <c r="G20" s="80">
        <v>11</v>
      </c>
      <c r="H20" s="80"/>
      <c r="I20" s="80"/>
      <c r="J20" s="80"/>
      <c r="K20" s="80"/>
      <c r="L20" s="80"/>
      <c r="M20" s="80"/>
      <c r="N20" s="80"/>
      <c r="O20" s="80"/>
      <c r="P20" s="80">
        <v>22</v>
      </c>
      <c r="Q20" s="80"/>
      <c r="R20" s="80"/>
      <c r="S20" s="80">
        <v>8</v>
      </c>
      <c r="T20" s="80"/>
      <c r="U20" s="80"/>
      <c r="V20" s="80"/>
      <c r="W20" s="80"/>
      <c r="X20" s="134">
        <f t="shared" ca="1" si="4"/>
        <v>50.055432046916366</v>
      </c>
      <c r="Y20" s="81">
        <v>20</v>
      </c>
      <c r="Z20" s="137">
        <f t="shared" ca="1" si="0"/>
        <v>70.055432046916366</v>
      </c>
      <c r="AA20" s="87">
        <f ca="1">COUNTIF(Teams!$4:$20,B20)</f>
        <v>1</v>
      </c>
      <c r="AB20" s="87">
        <f t="shared" ca="1" si="1"/>
        <v>28</v>
      </c>
      <c r="AC20" s="151">
        <v>19</v>
      </c>
      <c r="AD20" s="152" t="str">
        <f t="shared" ca="1" si="2"/>
        <v>Kristoff</v>
      </c>
      <c r="AE20" s="187">
        <f t="shared" ca="1" si="3"/>
        <v>116.0500805588597</v>
      </c>
      <c r="AF20" s="60">
        <f ca="1">COUNTIF(Teams!$4:$27,AD20)</f>
        <v>4</v>
      </c>
      <c r="AG20" s="159">
        <f ca="1">SUM($AE$2:$AE$20)</f>
        <v>4467.9487827899857</v>
      </c>
      <c r="AH20" s="60">
        <f ca="1">COUNTIF(Teams!$4:$20,AD20)</f>
        <v>3</v>
      </c>
    </row>
    <row r="21" spans="1:104" s="63" customFormat="1">
      <c r="A21" s="255"/>
      <c r="B21" s="323" t="s">
        <v>91</v>
      </c>
      <c r="C21" s="89"/>
      <c r="D21" s="89">
        <v>15</v>
      </c>
      <c r="E21" s="89">
        <v>15</v>
      </c>
      <c r="F21" s="89">
        <f>24</f>
        <v>24</v>
      </c>
      <c r="G21" s="89"/>
      <c r="H21" s="89"/>
      <c r="I21" s="89"/>
      <c r="J21" s="89"/>
      <c r="K21" s="89"/>
      <c r="L21" s="89"/>
      <c r="M21" s="89"/>
      <c r="N21" s="89"/>
      <c r="O21" s="89">
        <v>12</v>
      </c>
      <c r="P21" s="89"/>
      <c r="Q21" s="89">
        <v>13</v>
      </c>
      <c r="R21" s="89"/>
      <c r="S21" s="89"/>
      <c r="T21" s="89"/>
      <c r="U21" s="89">
        <f>11</f>
        <v>11</v>
      </c>
      <c r="V21" s="89"/>
      <c r="W21" s="89">
        <v>26</v>
      </c>
      <c r="X21" s="135">
        <f t="shared" ca="1" si="4"/>
        <v>116.0500805588597</v>
      </c>
      <c r="Y21" s="90"/>
      <c r="Z21" s="138">
        <f t="shared" ca="1" si="0"/>
        <v>116.0500805588597</v>
      </c>
      <c r="AA21" s="87">
        <f ca="1">COUNTIF(Teams!$4:$20,B21)</f>
        <v>3</v>
      </c>
      <c r="AB21" s="87">
        <f t="shared" ca="1" si="1"/>
        <v>19</v>
      </c>
      <c r="AC21" s="151">
        <v>20</v>
      </c>
      <c r="AD21" s="60" t="str">
        <f t="shared" ca="1" si="2"/>
        <v>McNulty</v>
      </c>
      <c r="AE21" s="158">
        <f t="shared" ca="1" si="3"/>
        <v>115.0603735439917</v>
      </c>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row>
    <row r="22" spans="1:104" s="64" customFormat="1">
      <c r="A22" s="254"/>
      <c r="B22" s="322" t="s">
        <v>231</v>
      </c>
      <c r="C22" s="80">
        <v>12</v>
      </c>
      <c r="D22" s="80"/>
      <c r="E22" s="80">
        <v>2</v>
      </c>
      <c r="F22" s="80">
        <v>2</v>
      </c>
      <c r="G22" s="80"/>
      <c r="H22" s="80"/>
      <c r="I22" s="80"/>
      <c r="J22" s="80"/>
      <c r="K22" s="80"/>
      <c r="L22" s="80"/>
      <c r="M22" s="80"/>
      <c r="N22" s="80"/>
      <c r="O22" s="80">
        <v>24</v>
      </c>
      <c r="P22" s="80"/>
      <c r="Q22" s="80"/>
      <c r="R22" s="80"/>
      <c r="S22" s="80"/>
      <c r="T22" s="80"/>
      <c r="U22" s="80"/>
      <c r="V22" s="80">
        <v>15</v>
      </c>
      <c r="W22" s="80">
        <v>10</v>
      </c>
      <c r="X22" s="134">
        <f t="shared" ca="1" si="4"/>
        <v>65.093085547617974</v>
      </c>
      <c r="Y22" s="81"/>
      <c r="Z22" s="137">
        <f t="shared" ca="1" si="0"/>
        <v>65.093085547617974</v>
      </c>
      <c r="AA22" s="87">
        <f ca="1">COUNTIF(Teams!$4:$20,B22)</f>
        <v>5</v>
      </c>
      <c r="AB22" s="87">
        <f t="shared" ca="1" si="1"/>
        <v>29</v>
      </c>
      <c r="AC22" s="151">
        <v>21</v>
      </c>
      <c r="AD22" s="60" t="str">
        <f t="shared" ca="1" si="2"/>
        <v>hofstetter</v>
      </c>
      <c r="AE22" s="158">
        <f t="shared" ca="1" si="3"/>
        <v>104.04686180977619</v>
      </c>
    </row>
    <row r="23" spans="1:104" s="63" customFormat="1">
      <c r="A23" s="255"/>
      <c r="B23" s="323" t="s">
        <v>229</v>
      </c>
      <c r="C23" s="89"/>
      <c r="D23" s="89"/>
      <c r="E23" s="89"/>
      <c r="F23" s="89"/>
      <c r="G23" s="89"/>
      <c r="H23" s="89"/>
      <c r="I23" s="89">
        <v>16</v>
      </c>
      <c r="J23" s="89"/>
      <c r="K23" s="89">
        <v>7</v>
      </c>
      <c r="L23" s="89"/>
      <c r="M23" s="89">
        <v>7</v>
      </c>
      <c r="N23" s="89">
        <v>17</v>
      </c>
      <c r="O23" s="89"/>
      <c r="P23" s="89"/>
      <c r="Q23" s="89"/>
      <c r="R23" s="89"/>
      <c r="S23" s="89"/>
      <c r="T23" s="89"/>
      <c r="U23" s="89"/>
      <c r="V23" s="89"/>
      <c r="W23" s="89"/>
      <c r="X23" s="135">
        <f t="shared" ca="1" si="4"/>
        <v>47.056645820372019</v>
      </c>
      <c r="Y23" s="90">
        <v>16</v>
      </c>
      <c r="Z23" s="138">
        <f t="shared" ca="1" si="0"/>
        <v>63.056645820372019</v>
      </c>
      <c r="AA23" s="87">
        <f ca="1">COUNTIF(Teams!$4:$20,B23)</f>
        <v>0</v>
      </c>
      <c r="AB23" s="87">
        <f t="shared" ca="1" si="1"/>
        <v>31</v>
      </c>
      <c r="AC23" s="151">
        <v>22</v>
      </c>
      <c r="AD23" s="60" t="str">
        <f t="shared" ca="1" si="2"/>
        <v>van Poppel</v>
      </c>
      <c r="AE23" s="158">
        <f t="shared" ca="1" si="3"/>
        <v>100.0301138112909</v>
      </c>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row>
    <row r="24" spans="1:104" s="64" customFormat="1">
      <c r="A24" s="254"/>
      <c r="B24" s="322" t="s">
        <v>337</v>
      </c>
      <c r="C24" s="80"/>
      <c r="D24" s="80"/>
      <c r="E24" s="80"/>
      <c r="F24" s="80"/>
      <c r="G24" s="80"/>
      <c r="H24" s="80">
        <v>1</v>
      </c>
      <c r="I24" s="80">
        <v>2</v>
      </c>
      <c r="J24" s="80">
        <v>2</v>
      </c>
      <c r="K24" s="80">
        <v>1</v>
      </c>
      <c r="L24" s="80">
        <f>18+1</f>
        <v>19</v>
      </c>
      <c r="M24" s="80">
        <v>1</v>
      </c>
      <c r="N24" s="80">
        <v>2</v>
      </c>
      <c r="O24" s="80">
        <v>1</v>
      </c>
      <c r="P24" s="80">
        <v>1</v>
      </c>
      <c r="Q24" s="80">
        <v>1</v>
      </c>
      <c r="R24" s="80">
        <v>1</v>
      </c>
      <c r="S24" s="80">
        <v>1</v>
      </c>
      <c r="T24" s="80">
        <v>1</v>
      </c>
      <c r="U24" s="80">
        <v>1</v>
      </c>
      <c r="V24" s="80">
        <f>1+7</f>
        <v>8</v>
      </c>
      <c r="W24" s="80">
        <v>1</v>
      </c>
      <c r="X24" s="134">
        <f t="shared" ca="1" si="4"/>
        <v>44.075693283141057</v>
      </c>
      <c r="Y24" s="81">
        <v>1</v>
      </c>
      <c r="Z24" s="137">
        <f t="shared" ca="1" si="0"/>
        <v>45.075693283141057</v>
      </c>
      <c r="AA24" s="87">
        <f ca="1">COUNTIF(Teams!$4:$20,B24)</f>
        <v>1</v>
      </c>
      <c r="AB24" s="87">
        <f t="shared" ca="1" si="1"/>
        <v>37</v>
      </c>
      <c r="AC24" s="151">
        <v>23</v>
      </c>
      <c r="AD24" s="60" t="str">
        <f t="shared" ca="1" si="2"/>
        <v>Pinot</v>
      </c>
      <c r="AE24" s="158">
        <f t="shared" ca="1" si="3"/>
        <v>100.02430104077374</v>
      </c>
    </row>
    <row r="25" spans="1:104" s="63" customFormat="1">
      <c r="A25" s="255"/>
      <c r="B25" s="323" t="s">
        <v>165</v>
      </c>
      <c r="C25" s="89"/>
      <c r="D25" s="89"/>
      <c r="E25" s="89"/>
      <c r="F25" s="89"/>
      <c r="G25" s="89"/>
      <c r="H25" s="89">
        <v>9</v>
      </c>
      <c r="I25" s="89"/>
      <c r="J25" s="89"/>
      <c r="K25" s="89">
        <v>10</v>
      </c>
      <c r="L25" s="89"/>
      <c r="M25" s="89">
        <f>18+2</f>
        <v>20</v>
      </c>
      <c r="N25" s="89">
        <f>10</f>
        <v>10</v>
      </c>
      <c r="O25" s="89"/>
      <c r="P25" s="89"/>
      <c r="Q25" s="89"/>
      <c r="R25" s="89"/>
      <c r="S25" s="89">
        <f>22</f>
        <v>22</v>
      </c>
      <c r="T25" s="89">
        <f>20+2</f>
        <v>22</v>
      </c>
      <c r="U25" s="89">
        <v>2</v>
      </c>
      <c r="V25" s="89">
        <v>2</v>
      </c>
      <c r="W25" s="89">
        <f>2+9</f>
        <v>11</v>
      </c>
      <c r="X25" s="135">
        <f t="shared" ref="X25" ca="1" si="7">SUM(C25:W25)+RAND()/10</f>
        <v>108.06456752185424</v>
      </c>
      <c r="Y25" s="90">
        <v>34</v>
      </c>
      <c r="Z25" s="138">
        <f t="shared" ref="Z25" ca="1" si="8">SUM(X25:Y25)</f>
        <v>142.06456752185426</v>
      </c>
      <c r="AA25" s="87">
        <f ca="1">COUNTIF(Teams!$4:$20,B25)</f>
        <v>0</v>
      </c>
      <c r="AB25" s="87">
        <f t="shared" ca="1" si="1"/>
        <v>14</v>
      </c>
      <c r="AC25" s="151">
        <v>24</v>
      </c>
      <c r="AD25" s="60" t="str">
        <f t="shared" ca="1" si="2"/>
        <v>Theuns</v>
      </c>
      <c r="AE25" s="158">
        <f t="shared" ca="1" si="3"/>
        <v>96.038211164485247</v>
      </c>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row>
    <row r="26" spans="1:104" s="64" customFormat="1">
      <c r="A26" s="254"/>
      <c r="B26" s="322" t="s">
        <v>119</v>
      </c>
      <c r="C26" s="80"/>
      <c r="D26" s="80"/>
      <c r="E26" s="80"/>
      <c r="F26" s="80"/>
      <c r="G26" s="80"/>
      <c r="H26" s="80"/>
      <c r="I26" s="80">
        <v>6</v>
      </c>
      <c r="J26" s="80"/>
      <c r="K26" s="80">
        <v>9</v>
      </c>
      <c r="L26" s="80"/>
      <c r="M26" s="80">
        <v>13</v>
      </c>
      <c r="N26" s="80"/>
      <c r="O26" s="80"/>
      <c r="P26" s="80"/>
      <c r="Q26" s="80"/>
      <c r="R26" s="80"/>
      <c r="S26" s="80"/>
      <c r="T26" s="80"/>
      <c r="U26" s="80"/>
      <c r="V26" s="80"/>
      <c r="W26" s="80"/>
      <c r="X26" s="134">
        <f t="shared" ca="1" si="4"/>
        <v>28.09956739415243</v>
      </c>
      <c r="Y26" s="81"/>
      <c r="Z26" s="137">
        <f t="shared" ref="Z26:Z52" ca="1" si="9">SUM(X26:Y26)</f>
        <v>28.09956739415243</v>
      </c>
      <c r="AA26" s="87">
        <f ca="1">COUNTIF(Teams!$4:$20,B26)</f>
        <v>1</v>
      </c>
      <c r="AB26" s="87">
        <f t="shared" ca="1" si="1"/>
        <v>40</v>
      </c>
      <c r="AC26" s="151">
        <v>25</v>
      </c>
      <c r="AD26" s="60" t="str">
        <f t="shared" ca="1" si="2"/>
        <v>Ganna</v>
      </c>
      <c r="AE26" s="158">
        <f t="shared" ca="1" si="3"/>
        <v>82.021647538499622</v>
      </c>
    </row>
    <row r="27" spans="1:104" s="63" customFormat="1">
      <c r="A27" s="255" t="s">
        <v>143</v>
      </c>
      <c r="B27" s="323" t="s">
        <v>44</v>
      </c>
      <c r="C27" s="89"/>
      <c r="D27" s="89"/>
      <c r="E27" s="89"/>
      <c r="F27" s="89"/>
      <c r="G27" s="89"/>
      <c r="H27" s="89">
        <v>7</v>
      </c>
      <c r="I27" s="89">
        <f>13</f>
        <v>13</v>
      </c>
      <c r="J27" s="89">
        <v>13</v>
      </c>
      <c r="K27" s="89"/>
      <c r="L27" s="89"/>
      <c r="M27" s="89"/>
      <c r="N27" s="89"/>
      <c r="O27" s="89"/>
      <c r="P27" s="89"/>
      <c r="Q27" s="89"/>
      <c r="R27" s="89"/>
      <c r="S27" s="89"/>
      <c r="T27" s="89"/>
      <c r="U27" s="89"/>
      <c r="V27" s="89"/>
      <c r="W27" s="89"/>
      <c r="X27" s="135">
        <f t="shared" ca="1" si="4"/>
        <v>33.099982953655292</v>
      </c>
      <c r="Y27" s="90"/>
      <c r="Z27" s="138">
        <f t="shared" ca="1" si="9"/>
        <v>33.099982953655292</v>
      </c>
      <c r="AA27" s="87">
        <f ca="1">COUNTIF(Teams!$4:$20,B27)</f>
        <v>6</v>
      </c>
      <c r="AB27" s="87">
        <f t="shared" ca="1" si="1"/>
        <v>39</v>
      </c>
      <c r="AC27" s="151">
        <v>26</v>
      </c>
      <c r="AD27" s="60" t="str">
        <f t="shared" ca="1" si="2"/>
        <v>Martinez</v>
      </c>
      <c r="AE27" s="158">
        <f t="shared" ca="1" si="3"/>
        <v>78.03523460066333</v>
      </c>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row>
    <row r="28" spans="1:104" s="64" customFormat="1">
      <c r="A28" s="254"/>
      <c r="B28" s="322" t="s">
        <v>171</v>
      </c>
      <c r="C28" s="80"/>
      <c r="D28" s="80"/>
      <c r="E28" s="80"/>
      <c r="F28" s="80"/>
      <c r="G28" s="80"/>
      <c r="H28" s="80">
        <f>18+3</f>
        <v>21</v>
      </c>
      <c r="I28" s="80">
        <f>15+1</f>
        <v>16</v>
      </c>
      <c r="J28" s="80">
        <v>1</v>
      </c>
      <c r="K28" s="80"/>
      <c r="L28" s="80"/>
      <c r="M28" s="80"/>
      <c r="N28" s="80"/>
      <c r="O28" s="80"/>
      <c r="P28" s="80">
        <v>9</v>
      </c>
      <c r="Q28" s="80"/>
      <c r="R28" s="80">
        <v>6</v>
      </c>
      <c r="S28" s="80"/>
      <c r="T28" s="80">
        <v>19</v>
      </c>
      <c r="U28" s="80"/>
      <c r="V28" s="80">
        <v>6</v>
      </c>
      <c r="W28" s="80"/>
      <c r="X28" s="134">
        <f t="shared" ca="1" si="4"/>
        <v>78.03523460066333</v>
      </c>
      <c r="Y28" s="81"/>
      <c r="Z28" s="137">
        <f t="shared" ca="1" si="9"/>
        <v>78.03523460066333</v>
      </c>
      <c r="AA28" s="87">
        <f ca="1">COUNTIF(Teams!$4:$20,B28)</f>
        <v>7</v>
      </c>
      <c r="AB28" s="87">
        <f t="shared" ca="1" si="1"/>
        <v>26</v>
      </c>
      <c r="AC28" s="151">
        <v>27</v>
      </c>
      <c r="AD28" s="60" t="str">
        <f t="shared" ca="1" si="2"/>
        <v>Kämna</v>
      </c>
      <c r="AE28" s="158">
        <f t="shared" ca="1" si="3"/>
        <v>76.002630716447058</v>
      </c>
    </row>
    <row r="29" spans="1:104" s="63" customFormat="1">
      <c r="A29" s="255"/>
      <c r="B29" s="323" t="s">
        <v>154</v>
      </c>
      <c r="C29" s="89"/>
      <c r="D29" s="89"/>
      <c r="E29" s="89"/>
      <c r="F29" s="89"/>
      <c r="G29" s="89"/>
      <c r="H29" s="89">
        <v>15</v>
      </c>
      <c r="I29" s="89">
        <f>19+2</f>
        <v>21</v>
      </c>
      <c r="J29" s="89">
        <f>10+2</f>
        <v>12</v>
      </c>
      <c r="K29" s="89">
        <f>17+3</f>
        <v>20</v>
      </c>
      <c r="L29" s="89">
        <v>2</v>
      </c>
      <c r="M29" s="89">
        <f>11+1</f>
        <v>12</v>
      </c>
      <c r="N29" s="89">
        <f>18+2</f>
        <v>20</v>
      </c>
      <c r="O29" s="89">
        <v>2</v>
      </c>
      <c r="P29" s="89">
        <v>1</v>
      </c>
      <c r="Q29" s="89">
        <v>1</v>
      </c>
      <c r="R29" s="89"/>
      <c r="S29" s="89">
        <f>14+1</f>
        <v>15</v>
      </c>
      <c r="T29" s="89">
        <v>7</v>
      </c>
      <c r="U29" s="89"/>
      <c r="V29" s="89"/>
      <c r="W29" s="89"/>
      <c r="X29" s="135">
        <f t="shared" ca="1" si="4"/>
        <v>128.00907381152805</v>
      </c>
      <c r="Y29" s="90"/>
      <c r="Z29" s="138">
        <f t="shared" ca="1" si="9"/>
        <v>128.00907381152805</v>
      </c>
      <c r="AA29" s="87">
        <f ca="1">COUNTIF(Teams!$4:$20,B29)</f>
        <v>7</v>
      </c>
      <c r="AB29" s="87">
        <f t="shared" ca="1" si="1"/>
        <v>15</v>
      </c>
      <c r="AC29" s="151">
        <v>28</v>
      </c>
      <c r="AD29" s="60" t="str">
        <f t="shared" ca="1" si="2"/>
        <v>Konrad</v>
      </c>
      <c r="AE29" s="158">
        <f t="shared" ca="1" si="3"/>
        <v>70.055432046916366</v>
      </c>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row>
    <row r="30" spans="1:104" s="64" customFormat="1">
      <c r="A30" s="254"/>
      <c r="B30" s="322" t="s">
        <v>112</v>
      </c>
      <c r="C30" s="80">
        <v>9</v>
      </c>
      <c r="D30" s="80"/>
      <c r="E30" s="80"/>
      <c r="F30" s="80">
        <v>17</v>
      </c>
      <c r="G30" s="80"/>
      <c r="H30" s="80">
        <f>30</f>
        <v>30</v>
      </c>
      <c r="I30" s="80"/>
      <c r="J30" s="80">
        <f>30</f>
        <v>30</v>
      </c>
      <c r="K30" s="80"/>
      <c r="L30" s="80"/>
      <c r="M30" s="80"/>
      <c r="N30" s="80"/>
      <c r="O30" s="80"/>
      <c r="P30" s="80">
        <f>35</f>
        <v>35</v>
      </c>
      <c r="Q30" s="80"/>
      <c r="R30" s="80"/>
      <c r="S30" s="80"/>
      <c r="T30" s="80"/>
      <c r="U30" s="80"/>
      <c r="V30" s="80"/>
      <c r="W30" s="80"/>
      <c r="X30" s="134">
        <f t="shared" ca="1" si="4"/>
        <v>121.07513679097575</v>
      </c>
      <c r="Y30" s="81"/>
      <c r="Z30" s="137">
        <f t="shared" ca="1" si="9"/>
        <v>121.07513679097575</v>
      </c>
      <c r="AA30" s="87">
        <f ca="1">COUNTIF(Teams!$4:$20,B30)</f>
        <v>5</v>
      </c>
      <c r="AB30" s="87">
        <f t="shared" ca="1" si="1"/>
        <v>18</v>
      </c>
      <c r="AC30" s="151">
        <v>29</v>
      </c>
      <c r="AD30" s="60" t="str">
        <f t="shared" ca="1" si="2"/>
        <v>Küng</v>
      </c>
      <c r="AE30" s="158">
        <f t="shared" ca="1" si="3"/>
        <v>65.093085547617974</v>
      </c>
    </row>
    <row r="31" spans="1:104" s="63" customFormat="1">
      <c r="A31" s="255"/>
      <c r="B31" s="323" t="s">
        <v>340</v>
      </c>
      <c r="C31" s="89">
        <v>2</v>
      </c>
      <c r="D31" s="89">
        <v>2</v>
      </c>
      <c r="E31" s="89">
        <f>6+2</f>
        <v>8</v>
      </c>
      <c r="F31" s="89">
        <v>2</v>
      </c>
      <c r="G31" s="89"/>
      <c r="H31" s="89">
        <v>2</v>
      </c>
      <c r="I31" s="89">
        <v>3</v>
      </c>
      <c r="J31" s="89">
        <v>3</v>
      </c>
      <c r="K31" s="89">
        <v>3</v>
      </c>
      <c r="L31" s="89">
        <v>3</v>
      </c>
      <c r="M31" s="89">
        <v>3</v>
      </c>
      <c r="N31" s="89">
        <v>3</v>
      </c>
      <c r="O31" s="89">
        <v>3</v>
      </c>
      <c r="P31" s="89">
        <v>3</v>
      </c>
      <c r="Q31" s="89">
        <v>3</v>
      </c>
      <c r="R31" s="89">
        <f>12+2</f>
        <v>14</v>
      </c>
      <c r="S31" s="89">
        <f>26+3</f>
        <v>29</v>
      </c>
      <c r="T31" s="89">
        <v>3</v>
      </c>
      <c r="U31" s="89">
        <v>3</v>
      </c>
      <c r="V31" s="89">
        <v>3</v>
      </c>
      <c r="W31" s="89">
        <v>3</v>
      </c>
      <c r="X31" s="135">
        <f t="shared" ca="1" si="4"/>
        <v>98.060373543991702</v>
      </c>
      <c r="Y31" s="90">
        <f>5+12</f>
        <v>17</v>
      </c>
      <c r="Z31" s="138">
        <f t="shared" ca="1" si="9"/>
        <v>115.0603735439917</v>
      </c>
      <c r="AA31" s="87">
        <f ca="1">COUNTIF(Teams!$4:$20,B31)</f>
        <v>0</v>
      </c>
      <c r="AB31" s="87">
        <f t="shared" ca="1" si="1"/>
        <v>20</v>
      </c>
      <c r="AC31" s="151">
        <v>30</v>
      </c>
      <c r="AD31" s="60" t="str">
        <f t="shared" ca="1" si="2"/>
        <v>Ewan</v>
      </c>
      <c r="AE31" s="158">
        <f t="shared" ca="1" si="3"/>
        <v>64.004078220764413</v>
      </c>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row>
    <row r="32" spans="1:104" s="64" customFormat="1">
      <c r="A32" s="254"/>
      <c r="B32" s="322" t="s">
        <v>245</v>
      </c>
      <c r="C32" s="80"/>
      <c r="D32" s="80"/>
      <c r="E32" s="80"/>
      <c r="F32" s="80"/>
      <c r="G32" s="80"/>
      <c r="H32" s="80"/>
      <c r="I32" s="80">
        <v>10</v>
      </c>
      <c r="J32" s="80"/>
      <c r="K32" s="80"/>
      <c r="L32" s="80"/>
      <c r="M32" s="80"/>
      <c r="N32" s="80">
        <f>30+4</f>
        <v>34</v>
      </c>
      <c r="O32" s="80">
        <v>4</v>
      </c>
      <c r="P32" s="80">
        <f>16+4+4</f>
        <v>24</v>
      </c>
      <c r="Q32" s="80">
        <f>4+4</f>
        <v>8</v>
      </c>
      <c r="R32" s="80">
        <f>4+4</f>
        <v>8</v>
      </c>
      <c r="S32" s="80">
        <f>17+4+1</f>
        <v>22</v>
      </c>
      <c r="T32" s="80">
        <f>15+5</f>
        <v>20</v>
      </c>
      <c r="U32" s="80">
        <v>5</v>
      </c>
      <c r="V32" s="80">
        <v>3</v>
      </c>
      <c r="W32" s="80">
        <v>3</v>
      </c>
      <c r="X32" s="134">
        <f t="shared" ca="1" si="4"/>
        <v>141.07945849142075</v>
      </c>
      <c r="Y32" s="81">
        <v>36</v>
      </c>
      <c r="Z32" s="137">
        <f t="shared" ca="1" si="9"/>
        <v>177.07945849142075</v>
      </c>
      <c r="AA32" s="87">
        <f ca="1">COUNTIF(Teams!$4:$20,B32)</f>
        <v>0</v>
      </c>
      <c r="AB32" s="87">
        <f t="shared" ca="1" si="1"/>
        <v>12</v>
      </c>
      <c r="AC32" s="151">
        <v>31</v>
      </c>
      <c r="AD32" s="60" t="str">
        <f t="shared" ca="1" si="2"/>
        <v>Kuss</v>
      </c>
      <c r="AE32" s="158">
        <f t="shared" ca="1" si="3"/>
        <v>63.056645820372019</v>
      </c>
    </row>
    <row r="33" spans="1:104" s="63" customFormat="1">
      <c r="A33" s="255"/>
      <c r="B33" s="323" t="s">
        <v>303</v>
      </c>
      <c r="C33" s="89"/>
      <c r="D33" s="89"/>
      <c r="E33" s="89"/>
      <c r="F33" s="89"/>
      <c r="G33" s="89"/>
      <c r="H33" s="89"/>
      <c r="I33" s="89"/>
      <c r="J33" s="89"/>
      <c r="K33" s="89"/>
      <c r="L33" s="89"/>
      <c r="M33" s="89"/>
      <c r="N33" s="89"/>
      <c r="O33" s="89"/>
      <c r="P33" s="89"/>
      <c r="Q33" s="89"/>
      <c r="R33" s="89"/>
      <c r="S33" s="89"/>
      <c r="T33" s="89"/>
      <c r="U33" s="89"/>
      <c r="V33" s="89"/>
      <c r="W33" s="89"/>
      <c r="X33" s="135">
        <f t="shared" ca="1" si="4"/>
        <v>9.6878941812040945E-2</v>
      </c>
      <c r="Y33" s="90"/>
      <c r="Z33" s="138">
        <f t="shared" ca="1" si="9"/>
        <v>9.6878941812040945E-2</v>
      </c>
      <c r="AA33" s="87">
        <f ca="1">COUNTIF(Teams!$4:$20,B33)</f>
        <v>3</v>
      </c>
      <c r="AB33" s="87">
        <f t="shared" ca="1" si="1"/>
        <v>47</v>
      </c>
      <c r="AC33" s="151">
        <v>32</v>
      </c>
      <c r="AD33" s="60" t="str">
        <f t="shared" ca="1" si="2"/>
        <v>Ciccone</v>
      </c>
      <c r="AE33" s="158">
        <f t="shared" ca="1" si="3"/>
        <v>54.054533670550349</v>
      </c>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row>
    <row r="34" spans="1:104" s="64" customFormat="1">
      <c r="A34" s="254"/>
      <c r="B34" s="322" t="s">
        <v>52</v>
      </c>
      <c r="C34" s="80">
        <f>17+2</f>
        <v>19</v>
      </c>
      <c r="D34" s="80">
        <v>2</v>
      </c>
      <c r="E34" s="80"/>
      <c r="F34" s="80"/>
      <c r="G34" s="80"/>
      <c r="H34" s="80"/>
      <c r="I34" s="80"/>
      <c r="J34" s="80"/>
      <c r="K34" s="80"/>
      <c r="L34" s="80"/>
      <c r="M34" s="80"/>
      <c r="N34" s="80"/>
      <c r="O34" s="80"/>
      <c r="P34" s="80">
        <v>7</v>
      </c>
      <c r="Q34" s="80"/>
      <c r="R34" s="80"/>
      <c r="S34" s="80"/>
      <c r="T34" s="80"/>
      <c r="U34" s="80"/>
      <c r="V34" s="80">
        <v>20</v>
      </c>
      <c r="W34" s="80"/>
      <c r="X34" s="134">
        <f t="shared" ref="X34" ca="1" si="10">SUM(C34:W34)+RAND()/10</f>
        <v>48.004053285702568</v>
      </c>
      <c r="Y34" s="81"/>
      <c r="Z34" s="137">
        <f t="shared" ref="Z34" ca="1" si="11">SUM(X34:Y34)</f>
        <v>48.004053285702568</v>
      </c>
      <c r="AA34" s="87">
        <f ca="1">COUNTIF(Teams!$4:$20,B34)</f>
        <v>2</v>
      </c>
      <c r="AB34" s="87">
        <f t="shared" ref="AB34:AB55" ca="1" si="12">RANK(Z34,$Z$2:$Z$55)</f>
        <v>35</v>
      </c>
      <c r="AC34" s="151">
        <v>33</v>
      </c>
      <c r="AD34" s="60" t="str">
        <f t="shared" ref="AD34:AD55" ca="1" si="13">INDEX($B$2:$B$55,MATCH(AC34,$AB$2:$AB$55,0))</f>
        <v>B.Thomas</v>
      </c>
      <c r="AE34" s="158">
        <f t="shared" ref="AE34:AE55" ca="1" si="14">INDEX($Z$2:$Z$55,MATCH(AC34,$AB$2:$AB$55,0))</f>
        <v>54.052273756450802</v>
      </c>
    </row>
    <row r="35" spans="1:104" s="63" customFormat="1">
      <c r="A35" s="255"/>
      <c r="B35" s="323" t="s">
        <v>213</v>
      </c>
      <c r="C35" s="89"/>
      <c r="D35" s="89"/>
      <c r="E35" s="89"/>
      <c r="F35" s="89"/>
      <c r="G35" s="89"/>
      <c r="H35" s="89"/>
      <c r="I35" s="89"/>
      <c r="J35" s="89"/>
      <c r="K35" s="89"/>
      <c r="L35" s="89"/>
      <c r="M35" s="89"/>
      <c r="N35" s="89"/>
      <c r="O35" s="89"/>
      <c r="P35" s="89"/>
      <c r="Q35" s="89"/>
      <c r="R35" s="89"/>
      <c r="S35" s="89"/>
      <c r="T35" s="89"/>
      <c r="U35" s="89"/>
      <c r="V35" s="89"/>
      <c r="W35" s="89"/>
      <c r="X35" s="135">
        <f t="shared" ref="X35" ca="1" si="15">SUM(C35:W35)+RAND()/10</f>
        <v>1.5192218276981384E-2</v>
      </c>
      <c r="Y35" s="90"/>
      <c r="Z35" s="138">
        <f t="shared" ref="Z35" ca="1" si="16">SUM(X35:Y35)</f>
        <v>1.5192218276981384E-2</v>
      </c>
      <c r="AA35" s="87">
        <f ca="1">COUNTIF(Teams!$4:$20,B35)</f>
        <v>10</v>
      </c>
      <c r="AB35" s="87">
        <f t="shared" ca="1" si="12"/>
        <v>52</v>
      </c>
      <c r="AC35" s="151">
        <v>34</v>
      </c>
      <c r="AD35" s="60" t="str">
        <f t="shared" ca="1" si="13"/>
        <v>van der Poel</v>
      </c>
      <c r="AE35" s="158">
        <f t="shared" ca="1" si="14"/>
        <v>53.09832151756261</v>
      </c>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row>
    <row r="36" spans="1:104" s="64" customFormat="1">
      <c r="A36" s="254"/>
      <c r="B36" s="322" t="s">
        <v>202</v>
      </c>
      <c r="C36" s="80">
        <f>20+5</f>
        <v>25</v>
      </c>
      <c r="D36" s="80">
        <f>26+6+3</f>
        <v>35</v>
      </c>
      <c r="E36" s="80">
        <f>14+7</f>
        <v>21</v>
      </c>
      <c r="F36" s="80">
        <f>14+7</f>
        <v>21</v>
      </c>
      <c r="G36" s="80">
        <v>5</v>
      </c>
      <c r="H36" s="80"/>
      <c r="I36" s="80"/>
      <c r="J36" s="80"/>
      <c r="K36" s="80"/>
      <c r="L36" s="80"/>
      <c r="M36" s="80"/>
      <c r="N36" s="80"/>
      <c r="O36" s="80">
        <f>35+2</f>
        <v>37</v>
      </c>
      <c r="P36" s="80">
        <v>2</v>
      </c>
      <c r="Q36" s="80">
        <f>26+2</f>
        <v>28</v>
      </c>
      <c r="R36" s="80">
        <v>2</v>
      </c>
      <c r="S36" s="80">
        <v>2</v>
      </c>
      <c r="T36" s="80">
        <v>2</v>
      </c>
      <c r="U36" s="80">
        <v>1</v>
      </c>
      <c r="V36" s="80">
        <v>1</v>
      </c>
      <c r="W36" s="80"/>
      <c r="X36" s="134">
        <f t="shared" ca="1" si="4"/>
        <v>182.03593988624741</v>
      </c>
      <c r="Y36" s="81"/>
      <c r="Z36" s="137">
        <f t="shared" ca="1" si="9"/>
        <v>182.03593988624741</v>
      </c>
      <c r="AA36" s="87">
        <f ca="1">COUNTIF(Teams!$4:$20,B36)</f>
        <v>9</v>
      </c>
      <c r="AB36" s="87">
        <f t="shared" ca="1" si="12"/>
        <v>11</v>
      </c>
      <c r="AC36" s="151">
        <v>35</v>
      </c>
      <c r="AD36" s="60" t="str">
        <f t="shared" ca="1" si="13"/>
        <v>Mollema</v>
      </c>
      <c r="AE36" s="158">
        <f t="shared" ca="1" si="14"/>
        <v>48.004053285702568</v>
      </c>
    </row>
    <row r="37" spans="1:104" s="63" customFormat="1">
      <c r="A37" s="255"/>
      <c r="B37" s="323" t="s">
        <v>233</v>
      </c>
      <c r="C37" s="89"/>
      <c r="D37" s="89">
        <f>22</f>
        <v>22</v>
      </c>
      <c r="E37" s="89">
        <v>26</v>
      </c>
      <c r="F37" s="89">
        <f>30+1</f>
        <v>31</v>
      </c>
      <c r="G37" s="89">
        <f>18+1+3</f>
        <v>22</v>
      </c>
      <c r="H37" s="89">
        <f>3+3</f>
        <v>6</v>
      </c>
      <c r="I37" s="89">
        <f>2</f>
        <v>2</v>
      </c>
      <c r="J37" s="89">
        <v>2</v>
      </c>
      <c r="K37" s="89">
        <v>2</v>
      </c>
      <c r="L37" s="89"/>
      <c r="M37" s="89"/>
      <c r="N37" s="89">
        <v>1</v>
      </c>
      <c r="O37" s="89"/>
      <c r="P37" s="89"/>
      <c r="Q37" s="89">
        <f>35</f>
        <v>35</v>
      </c>
      <c r="R37" s="89">
        <v>3</v>
      </c>
      <c r="S37" s="89">
        <v>3</v>
      </c>
      <c r="T37" s="89">
        <v>3</v>
      </c>
      <c r="U37" s="89">
        <f>30+4</f>
        <v>34</v>
      </c>
      <c r="V37" s="89">
        <v>3</v>
      </c>
      <c r="W37" s="89">
        <f>35+4</f>
        <v>39</v>
      </c>
      <c r="X37" s="135">
        <f t="shared" ca="1" si="4"/>
        <v>234.01827223594739</v>
      </c>
      <c r="Y37" s="90">
        <v>7</v>
      </c>
      <c r="Z37" s="138">
        <f t="shared" ca="1" si="9"/>
        <v>241.01827223594739</v>
      </c>
      <c r="AA37" s="87">
        <f ca="1">COUNTIF(Teams!$4:$20,B37)</f>
        <v>10</v>
      </c>
      <c r="AB37" s="87">
        <f t="shared" ca="1" si="12"/>
        <v>8</v>
      </c>
      <c r="AC37" s="151">
        <v>36</v>
      </c>
      <c r="AD37" s="60" t="str">
        <f t="shared" ca="1" si="13"/>
        <v>Caruso</v>
      </c>
      <c r="AE37" s="158">
        <f t="shared" ca="1" si="14"/>
        <v>47.089298795162897</v>
      </c>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row>
    <row r="38" spans="1:104" s="64" customFormat="1">
      <c r="A38" s="254"/>
      <c r="B38" s="322" t="s">
        <v>248</v>
      </c>
      <c r="C38" s="80">
        <f>11+4</f>
        <v>15</v>
      </c>
      <c r="D38" s="80">
        <v>4</v>
      </c>
      <c r="E38" s="80">
        <f>4+1</f>
        <v>5</v>
      </c>
      <c r="F38" s="80">
        <f>4+1</f>
        <v>5</v>
      </c>
      <c r="G38" s="80">
        <f>2+4</f>
        <v>6</v>
      </c>
      <c r="H38" s="80">
        <f>24+6+4</f>
        <v>34</v>
      </c>
      <c r="I38" s="80">
        <f>12+4+4</f>
        <v>20</v>
      </c>
      <c r="J38" s="80">
        <f>16+4+4</f>
        <v>24</v>
      </c>
      <c r="K38" s="80">
        <f>11+4+4</f>
        <v>19</v>
      </c>
      <c r="L38" s="80">
        <f>3+4</f>
        <v>7</v>
      </c>
      <c r="M38" s="80">
        <f>8+4</f>
        <v>12</v>
      </c>
      <c r="N38" s="80">
        <f>35+3+4</f>
        <v>42</v>
      </c>
      <c r="O38" s="80">
        <f>3+4</f>
        <v>7</v>
      </c>
      <c r="P38" s="80">
        <f>2+4</f>
        <v>6</v>
      </c>
      <c r="Q38" s="80">
        <f>2+4</f>
        <v>6</v>
      </c>
      <c r="R38" s="80">
        <f>1+4</f>
        <v>5</v>
      </c>
      <c r="S38" s="80">
        <v>4</v>
      </c>
      <c r="T38" s="80">
        <v>4</v>
      </c>
      <c r="U38" s="80">
        <v>4</v>
      </c>
      <c r="V38" s="80">
        <v>4</v>
      </c>
      <c r="W38" s="80">
        <v>4</v>
      </c>
      <c r="X38" s="134">
        <f t="shared" ca="1" si="4"/>
        <v>237.08009517837525</v>
      </c>
      <c r="Y38" s="81">
        <f>18</f>
        <v>18</v>
      </c>
      <c r="Z38" s="137">
        <f t="shared" ca="1" si="9"/>
        <v>255.08009517837525</v>
      </c>
      <c r="AA38" s="87">
        <f ca="1">COUNTIF(Teams!$4:$20,B38)</f>
        <v>1</v>
      </c>
      <c r="AB38" s="87">
        <f t="shared" ca="1" si="12"/>
        <v>6</v>
      </c>
      <c r="AC38" s="151">
        <v>37</v>
      </c>
      <c r="AD38" s="60" t="str">
        <f t="shared" ca="1" si="13"/>
        <v>Leknessund</v>
      </c>
      <c r="AE38" s="158">
        <f t="shared" ca="1" si="14"/>
        <v>45.075693283141057</v>
      </c>
    </row>
    <row r="39" spans="1:104" s="63" customFormat="1">
      <c r="A39" s="255"/>
      <c r="B39" s="323" t="s">
        <v>84</v>
      </c>
      <c r="C39" s="89"/>
      <c r="D39" s="89"/>
      <c r="E39" s="89"/>
      <c r="F39" s="89"/>
      <c r="G39" s="89"/>
      <c r="H39" s="89"/>
      <c r="I39" s="89"/>
      <c r="J39" s="89"/>
      <c r="K39" s="89">
        <f>24+3</f>
        <v>27</v>
      </c>
      <c r="L39" s="89">
        <v>3</v>
      </c>
      <c r="M39" s="89"/>
      <c r="N39" s="89">
        <v>6</v>
      </c>
      <c r="O39" s="89"/>
      <c r="P39" s="89">
        <f>26</f>
        <v>26</v>
      </c>
      <c r="Q39" s="89"/>
      <c r="R39" s="89"/>
      <c r="S39" s="89"/>
      <c r="T39" s="89">
        <f>16</f>
        <v>16</v>
      </c>
      <c r="U39" s="89"/>
      <c r="V39" s="89"/>
      <c r="W39" s="89"/>
      <c r="X39" s="135">
        <f t="shared" ref="X39:X42" ca="1" si="17">SUM(C39:W39)+RAND()/10</f>
        <v>78.024301040773736</v>
      </c>
      <c r="Y39" s="90">
        <v>22</v>
      </c>
      <c r="Z39" s="138">
        <f t="shared" ref="Z39:Z42" ca="1" si="18">SUM(X39:Y39)</f>
        <v>100.02430104077374</v>
      </c>
      <c r="AA39" s="87">
        <f ca="1">COUNTIF(Teams!$4:$20,B39)</f>
        <v>1</v>
      </c>
      <c r="AB39" s="87">
        <f t="shared" ca="1" si="12"/>
        <v>23</v>
      </c>
      <c r="AC39" s="151">
        <v>38</v>
      </c>
      <c r="AD39" s="60" t="str">
        <f t="shared" ca="1" si="13"/>
        <v>Uran</v>
      </c>
      <c r="AE39" s="158">
        <f t="shared" ca="1" si="14"/>
        <v>37.097074911212545</v>
      </c>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row>
    <row r="40" spans="1:104" s="64" customFormat="1">
      <c r="A40" s="254"/>
      <c r="B40" s="322" t="s">
        <v>127</v>
      </c>
      <c r="C40" s="80"/>
      <c r="D40" s="80"/>
      <c r="E40" s="80"/>
      <c r="F40" s="80"/>
      <c r="G40" s="80">
        <v>12</v>
      </c>
      <c r="H40" s="80">
        <f>22</f>
        <v>22</v>
      </c>
      <c r="I40" s="80">
        <f>11</f>
        <v>11</v>
      </c>
      <c r="J40" s="80">
        <v>11</v>
      </c>
      <c r="K40" s="80">
        <f>16+1</f>
        <v>17</v>
      </c>
      <c r="L40" s="80"/>
      <c r="M40" s="80">
        <f>30+6</f>
        <v>36</v>
      </c>
      <c r="N40" s="80">
        <f>12+5</f>
        <v>17</v>
      </c>
      <c r="O40" s="80">
        <v>5</v>
      </c>
      <c r="P40" s="80">
        <v>5</v>
      </c>
      <c r="Q40" s="80">
        <v>5</v>
      </c>
      <c r="R40" s="80">
        <f>7+7</f>
        <v>14</v>
      </c>
      <c r="S40" s="80">
        <f>16+7</f>
        <v>23</v>
      </c>
      <c r="T40" s="80">
        <f>13+6</f>
        <v>19</v>
      </c>
      <c r="U40" s="80">
        <v>6</v>
      </c>
      <c r="V40" s="80">
        <v>5</v>
      </c>
      <c r="W40" s="80">
        <f>5+11</f>
        <v>16</v>
      </c>
      <c r="X40" s="134">
        <f t="shared" ca="1" si="17"/>
        <v>224.06950400498454</v>
      </c>
      <c r="Y40" s="81">
        <v>40</v>
      </c>
      <c r="Z40" s="137">
        <f t="shared" ca="1" si="18"/>
        <v>264.06950400498454</v>
      </c>
      <c r="AA40" s="87">
        <f ca="1">COUNTIF(Teams!$4:$20,B40)</f>
        <v>0</v>
      </c>
      <c r="AB40" s="87">
        <f t="shared" ca="1" si="12"/>
        <v>5</v>
      </c>
      <c r="AC40" s="151">
        <v>39</v>
      </c>
      <c r="AD40" s="60" t="str">
        <f t="shared" ca="1" si="13"/>
        <v>Martin</v>
      </c>
      <c r="AE40" s="158">
        <f t="shared" ca="1" si="14"/>
        <v>33.099982953655292</v>
      </c>
    </row>
    <row r="41" spans="1:104" s="63" customFormat="1">
      <c r="A41" s="255"/>
      <c r="B41" s="323" t="s">
        <v>325</v>
      </c>
      <c r="C41" s="89"/>
      <c r="D41" s="89"/>
      <c r="E41" s="89"/>
      <c r="F41" s="89"/>
      <c r="G41" s="89"/>
      <c r="H41" s="89"/>
      <c r="I41" s="89"/>
      <c r="J41" s="89"/>
      <c r="K41" s="89"/>
      <c r="L41" s="89"/>
      <c r="M41" s="89"/>
      <c r="N41" s="89"/>
      <c r="O41" s="89"/>
      <c r="P41" s="89"/>
      <c r="Q41" s="89"/>
      <c r="R41" s="89"/>
      <c r="S41" s="89"/>
      <c r="T41" s="89"/>
      <c r="U41" s="89"/>
      <c r="V41" s="89"/>
      <c r="W41" s="89"/>
      <c r="X41" s="135">
        <f t="shared" ca="1" si="17"/>
        <v>7.0270811367670077E-2</v>
      </c>
      <c r="Y41" s="90"/>
      <c r="Z41" s="138">
        <f t="shared" ca="1" si="18"/>
        <v>7.0270811367670077E-2</v>
      </c>
      <c r="AA41" s="87">
        <f ca="1">COUNTIF(Teams!$4:$20,B41)</f>
        <v>0</v>
      </c>
      <c r="AB41" s="87">
        <f t="shared" ca="1" si="12"/>
        <v>48</v>
      </c>
      <c r="AC41" s="151">
        <v>40</v>
      </c>
      <c r="AD41" s="60" t="str">
        <f t="shared" ca="1" si="13"/>
        <v>Majka</v>
      </c>
      <c r="AE41" s="158">
        <f t="shared" ca="1" si="14"/>
        <v>28.09956739415243</v>
      </c>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s="64" customFormat="1">
      <c r="A42" s="254"/>
      <c r="B42" s="322" t="s">
        <v>70</v>
      </c>
      <c r="C42" s="80"/>
      <c r="D42" s="80">
        <f>20+2</f>
        <v>22</v>
      </c>
      <c r="E42" s="80">
        <f>24+2</f>
        <v>26</v>
      </c>
      <c r="F42" s="80">
        <f>22+3</f>
        <v>25</v>
      </c>
      <c r="G42" s="80">
        <v>2</v>
      </c>
      <c r="H42" s="80">
        <v>1</v>
      </c>
      <c r="I42" s="80"/>
      <c r="J42" s="80"/>
      <c r="K42" s="80"/>
      <c r="L42" s="80"/>
      <c r="M42" s="80"/>
      <c r="N42" s="80"/>
      <c r="O42" s="80"/>
      <c r="P42" s="80"/>
      <c r="Q42" s="80">
        <f>24</f>
        <v>24</v>
      </c>
      <c r="R42" s="80"/>
      <c r="S42" s="80"/>
      <c r="T42" s="80"/>
      <c r="U42" s="80"/>
      <c r="V42" s="80"/>
      <c r="W42" s="80">
        <v>22</v>
      </c>
      <c r="X42" s="134">
        <f t="shared" ca="1" si="17"/>
        <v>122.04417149935375</v>
      </c>
      <c r="Y42" s="81"/>
      <c r="Z42" s="137">
        <f t="shared" ca="1" si="18"/>
        <v>122.04417149935375</v>
      </c>
      <c r="AA42" s="87">
        <f ca="1">COUNTIF(Teams!$4:$20,B42)</f>
        <v>3</v>
      </c>
      <c r="AB42" s="87">
        <f t="shared" ca="1" si="12"/>
        <v>17</v>
      </c>
      <c r="AC42" s="151">
        <v>41</v>
      </c>
      <c r="AD42" s="60" t="str">
        <f t="shared" ca="1" si="13"/>
        <v>Fuglsang</v>
      </c>
      <c r="AE42" s="158">
        <f t="shared" ca="1" si="14"/>
        <v>27.062501140673955</v>
      </c>
    </row>
    <row r="43" spans="1:104" s="63" customFormat="1">
      <c r="A43" s="255"/>
      <c r="B43" s="323" t="s">
        <v>324</v>
      </c>
      <c r="C43" s="89"/>
      <c r="D43" s="89"/>
      <c r="E43" s="89"/>
      <c r="F43" s="89"/>
      <c r="G43" s="89">
        <v>13</v>
      </c>
      <c r="H43" s="89"/>
      <c r="I43" s="89"/>
      <c r="J43" s="89"/>
      <c r="K43" s="89"/>
      <c r="L43" s="89"/>
      <c r="M43" s="89"/>
      <c r="N43" s="89"/>
      <c r="O43" s="89"/>
      <c r="P43" s="89"/>
      <c r="Q43" s="89"/>
      <c r="R43" s="89"/>
      <c r="S43" s="89"/>
      <c r="T43" s="89"/>
      <c r="U43" s="89"/>
      <c r="V43" s="89"/>
      <c r="W43" s="89"/>
      <c r="X43" s="135">
        <f t="shared" ca="1" si="4"/>
        <v>13.06678840371212</v>
      </c>
      <c r="Y43" s="90"/>
      <c r="Z43" s="138">
        <f t="shared" ca="1" si="9"/>
        <v>13.06678840371212</v>
      </c>
      <c r="AA43" s="87">
        <f ca="1">COUNTIF(Teams!$4:$20,B43)</f>
        <v>1</v>
      </c>
      <c r="AB43" s="87">
        <f t="shared" ca="1" si="12"/>
        <v>44</v>
      </c>
      <c r="AC43" s="151">
        <v>42</v>
      </c>
      <c r="AD43" s="60" t="str">
        <f t="shared" ca="1" si="13"/>
        <v>Verona</v>
      </c>
      <c r="AE43" s="158">
        <f t="shared" ca="1" si="14"/>
        <v>26.028781910090153</v>
      </c>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row>
    <row r="44" spans="1:104" s="64" customFormat="1">
      <c r="A44" s="254"/>
      <c r="B44" s="322" t="s">
        <v>282</v>
      </c>
      <c r="C44" s="80"/>
      <c r="D44" s="80"/>
      <c r="E44" s="80"/>
      <c r="F44" s="80"/>
      <c r="G44" s="80"/>
      <c r="H44" s="80"/>
      <c r="I44" s="80"/>
      <c r="J44" s="80"/>
      <c r="K44" s="80"/>
      <c r="L44" s="80"/>
      <c r="M44" s="80"/>
      <c r="N44" s="80"/>
      <c r="O44" s="80"/>
      <c r="P44" s="80"/>
      <c r="Q44" s="80"/>
      <c r="R44" s="80">
        <v>22</v>
      </c>
      <c r="S44" s="80"/>
      <c r="T44" s="80"/>
      <c r="U44" s="80"/>
      <c r="V44" s="80"/>
      <c r="W44" s="80"/>
      <c r="X44" s="134">
        <f t="shared" ca="1" si="4"/>
        <v>22.090982594912507</v>
      </c>
      <c r="Y44" s="81"/>
      <c r="Z44" s="137">
        <f t="shared" ca="1" si="9"/>
        <v>22.090982594912507</v>
      </c>
      <c r="AA44" s="87">
        <f ca="1">COUNTIF(Teams!$4:$20,B44)</f>
        <v>2</v>
      </c>
      <c r="AB44" s="87">
        <f t="shared" ca="1" si="12"/>
        <v>43</v>
      </c>
      <c r="AC44" s="151">
        <v>43</v>
      </c>
      <c r="AD44" s="60" t="str">
        <f t="shared" ca="1" si="13"/>
        <v>Storer</v>
      </c>
      <c r="AE44" s="158">
        <f t="shared" ca="1" si="14"/>
        <v>22.090982594912507</v>
      </c>
    </row>
    <row r="45" spans="1:104" s="63" customFormat="1">
      <c r="A45" s="284" t="s">
        <v>252</v>
      </c>
      <c r="B45" s="324" t="s">
        <v>278</v>
      </c>
      <c r="C45" s="89">
        <f>16+1</f>
        <v>17</v>
      </c>
      <c r="D45" s="89">
        <v>1</v>
      </c>
      <c r="E45" s="89"/>
      <c r="F45" s="89"/>
      <c r="G45" s="89"/>
      <c r="H45" s="89">
        <f>20</f>
        <v>20</v>
      </c>
      <c r="I45" s="89"/>
      <c r="J45" s="89"/>
      <c r="K45" s="89"/>
      <c r="L45" s="89"/>
      <c r="M45" s="89">
        <v>9</v>
      </c>
      <c r="N45" s="89"/>
      <c r="O45" s="89"/>
      <c r="P45" s="89"/>
      <c r="Q45" s="89"/>
      <c r="R45" s="89">
        <v>19</v>
      </c>
      <c r="S45" s="89">
        <v>6</v>
      </c>
      <c r="T45" s="89">
        <v>10</v>
      </c>
      <c r="U45" s="89"/>
      <c r="V45" s="89"/>
      <c r="W45" s="89"/>
      <c r="X45" s="135">
        <f t="shared" ca="1" si="4"/>
        <v>82.038211164485247</v>
      </c>
      <c r="Y45" s="90">
        <v>14</v>
      </c>
      <c r="Z45" s="138">
        <f t="shared" ca="1" si="9"/>
        <v>96.038211164485247</v>
      </c>
      <c r="AA45" s="87">
        <f ca="1">COUNTIF(Teams!$4:$20,B45)</f>
        <v>0</v>
      </c>
      <c r="AB45" s="87">
        <f t="shared" ca="1" si="12"/>
        <v>24</v>
      </c>
      <c r="AC45" s="151">
        <v>44</v>
      </c>
      <c r="AD45" s="60" t="str">
        <f t="shared" ca="1" si="13"/>
        <v>Schachmann</v>
      </c>
      <c r="AE45" s="158">
        <f t="shared" ca="1" si="14"/>
        <v>13.06678840371212</v>
      </c>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row>
    <row r="46" spans="1:104" s="64" customFormat="1">
      <c r="A46" s="254">
        <v>77</v>
      </c>
      <c r="B46" s="322" t="s">
        <v>281</v>
      </c>
      <c r="C46" s="80"/>
      <c r="D46" s="80"/>
      <c r="E46" s="80"/>
      <c r="F46" s="80">
        <v>16</v>
      </c>
      <c r="G46" s="80"/>
      <c r="H46" s="80"/>
      <c r="I46" s="80"/>
      <c r="J46" s="80">
        <v>19</v>
      </c>
      <c r="K46" s="80"/>
      <c r="L46" s="80">
        <v>19</v>
      </c>
      <c r="M46" s="80"/>
      <c r="N46" s="80"/>
      <c r="O46" s="80"/>
      <c r="P46" s="80"/>
      <c r="Q46" s="80"/>
      <c r="R46" s="80"/>
      <c r="S46" s="80"/>
      <c r="T46" s="80"/>
      <c r="U46" s="80"/>
      <c r="V46" s="80"/>
      <c r="W46" s="80"/>
      <c r="X46" s="134">
        <f t="shared" ca="1" si="4"/>
        <v>54.052273756450802</v>
      </c>
      <c r="Y46" s="81"/>
      <c r="Z46" s="137">
        <f t="shared" ca="1" si="9"/>
        <v>54.052273756450802</v>
      </c>
      <c r="AA46" s="87">
        <f ca="1">COUNTIF(Teams!$4:$20,B46)</f>
        <v>1</v>
      </c>
      <c r="AB46" s="87">
        <f t="shared" ca="1" si="12"/>
        <v>33</v>
      </c>
      <c r="AC46" s="151">
        <v>45</v>
      </c>
      <c r="AD46" s="60" t="str">
        <f t="shared" ca="1" si="13"/>
        <v>Bonnamour</v>
      </c>
      <c r="AE46" s="158">
        <f t="shared" ca="1" si="14"/>
        <v>11.058646615237274</v>
      </c>
    </row>
    <row r="47" spans="1:104" s="63" customFormat="1">
      <c r="A47" s="255" t="s">
        <v>94</v>
      </c>
      <c r="B47" s="323" t="s">
        <v>75</v>
      </c>
      <c r="C47" s="89">
        <v>8</v>
      </c>
      <c r="D47" s="89"/>
      <c r="E47" s="89"/>
      <c r="F47" s="89"/>
      <c r="G47" s="89">
        <v>1</v>
      </c>
      <c r="H47" s="89">
        <f>11+5</f>
        <v>16</v>
      </c>
      <c r="I47" s="89">
        <f>22+8</f>
        <v>30</v>
      </c>
      <c r="J47" s="89">
        <f>15+8</f>
        <v>23</v>
      </c>
      <c r="K47" s="89">
        <f>19+8</f>
        <v>27</v>
      </c>
      <c r="L47" s="89">
        <v>7</v>
      </c>
      <c r="M47" s="89">
        <f>24+7</f>
        <v>31</v>
      </c>
      <c r="N47" s="89">
        <f>19+8</f>
        <v>27</v>
      </c>
      <c r="O47" s="89">
        <v>8</v>
      </c>
      <c r="P47" s="89">
        <v>8</v>
      </c>
      <c r="Q47" s="89">
        <f>8</f>
        <v>8</v>
      </c>
      <c r="R47" s="89">
        <f>9+8</f>
        <v>17</v>
      </c>
      <c r="S47" s="89">
        <f>24+8</f>
        <v>32</v>
      </c>
      <c r="T47" s="89">
        <f>24+8</f>
        <v>32</v>
      </c>
      <c r="U47" s="89">
        <f>12+8</f>
        <v>20</v>
      </c>
      <c r="V47" s="89">
        <v>8</v>
      </c>
      <c r="W47" s="89">
        <v>8</v>
      </c>
      <c r="X47" s="135">
        <f t="shared" ca="1" si="4"/>
        <v>311.06351184747467</v>
      </c>
      <c r="Y47" s="90">
        <v>52</v>
      </c>
      <c r="Z47" s="138">
        <f t="shared" ca="1" si="9"/>
        <v>363.06351184747467</v>
      </c>
      <c r="AA47" s="87">
        <f ca="1">COUNTIF(Teams!$4:$20,B47)</f>
        <v>8</v>
      </c>
      <c r="AB47" s="87">
        <f t="shared" ca="1" si="12"/>
        <v>3</v>
      </c>
      <c r="AC47" s="151">
        <v>46</v>
      </c>
      <c r="AD47" s="60" t="str">
        <f t="shared" ca="1" si="13"/>
        <v>Bissegger</v>
      </c>
      <c r="AE47" s="158">
        <f t="shared" ca="1" si="14"/>
        <v>7.0191013203695869</v>
      </c>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row>
    <row r="48" spans="1:104" s="64" customFormat="1">
      <c r="A48" s="254"/>
      <c r="B48" s="322" t="s">
        <v>118</v>
      </c>
      <c r="C48" s="80"/>
      <c r="D48" s="80"/>
      <c r="E48" s="80"/>
      <c r="F48" s="80"/>
      <c r="G48" s="80"/>
      <c r="H48" s="80">
        <v>8</v>
      </c>
      <c r="I48" s="80">
        <f>14</f>
        <v>14</v>
      </c>
      <c r="J48" s="80"/>
      <c r="K48" s="80"/>
      <c r="L48" s="80"/>
      <c r="M48" s="80"/>
      <c r="N48" s="80"/>
      <c r="O48" s="80"/>
      <c r="P48" s="80">
        <v>15</v>
      </c>
      <c r="Q48" s="80"/>
      <c r="R48" s="80"/>
      <c r="S48" s="80"/>
      <c r="T48" s="80"/>
      <c r="U48" s="80"/>
      <c r="V48" s="80"/>
      <c r="W48" s="80"/>
      <c r="X48" s="134">
        <f t="shared" ca="1" si="4"/>
        <v>37.097074911212545</v>
      </c>
      <c r="Y48" s="81"/>
      <c r="Z48" s="137">
        <f t="shared" ca="1" si="9"/>
        <v>37.097074911212545</v>
      </c>
      <c r="AA48" s="87">
        <f ca="1">COUNTIF(Teams!$4:$20,B48)</f>
        <v>3</v>
      </c>
      <c r="AB48" s="87">
        <f t="shared" ca="1" si="12"/>
        <v>38</v>
      </c>
      <c r="AC48" s="151">
        <v>47</v>
      </c>
      <c r="AD48" s="60" t="str">
        <f t="shared" ca="1" si="13"/>
        <v>Mohoric</v>
      </c>
      <c r="AE48" s="158">
        <f t="shared" ca="1" si="14"/>
        <v>9.6878941812040945E-2</v>
      </c>
    </row>
    <row r="49" spans="1:104" s="63" customFormat="1">
      <c r="A49" s="255"/>
      <c r="B49" s="323" t="s">
        <v>156</v>
      </c>
      <c r="C49" s="89">
        <f>30+9+4</f>
        <v>43</v>
      </c>
      <c r="D49" s="89">
        <f>30+10+5</f>
        <v>45</v>
      </c>
      <c r="E49" s="89">
        <f>30+10+5</f>
        <v>45</v>
      </c>
      <c r="F49" s="89">
        <f>35+10+5+4</f>
        <v>54</v>
      </c>
      <c r="G49" s="89">
        <f>10+10+5+4</f>
        <v>29</v>
      </c>
      <c r="H49" s="89">
        <f>5+3</f>
        <v>8</v>
      </c>
      <c r="I49" s="89">
        <v>5</v>
      </c>
      <c r="J49" s="89">
        <f>35+5</f>
        <v>40</v>
      </c>
      <c r="K49" s="89">
        <v>5</v>
      </c>
      <c r="L49" s="89">
        <v>5</v>
      </c>
      <c r="M49" s="89">
        <v>5</v>
      </c>
      <c r="N49" s="89">
        <v>5</v>
      </c>
      <c r="O49" s="89">
        <f>19+5</f>
        <v>24</v>
      </c>
      <c r="P49" s="89">
        <v>5</v>
      </c>
      <c r="Q49" s="89">
        <f>30+5</f>
        <v>35</v>
      </c>
      <c r="R49" s="89">
        <f>13+5</f>
        <v>18</v>
      </c>
      <c r="S49" s="89">
        <v>5</v>
      </c>
      <c r="T49" s="89">
        <f>26+5+1</f>
        <v>32</v>
      </c>
      <c r="U49" s="89">
        <f>5+1</f>
        <v>6</v>
      </c>
      <c r="V49" s="89">
        <f>5+1+35</f>
        <v>41</v>
      </c>
      <c r="W49" s="89">
        <f>5+1</f>
        <v>6</v>
      </c>
      <c r="X49" s="135">
        <f t="shared" ca="1" si="4"/>
        <v>461.01070520640775</v>
      </c>
      <c r="Y49" s="90">
        <f>10+1</f>
        <v>11</v>
      </c>
      <c r="Z49" s="138">
        <f t="shared" ca="1" si="9"/>
        <v>472.01070520640775</v>
      </c>
      <c r="AA49" s="87">
        <f ca="1">COUNTIF(Teams!$4:$20,B49)</f>
        <v>12</v>
      </c>
      <c r="AB49" s="87">
        <f t="shared" ca="1" si="12"/>
        <v>2</v>
      </c>
      <c r="AC49" s="151">
        <v>48</v>
      </c>
      <c r="AD49" s="60" t="str">
        <f t="shared" ca="1" si="13"/>
        <v>Rutsch</v>
      </c>
      <c r="AE49" s="158">
        <f t="shared" ca="1" si="14"/>
        <v>7.0270811367670077E-2</v>
      </c>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row>
    <row r="50" spans="1:104" s="64" customFormat="1">
      <c r="A50" s="254"/>
      <c r="B50" s="322" t="s">
        <v>195</v>
      </c>
      <c r="C50" s="80">
        <f>22+6+1</f>
        <v>29</v>
      </c>
      <c r="D50" s="80">
        <f>7+5</f>
        <v>12</v>
      </c>
      <c r="E50" s="80">
        <v>6</v>
      </c>
      <c r="F50" s="80">
        <v>6</v>
      </c>
      <c r="G50" s="80"/>
      <c r="H50" s="80"/>
      <c r="I50" s="80"/>
      <c r="J50" s="80"/>
      <c r="K50" s="80"/>
      <c r="L50" s="80"/>
      <c r="M50" s="80"/>
      <c r="N50" s="80"/>
      <c r="O50" s="80"/>
      <c r="P50" s="80"/>
      <c r="Q50" s="80"/>
      <c r="R50" s="80"/>
      <c r="S50" s="80"/>
      <c r="T50" s="80"/>
      <c r="U50" s="80"/>
      <c r="V50" s="80"/>
      <c r="W50" s="80"/>
      <c r="X50" s="134">
        <f t="shared" ca="1" si="4"/>
        <v>53.09832151756261</v>
      </c>
      <c r="Y50" s="81"/>
      <c r="Z50" s="137">
        <f t="shared" ca="1" si="9"/>
        <v>53.09832151756261</v>
      </c>
      <c r="AA50" s="87">
        <f ca="1">COUNTIF(Teams!$4:$20,B50)</f>
        <v>12</v>
      </c>
      <c r="AB50" s="87">
        <f t="shared" ca="1" si="12"/>
        <v>34</v>
      </c>
      <c r="AC50" s="151">
        <v>49</v>
      </c>
      <c r="AD50" s="60" t="str">
        <f t="shared" ca="1" si="13"/>
        <v>Cosnefroy</v>
      </c>
      <c r="AE50" s="158">
        <f t="shared" ca="1" si="14"/>
        <v>3.0269420799053991E-2</v>
      </c>
    </row>
    <row r="51" spans="1:104" s="63" customFormat="1">
      <c r="A51" s="284"/>
      <c r="B51" s="324" t="s">
        <v>113</v>
      </c>
      <c r="C51" s="89"/>
      <c r="D51" s="89">
        <f>24</f>
        <v>24</v>
      </c>
      <c r="E51" s="89">
        <v>16</v>
      </c>
      <c r="F51" s="89">
        <f>19</f>
        <v>19</v>
      </c>
      <c r="G51" s="89"/>
      <c r="H51" s="89"/>
      <c r="I51" s="89"/>
      <c r="J51" s="89"/>
      <c r="K51" s="89"/>
      <c r="L51" s="89"/>
      <c r="M51" s="89"/>
      <c r="N51" s="89"/>
      <c r="O51" s="89"/>
      <c r="P51" s="89"/>
      <c r="Q51" s="89">
        <v>22</v>
      </c>
      <c r="R51" s="89"/>
      <c r="S51" s="89"/>
      <c r="T51" s="89"/>
      <c r="U51" s="89"/>
      <c r="V51" s="89"/>
      <c r="W51" s="89">
        <v>19</v>
      </c>
      <c r="X51" s="135">
        <f t="shared" ca="1" si="4"/>
        <v>100.0301138112909</v>
      </c>
      <c r="Y51" s="90"/>
      <c r="Z51" s="138">
        <f t="shared" ca="1" si="9"/>
        <v>100.0301138112909</v>
      </c>
      <c r="AA51" s="87">
        <f ca="1">COUNTIF(Teams!$4:$20,B51)</f>
        <v>1</v>
      </c>
      <c r="AB51" s="87">
        <f t="shared" ca="1" si="12"/>
        <v>22</v>
      </c>
      <c r="AC51" s="151">
        <v>50</v>
      </c>
      <c r="AD51" s="60" t="str">
        <f t="shared" ca="1" si="13"/>
        <v>Asgreen</v>
      </c>
      <c r="AE51" s="158">
        <f t="shared" ca="1" si="14"/>
        <v>2.2283386634909939E-2</v>
      </c>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row>
    <row r="52" spans="1:104" s="64" customFormat="1">
      <c r="A52" s="254"/>
      <c r="B52" s="322" t="s">
        <v>280</v>
      </c>
      <c r="C52" s="80"/>
      <c r="D52" s="80"/>
      <c r="E52" s="80"/>
      <c r="F52" s="80"/>
      <c r="G52" s="80"/>
      <c r="H52" s="80"/>
      <c r="I52" s="80"/>
      <c r="J52" s="80"/>
      <c r="K52" s="80">
        <v>26</v>
      </c>
      <c r="L52" s="80"/>
      <c r="M52" s="80"/>
      <c r="N52" s="80"/>
      <c r="O52" s="80"/>
      <c r="P52" s="80"/>
      <c r="Q52" s="80"/>
      <c r="R52" s="80"/>
      <c r="S52" s="80"/>
      <c r="T52" s="80"/>
      <c r="U52" s="80"/>
      <c r="V52" s="80"/>
      <c r="W52" s="80"/>
      <c r="X52" s="134">
        <f t="shared" ca="1" si="4"/>
        <v>26.028781910090153</v>
      </c>
      <c r="Y52" s="81"/>
      <c r="Z52" s="137">
        <f t="shared" ca="1" si="9"/>
        <v>26.028781910090153</v>
      </c>
      <c r="AA52" s="87">
        <f ca="1">COUNTIF(Teams!$4:$20,B52)</f>
        <v>1</v>
      </c>
      <c r="AB52" s="87">
        <f t="shared" ca="1" si="12"/>
        <v>42</v>
      </c>
      <c r="AC52" s="151">
        <v>51</v>
      </c>
      <c r="AD52" s="60" t="str">
        <f t="shared" ca="1" si="13"/>
        <v>Guerreiro</v>
      </c>
      <c r="AE52" s="158">
        <f t="shared" ca="1" si="14"/>
        <v>1.7260791051733938E-2</v>
      </c>
    </row>
    <row r="53" spans="1:104" s="63" customFormat="1">
      <c r="A53" s="255"/>
      <c r="B53" s="323" t="s">
        <v>228</v>
      </c>
      <c r="C53" s="89">
        <f>19+4</f>
        <v>23</v>
      </c>
      <c r="D53" s="89">
        <v>4</v>
      </c>
      <c r="E53" s="89">
        <v>5</v>
      </c>
      <c r="F53" s="89">
        <v>5</v>
      </c>
      <c r="G53" s="89">
        <f>9+4</f>
        <v>13</v>
      </c>
      <c r="H53" s="89">
        <f>19+8</f>
        <v>27</v>
      </c>
      <c r="I53" s="89">
        <f>30+9+3</f>
        <v>42</v>
      </c>
      <c r="J53" s="89">
        <f>18+9+3</f>
        <v>30</v>
      </c>
      <c r="K53" s="89">
        <f>20+9</f>
        <v>29</v>
      </c>
      <c r="L53" s="89">
        <v>8</v>
      </c>
      <c r="M53" s="89">
        <f>35+10+3</f>
        <v>48</v>
      </c>
      <c r="N53" s="89">
        <f>20+10+3</f>
        <v>33</v>
      </c>
      <c r="O53" s="89">
        <f>7+10+3</f>
        <v>20</v>
      </c>
      <c r="P53" s="89">
        <f>10+2</f>
        <v>12</v>
      </c>
      <c r="Q53" s="89">
        <f>10</f>
        <v>10</v>
      </c>
      <c r="R53" s="89">
        <f>11+10</f>
        <v>21</v>
      </c>
      <c r="S53" s="89">
        <f>30+10</f>
        <v>40</v>
      </c>
      <c r="T53" s="89">
        <f>35+10+5</f>
        <v>50</v>
      </c>
      <c r="U53" s="89">
        <f>13+10+5</f>
        <v>28</v>
      </c>
      <c r="V53" s="89">
        <f>5+10+30</f>
        <v>45</v>
      </c>
      <c r="W53" s="89">
        <f>5+10</f>
        <v>15</v>
      </c>
      <c r="X53" s="135">
        <f t="shared" ref="X53" ca="1" si="19">SUM(C53:W53)+RAND()/10</f>
        <v>508.09902077888091</v>
      </c>
      <c r="Y53" s="90">
        <f>10+70</f>
        <v>80</v>
      </c>
      <c r="Z53" s="138">
        <f t="shared" ref="Z53" ca="1" si="20">SUM(X53:Y53)</f>
        <v>588.09902077888091</v>
      </c>
      <c r="AA53" s="87">
        <f ca="1">COUNTIF(Teams!$4:$20,B53)</f>
        <v>12</v>
      </c>
      <c r="AB53" s="87">
        <f t="shared" ca="1" si="12"/>
        <v>1</v>
      </c>
      <c r="AC53" s="151">
        <v>52</v>
      </c>
      <c r="AD53" s="60" t="str">
        <f t="shared" ca="1" si="13"/>
        <v>O'Connor</v>
      </c>
      <c r="AE53" s="158">
        <f t="shared" ca="1" si="14"/>
        <v>1.5192218276981384E-2</v>
      </c>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row>
    <row r="54" spans="1:104" s="63" customFormat="1">
      <c r="A54" s="254"/>
      <c r="B54" s="322" t="s">
        <v>242</v>
      </c>
      <c r="C54" s="80"/>
      <c r="D54" s="80"/>
      <c r="E54" s="80">
        <v>8</v>
      </c>
      <c r="F54" s="80">
        <v>6</v>
      </c>
      <c r="G54" s="80">
        <v>8</v>
      </c>
      <c r="H54" s="80">
        <f>10+4</f>
        <v>14</v>
      </c>
      <c r="I54" s="80"/>
      <c r="J54" s="80">
        <f>20</f>
        <v>20</v>
      </c>
      <c r="K54" s="80"/>
      <c r="L54" s="80"/>
      <c r="M54" s="80">
        <f>14+3</f>
        <v>17</v>
      </c>
      <c r="N54" s="80">
        <f>8+1</f>
        <v>9</v>
      </c>
      <c r="O54" s="80">
        <v>1</v>
      </c>
      <c r="P54" s="80"/>
      <c r="Q54" s="80">
        <v>10</v>
      </c>
      <c r="R54" s="80">
        <f>20+3</f>
        <v>23</v>
      </c>
      <c r="S54" s="80">
        <f>18+3</f>
        <v>21</v>
      </c>
      <c r="T54" s="80">
        <f>17+4</f>
        <v>21</v>
      </c>
      <c r="U54" s="80">
        <f>14+4</f>
        <v>18</v>
      </c>
      <c r="V54" s="80">
        <f>8+6</f>
        <v>14</v>
      </c>
      <c r="W54" s="80">
        <v>6</v>
      </c>
      <c r="X54" s="134">
        <f t="shared" ref="X54:X55" ca="1" si="21">SUM(C54:W54)+RAND()/10</f>
        <v>196.01329255329725</v>
      </c>
      <c r="Y54" s="81">
        <v>44</v>
      </c>
      <c r="Z54" s="137">
        <f t="shared" ref="Z54:Z55" ca="1" si="22">SUM(X54:Y54)</f>
        <v>240.01329255329725</v>
      </c>
      <c r="AA54" s="87">
        <f ca="1">COUNTIF(Teams!$4:$20,B54)</f>
        <v>11</v>
      </c>
      <c r="AB54" s="87">
        <f t="shared" ca="1" si="12"/>
        <v>9</v>
      </c>
      <c r="AC54" s="151">
        <v>53</v>
      </c>
      <c r="AD54" s="60" t="str">
        <f t="shared" ca="1" si="13"/>
        <v>Haig</v>
      </c>
      <c r="AE54" s="158">
        <f t="shared" ca="1" si="14"/>
        <v>1.2655944708530775E-2</v>
      </c>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row>
    <row r="55" spans="1:104" s="64" customFormat="1">
      <c r="A55" s="255" t="s">
        <v>253</v>
      </c>
      <c r="B55" s="323" t="s">
        <v>221</v>
      </c>
      <c r="C55" s="89">
        <f>13</f>
        <v>13</v>
      </c>
      <c r="D55" s="89">
        <v>6</v>
      </c>
      <c r="E55" s="89">
        <v>3</v>
      </c>
      <c r="F55" s="89">
        <v>3</v>
      </c>
      <c r="G55" s="89">
        <v>3</v>
      </c>
      <c r="H55" s="89">
        <f>14+7</f>
        <v>21</v>
      </c>
      <c r="I55" s="89">
        <f>17+7</f>
        <v>24</v>
      </c>
      <c r="J55" s="89">
        <f>8+7</f>
        <v>15</v>
      </c>
      <c r="K55" s="89">
        <f>18+7</f>
        <v>25</v>
      </c>
      <c r="L55" s="89">
        <v>6</v>
      </c>
      <c r="M55" s="89">
        <f>20+5</f>
        <v>25</v>
      </c>
      <c r="N55" s="89">
        <f>14+6</f>
        <v>20</v>
      </c>
      <c r="O55" s="89">
        <v>6</v>
      </c>
      <c r="P55" s="89">
        <v>6</v>
      </c>
      <c r="Q55" s="89">
        <v>6</v>
      </c>
      <c r="R55" s="89">
        <v>5</v>
      </c>
      <c r="S55" s="89">
        <v>2</v>
      </c>
      <c r="T55" s="89">
        <f>12+1</f>
        <v>13</v>
      </c>
      <c r="U55" s="89">
        <v>1</v>
      </c>
      <c r="V55" s="89">
        <v>1</v>
      </c>
      <c r="W55" s="89">
        <v>1</v>
      </c>
      <c r="X55" s="135">
        <f t="shared" ca="1" si="21"/>
        <v>205.08506228460507</v>
      </c>
      <c r="Y55" s="90">
        <v>32</v>
      </c>
      <c r="Z55" s="138">
        <f t="shared" ca="1" si="22"/>
        <v>237.08506228460507</v>
      </c>
      <c r="AA55" s="87">
        <f ca="1">COUNTIF(Teams!$4:$20,B55)</f>
        <v>2</v>
      </c>
      <c r="AB55" s="87">
        <f t="shared" ca="1" si="12"/>
        <v>10</v>
      </c>
      <c r="AC55" s="151">
        <v>54</v>
      </c>
      <c r="AD55" s="60" t="str">
        <f t="shared" ca="1" si="13"/>
        <v>Bodnar</v>
      </c>
      <c r="AE55" s="158">
        <f t="shared" ca="1" si="14"/>
        <v>6.905920733659354E-3</v>
      </c>
    </row>
    <row r="56" spans="1:104" s="63" customFormat="1">
      <c r="A56" s="256"/>
      <c r="B56" s="325"/>
      <c r="C56" s="92"/>
      <c r="D56" s="92"/>
      <c r="E56" s="92"/>
      <c r="F56" s="92"/>
      <c r="G56" s="92"/>
      <c r="H56" s="92"/>
      <c r="I56" s="92"/>
      <c r="J56" s="92"/>
      <c r="K56" s="92"/>
      <c r="L56" s="92"/>
      <c r="M56" s="92"/>
      <c r="N56" s="92"/>
      <c r="O56" s="92"/>
      <c r="P56" s="92"/>
      <c r="Q56" s="92"/>
      <c r="R56" s="92"/>
      <c r="S56" s="92"/>
      <c r="T56" s="92"/>
      <c r="U56" s="92"/>
      <c r="V56" s="92"/>
      <c r="W56" s="92"/>
      <c r="X56" s="136"/>
      <c r="Y56" s="91"/>
      <c r="Z56" s="136"/>
      <c r="AA56" s="87"/>
      <c r="AB56" s="87"/>
      <c r="AC56" s="151"/>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row>
    <row r="57" spans="1:104" s="61" customFormat="1">
      <c r="A57" s="256"/>
      <c r="B57" s="325"/>
      <c r="C57" s="92"/>
      <c r="D57" s="92"/>
      <c r="E57" s="92"/>
      <c r="F57" s="92"/>
      <c r="G57" s="92"/>
      <c r="H57" s="92"/>
      <c r="I57" s="92"/>
      <c r="J57" s="92"/>
      <c r="K57" s="92"/>
      <c r="L57" s="92"/>
      <c r="M57" s="92"/>
      <c r="N57" s="92"/>
      <c r="O57" s="92"/>
      <c r="P57" s="92"/>
      <c r="Q57" s="92"/>
      <c r="R57" s="92"/>
      <c r="S57" s="92"/>
      <c r="T57" s="92"/>
      <c r="U57" s="92"/>
      <c r="V57" s="92"/>
      <c r="W57" s="92"/>
      <c r="X57" s="136"/>
      <c r="Y57" s="91"/>
      <c r="Z57" s="136"/>
      <c r="AA57" s="87"/>
      <c r="AB57" s="87"/>
      <c r="AC57" s="151"/>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row>
    <row r="58" spans="1:104" s="63" customFormat="1">
      <c r="A58" s="256"/>
      <c r="B58" s="325"/>
      <c r="C58" s="92"/>
      <c r="D58" s="92"/>
      <c r="E58" s="92"/>
      <c r="F58" s="92"/>
      <c r="G58" s="92"/>
      <c r="H58" s="92"/>
      <c r="I58" s="92"/>
      <c r="J58" s="92"/>
      <c r="K58" s="92"/>
      <c r="L58" s="92"/>
      <c r="M58" s="92"/>
      <c r="N58" s="92"/>
      <c r="O58" s="92"/>
      <c r="P58" s="92"/>
      <c r="Q58" s="92"/>
      <c r="R58" s="92"/>
      <c r="S58" s="92"/>
      <c r="T58" s="92"/>
      <c r="U58" s="92"/>
      <c r="V58" s="92"/>
      <c r="W58" s="92"/>
      <c r="X58" s="136"/>
      <c r="Y58" s="91"/>
      <c r="Z58" s="136"/>
      <c r="AA58" s="87"/>
      <c r="AB58" s="87"/>
      <c r="AC58" s="151"/>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row>
    <row r="59" spans="1:104" s="61" customFormat="1">
      <c r="A59" s="256"/>
      <c r="B59" s="325"/>
      <c r="C59" s="92"/>
      <c r="D59" s="92"/>
      <c r="E59" s="92"/>
      <c r="F59" s="92"/>
      <c r="G59" s="92"/>
      <c r="H59" s="92"/>
      <c r="I59" s="92"/>
      <c r="J59" s="92"/>
      <c r="K59" s="93" t="s">
        <v>21</v>
      </c>
      <c r="L59" s="93"/>
      <c r="M59" s="92"/>
      <c r="N59" s="92"/>
      <c r="O59" s="92"/>
      <c r="P59" s="92"/>
      <c r="Q59" s="92"/>
      <c r="R59" s="92"/>
      <c r="S59" s="92"/>
      <c r="T59" s="92"/>
      <c r="U59" s="92"/>
      <c r="V59" s="92"/>
      <c r="W59" s="92"/>
      <c r="X59" s="136"/>
      <c r="Y59" s="91"/>
      <c r="Z59" s="136"/>
      <c r="AA59" s="87"/>
      <c r="AB59" s="87"/>
      <c r="AC59" s="151"/>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row>
    <row r="60" spans="1:104" s="63" customFormat="1" ht="62.4">
      <c r="A60" s="257"/>
      <c r="B60" s="321"/>
      <c r="C60" s="71"/>
      <c r="D60" s="71"/>
      <c r="E60" s="75" t="s">
        <v>17</v>
      </c>
      <c r="F60" s="76" t="s">
        <v>16</v>
      </c>
      <c r="G60" s="76" t="s">
        <v>18</v>
      </c>
      <c r="H60" s="79" t="s">
        <v>19</v>
      </c>
      <c r="I60" s="79" t="s">
        <v>20</v>
      </c>
      <c r="J60" s="79" t="s">
        <v>125</v>
      </c>
      <c r="K60" s="75"/>
      <c r="L60" s="75" t="s">
        <v>51</v>
      </c>
      <c r="M60" s="76" t="s">
        <v>20</v>
      </c>
      <c r="N60" s="79" t="s">
        <v>50</v>
      </c>
      <c r="O60" s="79" t="s">
        <v>125</v>
      </c>
      <c r="P60" s="71"/>
      <c r="Q60" s="71"/>
      <c r="R60" s="73"/>
      <c r="S60" s="84"/>
      <c r="T60" s="84"/>
      <c r="U60" s="83"/>
      <c r="V60" s="73"/>
      <c r="W60" s="73"/>
      <c r="X60" s="133"/>
      <c r="Y60" s="59"/>
      <c r="Z60" s="31"/>
      <c r="AA60" s="87"/>
      <c r="AB60" s="87"/>
      <c r="AC60" s="151"/>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row>
    <row r="61" spans="1:104" s="63" customFormat="1" ht="15.6">
      <c r="A61" s="257"/>
      <c r="B61" s="321"/>
      <c r="C61" s="71"/>
      <c r="D61" s="71"/>
      <c r="E61" s="75">
        <v>1</v>
      </c>
      <c r="F61" s="76">
        <v>35</v>
      </c>
      <c r="G61" s="76">
        <v>10</v>
      </c>
      <c r="H61" s="79">
        <v>5</v>
      </c>
      <c r="I61" s="79">
        <v>5</v>
      </c>
      <c r="J61" s="79">
        <v>5</v>
      </c>
      <c r="K61" s="75">
        <v>1</v>
      </c>
      <c r="L61" s="75">
        <v>70</v>
      </c>
      <c r="M61" s="76">
        <v>10</v>
      </c>
      <c r="N61" s="79">
        <v>10</v>
      </c>
      <c r="O61" s="79">
        <v>10</v>
      </c>
      <c r="P61" s="71"/>
      <c r="Q61" s="71"/>
      <c r="R61" s="73"/>
      <c r="S61" s="84"/>
      <c r="T61" s="84"/>
      <c r="U61" s="83"/>
      <c r="V61" s="73"/>
      <c r="W61" s="73"/>
      <c r="X61" s="133"/>
      <c r="Y61" s="59"/>
      <c r="Z61" s="31"/>
      <c r="AA61" s="87"/>
      <c r="AB61" s="87"/>
      <c r="AC61" s="151"/>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row>
    <row r="62" spans="1:104" s="63" customFormat="1" ht="15.6">
      <c r="A62" s="257"/>
      <c r="B62" s="321"/>
      <c r="C62" s="71"/>
      <c r="D62" s="71"/>
      <c r="E62" s="75">
        <v>2</v>
      </c>
      <c r="F62" s="76">
        <v>30</v>
      </c>
      <c r="G62" s="76">
        <v>9</v>
      </c>
      <c r="H62" s="79">
        <v>4</v>
      </c>
      <c r="I62" s="79">
        <v>4</v>
      </c>
      <c r="J62" s="79">
        <v>4</v>
      </c>
      <c r="K62" s="75">
        <v>2</v>
      </c>
      <c r="L62" s="75">
        <v>60</v>
      </c>
      <c r="M62" s="76">
        <v>7</v>
      </c>
      <c r="N62" s="79">
        <v>7</v>
      </c>
      <c r="O62" s="79">
        <v>7</v>
      </c>
      <c r="P62" s="71"/>
      <c r="Q62" s="71"/>
      <c r="R62" s="73"/>
      <c r="S62" s="84"/>
      <c r="T62" s="84"/>
      <c r="U62" s="83"/>
      <c r="V62" s="73"/>
      <c r="W62" s="73"/>
      <c r="X62" s="133"/>
      <c r="Y62" s="59"/>
      <c r="Z62" s="31"/>
      <c r="AA62" s="87"/>
      <c r="AB62" s="87"/>
      <c r="AC62" s="151"/>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row>
    <row r="63" spans="1:104" s="63" customFormat="1" ht="15.6">
      <c r="A63" s="257"/>
      <c r="B63" s="321"/>
      <c r="C63" s="71"/>
      <c r="D63" s="71"/>
      <c r="E63" s="75">
        <v>3</v>
      </c>
      <c r="F63" s="76">
        <v>26</v>
      </c>
      <c r="G63" s="76">
        <v>8</v>
      </c>
      <c r="H63" s="79">
        <v>3</v>
      </c>
      <c r="I63" s="79">
        <v>3</v>
      </c>
      <c r="J63" s="79">
        <v>3</v>
      </c>
      <c r="K63" s="75">
        <v>3</v>
      </c>
      <c r="L63" s="75">
        <v>52</v>
      </c>
      <c r="M63" s="76">
        <v>5</v>
      </c>
      <c r="N63" s="79">
        <v>5</v>
      </c>
      <c r="O63" s="79">
        <v>5</v>
      </c>
      <c r="P63" s="71"/>
      <c r="Q63" s="71"/>
      <c r="R63" s="73"/>
      <c r="S63" s="84"/>
      <c r="T63" s="84"/>
      <c r="U63" s="83"/>
      <c r="V63" s="73"/>
      <c r="W63" s="73"/>
      <c r="X63" s="133"/>
      <c r="Y63" s="59"/>
      <c r="Z63" s="31"/>
      <c r="AA63" s="87"/>
      <c r="AB63" s="87"/>
      <c r="AC63" s="151"/>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row>
    <row r="64" spans="1:104" s="63" customFormat="1" ht="15.6">
      <c r="A64" s="257"/>
      <c r="B64" s="321"/>
      <c r="C64" s="71"/>
      <c r="D64" s="71"/>
      <c r="E64" s="75">
        <v>4</v>
      </c>
      <c r="F64" s="76">
        <v>24</v>
      </c>
      <c r="G64" s="76">
        <v>7</v>
      </c>
      <c r="H64" s="79">
        <v>2</v>
      </c>
      <c r="I64" s="79">
        <v>2</v>
      </c>
      <c r="J64" s="79">
        <v>2</v>
      </c>
      <c r="K64" s="75">
        <v>4</v>
      </c>
      <c r="L64" s="75">
        <v>48</v>
      </c>
      <c r="M64" s="76">
        <v>3</v>
      </c>
      <c r="N64" s="79">
        <v>3</v>
      </c>
      <c r="O64" s="79">
        <v>3</v>
      </c>
      <c r="P64" s="71"/>
      <c r="Q64" s="71"/>
      <c r="R64" s="73"/>
      <c r="S64" s="84"/>
      <c r="T64" s="84"/>
      <c r="U64" s="83"/>
      <c r="V64" s="73"/>
      <c r="W64" s="73"/>
      <c r="X64" s="133"/>
      <c r="Y64" s="59"/>
      <c r="Z64" s="31"/>
      <c r="AA64" s="87"/>
      <c r="AB64" s="87"/>
      <c r="AC64" s="151"/>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s="63" customFormat="1" ht="15.6">
      <c r="A65" s="257"/>
      <c r="B65" s="321"/>
      <c r="C65" s="71"/>
      <c r="D65" s="71"/>
      <c r="E65" s="75">
        <v>5</v>
      </c>
      <c r="F65" s="76">
        <v>22</v>
      </c>
      <c r="G65" s="76">
        <v>6</v>
      </c>
      <c r="H65" s="79">
        <v>1</v>
      </c>
      <c r="I65" s="79">
        <v>1</v>
      </c>
      <c r="J65" s="79">
        <v>1</v>
      </c>
      <c r="K65" s="75">
        <v>5</v>
      </c>
      <c r="L65" s="75">
        <v>44</v>
      </c>
      <c r="M65" s="76">
        <v>1</v>
      </c>
      <c r="N65" s="79">
        <v>1</v>
      </c>
      <c r="O65" s="79">
        <v>1</v>
      </c>
      <c r="P65" s="71"/>
      <c r="Q65" s="71"/>
      <c r="R65" s="73"/>
      <c r="S65" s="84"/>
      <c r="T65" s="84"/>
      <c r="U65" s="83"/>
      <c r="V65" s="73"/>
      <c r="W65" s="73"/>
      <c r="X65" s="133"/>
      <c r="Y65" s="59"/>
      <c r="Z65" s="31"/>
      <c r="AA65" s="87"/>
      <c r="AB65" s="87"/>
      <c r="AC65" s="151"/>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row>
    <row r="66" spans="1:104" s="63" customFormat="1" ht="15.6">
      <c r="A66" s="257"/>
      <c r="B66" s="321"/>
      <c r="C66" s="71"/>
      <c r="D66" s="71"/>
      <c r="E66" s="75">
        <v>6</v>
      </c>
      <c r="F66" s="76">
        <v>20</v>
      </c>
      <c r="G66" s="76">
        <v>5</v>
      </c>
      <c r="H66" s="79"/>
      <c r="I66" s="79"/>
      <c r="J66" s="71"/>
      <c r="K66" s="75">
        <v>6</v>
      </c>
      <c r="L66" s="75">
        <v>40</v>
      </c>
      <c r="M66" s="76"/>
      <c r="N66" s="79"/>
      <c r="O66" s="71"/>
      <c r="P66" s="71"/>
      <c r="Q66" s="71"/>
      <c r="R66" s="73"/>
      <c r="S66" s="84"/>
      <c r="T66" s="84"/>
      <c r="U66" s="83"/>
      <c r="V66" s="73"/>
      <c r="W66" s="73"/>
      <c r="X66" s="133"/>
      <c r="Y66" s="59"/>
      <c r="Z66" s="31"/>
      <c r="AA66" s="87"/>
      <c r="AB66" s="87"/>
      <c r="AC66" s="151"/>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row>
    <row r="67" spans="1:104" s="61" customFormat="1" ht="15.6">
      <c r="A67" s="257"/>
      <c r="B67" s="321"/>
      <c r="C67" s="71"/>
      <c r="D67" s="71"/>
      <c r="E67" s="75">
        <v>7</v>
      </c>
      <c r="F67" s="76">
        <v>19</v>
      </c>
      <c r="G67" s="76">
        <v>4</v>
      </c>
      <c r="H67" s="79"/>
      <c r="I67" s="79"/>
      <c r="J67" s="71"/>
      <c r="K67" s="75">
        <v>7</v>
      </c>
      <c r="L67" s="75">
        <v>38</v>
      </c>
      <c r="M67" s="76"/>
      <c r="N67" s="79"/>
      <c r="O67" s="71"/>
      <c r="P67" s="71"/>
      <c r="Q67" s="71"/>
      <c r="R67" s="73"/>
      <c r="S67" s="84"/>
      <c r="T67" s="84"/>
      <c r="U67" s="83"/>
      <c r="V67" s="73"/>
      <c r="W67" s="73"/>
      <c r="X67" s="133"/>
      <c r="Y67" s="59"/>
      <c r="Z67" s="31"/>
      <c r="AA67" s="87"/>
      <c r="AB67" s="87"/>
      <c r="AC67" s="151"/>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row>
    <row r="68" spans="1:104" s="67" customFormat="1" ht="15.6">
      <c r="A68" s="257"/>
      <c r="B68" s="321"/>
      <c r="C68" s="71"/>
      <c r="D68" s="71"/>
      <c r="E68" s="75">
        <v>8</v>
      </c>
      <c r="F68" s="76">
        <v>18</v>
      </c>
      <c r="G68" s="76">
        <v>3</v>
      </c>
      <c r="H68" s="79"/>
      <c r="I68" s="79"/>
      <c r="J68" s="71"/>
      <c r="K68" s="75">
        <v>8</v>
      </c>
      <c r="L68" s="75">
        <v>36</v>
      </c>
      <c r="M68" s="76"/>
      <c r="N68" s="79"/>
      <c r="O68" s="71"/>
      <c r="P68" s="71"/>
      <c r="Q68" s="71"/>
      <c r="R68" s="73"/>
      <c r="S68" s="84"/>
      <c r="T68" s="84"/>
      <c r="U68" s="83"/>
      <c r="V68" s="73"/>
      <c r="W68" s="73"/>
      <c r="X68" s="133"/>
      <c r="Y68" s="59"/>
      <c r="Z68" s="31"/>
      <c r="AA68" s="87"/>
      <c r="AB68" s="87"/>
      <c r="AC68" s="151"/>
      <c r="AD68" s="60"/>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row>
    <row r="69" spans="1:104" s="61" customFormat="1" ht="15.6">
      <c r="A69" s="257"/>
      <c r="B69" s="321"/>
      <c r="C69" s="71"/>
      <c r="D69" s="71"/>
      <c r="E69" s="77">
        <v>9</v>
      </c>
      <c r="F69" s="78">
        <v>17</v>
      </c>
      <c r="G69" s="78">
        <v>2</v>
      </c>
      <c r="H69" s="79"/>
      <c r="I69" s="79"/>
      <c r="J69" s="71"/>
      <c r="K69" s="77">
        <v>9</v>
      </c>
      <c r="L69" s="77">
        <v>34</v>
      </c>
      <c r="M69" s="76"/>
      <c r="N69" s="79"/>
      <c r="O69" s="71"/>
      <c r="P69" s="71"/>
      <c r="Q69" s="71"/>
      <c r="R69" s="73"/>
      <c r="S69" s="70"/>
      <c r="T69" s="70"/>
      <c r="U69" s="83"/>
      <c r="V69" s="73"/>
      <c r="W69" s="73"/>
      <c r="X69" s="133"/>
      <c r="Y69" s="59"/>
      <c r="Z69" s="31"/>
      <c r="AA69" s="87"/>
      <c r="AB69" s="87"/>
      <c r="AC69" s="151"/>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row>
    <row r="70" spans="1:104" s="63" customFormat="1" ht="15.6">
      <c r="A70" s="257"/>
      <c r="B70" s="321"/>
      <c r="C70" s="71"/>
      <c r="D70" s="71"/>
      <c r="E70" s="75">
        <v>10</v>
      </c>
      <c r="F70" s="76">
        <v>16</v>
      </c>
      <c r="G70" s="79">
        <v>1</v>
      </c>
      <c r="H70" s="79"/>
      <c r="I70" s="79"/>
      <c r="J70" s="71"/>
      <c r="K70" s="75">
        <v>10</v>
      </c>
      <c r="L70" s="75">
        <v>32</v>
      </c>
      <c r="M70" s="79"/>
      <c r="N70" s="79"/>
      <c r="O70" s="71"/>
      <c r="P70" s="71"/>
      <c r="Q70" s="71"/>
      <c r="R70" s="73"/>
      <c r="S70" s="71"/>
      <c r="T70" s="71"/>
      <c r="U70" s="83"/>
      <c r="V70" s="73"/>
      <c r="W70" s="73"/>
      <c r="X70" s="133"/>
      <c r="Y70" s="59"/>
      <c r="Z70" s="31"/>
      <c r="AA70" s="87"/>
      <c r="AB70" s="87"/>
      <c r="AC70" s="151"/>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row>
    <row r="71" spans="1:104" s="61" customFormat="1" ht="15.6">
      <c r="A71" s="257"/>
      <c r="B71" s="321"/>
      <c r="C71" s="71"/>
      <c r="D71" s="71"/>
      <c r="E71" s="75">
        <v>11</v>
      </c>
      <c r="F71" s="76">
        <v>15</v>
      </c>
      <c r="G71" s="79"/>
      <c r="H71" s="79"/>
      <c r="I71" s="79"/>
      <c r="J71" s="71"/>
      <c r="K71" s="75">
        <v>11</v>
      </c>
      <c r="L71" s="75">
        <v>30</v>
      </c>
      <c r="M71" s="79"/>
      <c r="N71" s="79"/>
      <c r="O71" s="71"/>
      <c r="P71" s="71"/>
      <c r="Q71" s="71"/>
      <c r="R71" s="73"/>
      <c r="S71" s="71"/>
      <c r="T71" s="71"/>
      <c r="U71" s="72"/>
      <c r="V71" s="73"/>
      <c r="W71" s="73"/>
      <c r="X71" s="133"/>
      <c r="Y71" s="59"/>
      <c r="Z71" s="31"/>
      <c r="AA71" s="87"/>
      <c r="AB71" s="87"/>
      <c r="AC71" s="151"/>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row>
    <row r="72" spans="1:104" s="63" customFormat="1" ht="15.6">
      <c r="A72" s="257"/>
      <c r="B72" s="321"/>
      <c r="C72" s="71"/>
      <c r="D72" s="71"/>
      <c r="E72" s="75">
        <v>12</v>
      </c>
      <c r="F72" s="76">
        <v>14</v>
      </c>
      <c r="G72" s="79"/>
      <c r="H72" s="79"/>
      <c r="I72" s="79"/>
      <c r="J72" s="71"/>
      <c r="K72" s="75">
        <v>12</v>
      </c>
      <c r="L72" s="75">
        <v>28</v>
      </c>
      <c r="M72" s="79"/>
      <c r="N72" s="79"/>
      <c r="O72" s="71"/>
      <c r="P72" s="71"/>
      <c r="Q72" s="71"/>
      <c r="R72" s="73"/>
      <c r="S72" s="71"/>
      <c r="T72" s="71"/>
      <c r="U72" s="73"/>
      <c r="V72" s="73"/>
      <c r="W72" s="73"/>
      <c r="X72" s="133"/>
      <c r="Y72" s="59"/>
      <c r="Z72" s="31"/>
      <c r="AA72" s="87"/>
      <c r="AB72" s="87"/>
      <c r="AC72" s="151"/>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s="61" customFormat="1" ht="15.6">
      <c r="A73" s="257"/>
      <c r="B73" s="321"/>
      <c r="C73" s="71"/>
      <c r="D73" s="71"/>
      <c r="E73" s="75">
        <v>13</v>
      </c>
      <c r="F73" s="76">
        <v>13</v>
      </c>
      <c r="G73" s="79"/>
      <c r="H73" s="79"/>
      <c r="I73" s="79"/>
      <c r="J73" s="71"/>
      <c r="K73" s="75">
        <v>13</v>
      </c>
      <c r="L73" s="75">
        <v>26</v>
      </c>
      <c r="M73" s="79"/>
      <c r="N73" s="79"/>
      <c r="O73" s="71"/>
      <c r="P73" s="71"/>
      <c r="Q73" s="71"/>
      <c r="R73" s="73"/>
      <c r="S73" s="71"/>
      <c r="T73" s="71"/>
      <c r="U73" s="73"/>
      <c r="V73" s="73"/>
      <c r="W73" s="73"/>
      <c r="X73" s="133"/>
      <c r="Y73" s="59"/>
      <c r="Z73" s="31"/>
      <c r="AA73" s="87"/>
      <c r="AB73" s="87"/>
      <c r="AC73" s="151"/>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row>
    <row r="74" spans="1:104" s="63" customFormat="1" ht="15.6">
      <c r="A74" s="257"/>
      <c r="B74" s="321"/>
      <c r="C74" s="71"/>
      <c r="D74" s="71"/>
      <c r="E74" s="77">
        <v>14</v>
      </c>
      <c r="F74" s="78">
        <v>12</v>
      </c>
      <c r="G74" s="79"/>
      <c r="H74" s="79"/>
      <c r="I74" s="79"/>
      <c r="J74" s="71"/>
      <c r="K74" s="77">
        <v>14</v>
      </c>
      <c r="L74" s="77">
        <v>24</v>
      </c>
      <c r="M74" s="79"/>
      <c r="N74" s="79"/>
      <c r="O74" s="71"/>
      <c r="P74" s="71"/>
      <c r="Q74" s="71"/>
      <c r="R74" s="73"/>
      <c r="S74" s="71"/>
      <c r="T74" s="71"/>
      <c r="U74" s="73"/>
      <c r="V74" s="73"/>
      <c r="W74" s="73"/>
      <c r="X74" s="133"/>
      <c r="Y74" s="59"/>
      <c r="Z74" s="31"/>
      <c r="AA74" s="87"/>
      <c r="AB74" s="87"/>
      <c r="AC74" s="151"/>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row>
    <row r="75" spans="1:104" s="63" customFormat="1" ht="15.6">
      <c r="A75" s="257"/>
      <c r="B75" s="321"/>
      <c r="C75" s="71"/>
      <c r="D75" s="71"/>
      <c r="E75" s="75">
        <v>15</v>
      </c>
      <c r="F75" s="76">
        <v>11</v>
      </c>
      <c r="G75" s="79"/>
      <c r="H75" s="79"/>
      <c r="I75" s="79"/>
      <c r="J75" s="71"/>
      <c r="K75" s="75">
        <v>15</v>
      </c>
      <c r="L75" s="75">
        <v>22</v>
      </c>
      <c r="M75" s="79"/>
      <c r="N75" s="79"/>
      <c r="O75" s="71"/>
      <c r="P75" s="71"/>
      <c r="Q75" s="71"/>
      <c r="R75" s="73"/>
      <c r="S75" s="71"/>
      <c r="T75" s="71"/>
      <c r="U75" s="73"/>
      <c r="V75" s="73"/>
      <c r="W75" s="73"/>
      <c r="X75" s="133"/>
      <c r="Y75" s="59"/>
      <c r="Z75" s="31"/>
      <c r="AA75" s="87"/>
      <c r="AB75" s="87">
        <v>0</v>
      </c>
      <c r="AC75" s="151"/>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row>
    <row r="76" spans="1:104" s="63" customFormat="1" ht="15.6">
      <c r="A76" s="257"/>
      <c r="B76" s="321"/>
      <c r="C76" s="71"/>
      <c r="D76" s="71"/>
      <c r="E76" s="75">
        <v>16</v>
      </c>
      <c r="F76" s="76">
        <v>10</v>
      </c>
      <c r="G76" s="79"/>
      <c r="H76" s="79"/>
      <c r="I76" s="79"/>
      <c r="J76" s="71"/>
      <c r="K76" s="75">
        <v>16</v>
      </c>
      <c r="L76" s="75">
        <v>20</v>
      </c>
      <c r="M76" s="79"/>
      <c r="N76" s="79"/>
      <c r="O76" s="71"/>
      <c r="P76" s="71"/>
      <c r="Q76" s="71"/>
      <c r="R76" s="73"/>
      <c r="S76" s="71"/>
      <c r="T76" s="71"/>
      <c r="U76" s="73"/>
      <c r="V76" s="73"/>
      <c r="W76" s="73"/>
      <c r="X76" s="133"/>
      <c r="Y76" s="59"/>
      <c r="Z76" s="31"/>
      <c r="AA76" s="87"/>
      <c r="AB76" s="87">
        <v>0</v>
      </c>
      <c r="AC76" s="151"/>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row>
    <row r="77" spans="1:104" s="61" customFormat="1" ht="15.6">
      <c r="A77" s="257"/>
      <c r="B77" s="321"/>
      <c r="C77" s="71"/>
      <c r="D77" s="71"/>
      <c r="E77" s="75">
        <v>17</v>
      </c>
      <c r="F77" s="76">
        <v>9</v>
      </c>
      <c r="G77" s="79"/>
      <c r="H77" s="79"/>
      <c r="I77" s="79"/>
      <c r="J77" s="71"/>
      <c r="K77" s="75">
        <v>17</v>
      </c>
      <c r="L77" s="75">
        <v>18</v>
      </c>
      <c r="M77" s="79"/>
      <c r="N77" s="79"/>
      <c r="O77" s="71"/>
      <c r="P77" s="71"/>
      <c r="Q77" s="71"/>
      <c r="R77" s="73"/>
      <c r="S77" s="71"/>
      <c r="T77" s="71"/>
      <c r="U77" s="73"/>
      <c r="V77" s="73"/>
      <c r="W77" s="73"/>
      <c r="X77" s="133"/>
      <c r="Y77" s="59"/>
      <c r="Z77" s="31"/>
      <c r="AA77" s="87"/>
      <c r="AB77" s="87"/>
      <c r="AC77" s="151"/>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row>
    <row r="78" spans="1:104" s="63" customFormat="1" ht="15.6">
      <c r="A78" s="257"/>
      <c r="B78" s="321"/>
      <c r="C78" s="71"/>
      <c r="D78" s="71"/>
      <c r="E78" s="75">
        <v>18</v>
      </c>
      <c r="F78" s="76">
        <v>8</v>
      </c>
      <c r="G78" s="79"/>
      <c r="H78" s="79"/>
      <c r="I78" s="79"/>
      <c r="J78" s="71"/>
      <c r="K78" s="75">
        <v>18</v>
      </c>
      <c r="L78" s="75">
        <v>16</v>
      </c>
      <c r="M78" s="79"/>
      <c r="N78" s="79"/>
      <c r="O78" s="71"/>
      <c r="P78" s="71"/>
      <c r="Q78" s="71"/>
      <c r="R78" s="73"/>
      <c r="S78" s="71"/>
      <c r="T78" s="71"/>
      <c r="U78" s="73"/>
      <c r="V78" s="73"/>
      <c r="W78" s="73"/>
      <c r="X78" s="133"/>
      <c r="Y78" s="59"/>
      <c r="Z78" s="31"/>
      <c r="AA78" s="87"/>
      <c r="AB78" s="87"/>
      <c r="AC78" s="151"/>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row>
    <row r="79" spans="1:104" s="61" customFormat="1" ht="15.6">
      <c r="A79" s="257"/>
      <c r="B79" s="321"/>
      <c r="C79" s="71"/>
      <c r="D79" s="71"/>
      <c r="E79" s="75">
        <v>19</v>
      </c>
      <c r="F79" s="76">
        <v>7</v>
      </c>
      <c r="G79" s="79"/>
      <c r="H79" s="79"/>
      <c r="I79" s="79"/>
      <c r="J79" s="71"/>
      <c r="K79" s="75">
        <v>19</v>
      </c>
      <c r="L79" s="75">
        <v>14</v>
      </c>
      <c r="M79" s="79"/>
      <c r="N79" s="79"/>
      <c r="O79" s="71"/>
      <c r="P79" s="71"/>
      <c r="Q79" s="71"/>
      <c r="R79" s="73"/>
      <c r="S79" s="71"/>
      <c r="T79" s="71"/>
      <c r="U79" s="73"/>
      <c r="V79" s="73"/>
      <c r="W79" s="73"/>
      <c r="X79" s="133"/>
      <c r="Y79" s="59"/>
      <c r="Z79" s="31"/>
      <c r="AA79" s="87"/>
      <c r="AB79" s="87"/>
      <c r="AC79" s="151"/>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row>
    <row r="80" spans="1:104" s="68" customFormat="1">
      <c r="A80" s="257"/>
      <c r="B80" s="321"/>
      <c r="C80" s="71"/>
      <c r="D80" s="71"/>
      <c r="E80" s="74">
        <v>20</v>
      </c>
      <c r="F80" s="73">
        <v>6</v>
      </c>
      <c r="G80" s="73"/>
      <c r="H80" s="73"/>
      <c r="I80" s="71"/>
      <c r="J80" s="71"/>
      <c r="K80" s="71">
        <v>20</v>
      </c>
      <c r="L80" s="71">
        <v>12</v>
      </c>
      <c r="M80" s="71"/>
      <c r="N80" s="71"/>
      <c r="O80" s="71"/>
      <c r="P80" s="71"/>
      <c r="Q80" s="71"/>
      <c r="R80" s="73"/>
      <c r="S80" s="71"/>
      <c r="T80" s="71"/>
      <c r="U80" s="73"/>
      <c r="V80" s="73"/>
      <c r="W80" s="73"/>
      <c r="X80" s="133"/>
      <c r="Y80" s="59"/>
      <c r="Z80" s="31"/>
      <c r="AA80" s="87"/>
      <c r="AB80" s="87"/>
      <c r="AC80" s="151"/>
      <c r="AD80" s="61"/>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row>
    <row r="81" spans="1:104" s="61" customFormat="1">
      <c r="A81" s="257"/>
      <c r="B81" s="321"/>
      <c r="C81" s="71"/>
      <c r="D81" s="71"/>
      <c r="E81" s="74"/>
      <c r="F81" s="73"/>
      <c r="G81" s="73"/>
      <c r="H81" s="73"/>
      <c r="I81" s="71"/>
      <c r="J81" s="71"/>
      <c r="K81" s="71"/>
      <c r="L81" s="71"/>
      <c r="M81" s="71"/>
      <c r="N81" s="71"/>
      <c r="O81" s="71"/>
      <c r="P81" s="71"/>
      <c r="Q81" s="71"/>
      <c r="R81" s="73"/>
      <c r="S81" s="71"/>
      <c r="T81" s="71"/>
      <c r="U81" s="73"/>
      <c r="V81" s="73"/>
      <c r="W81" s="73"/>
      <c r="X81" s="133"/>
      <c r="Y81" s="59"/>
      <c r="Z81" s="31"/>
      <c r="AA81" s="87"/>
      <c r="AB81" s="87"/>
      <c r="AC81" s="151"/>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row>
    <row r="82" spans="1:104" s="63" customFormat="1">
      <c r="A82" s="257"/>
      <c r="B82" s="321"/>
      <c r="C82" s="71"/>
      <c r="D82" s="71"/>
      <c r="E82" s="74"/>
      <c r="F82" s="73"/>
      <c r="G82" s="73"/>
      <c r="H82" s="73"/>
      <c r="I82" s="71"/>
      <c r="J82" s="71"/>
      <c r="K82" s="71"/>
      <c r="L82" s="71"/>
      <c r="M82" s="71"/>
      <c r="N82" s="71"/>
      <c r="O82" s="71"/>
      <c r="P82" s="71"/>
      <c r="Q82" s="71"/>
      <c r="R82" s="73"/>
      <c r="S82" s="71"/>
      <c r="T82" s="71"/>
      <c r="U82" s="73"/>
      <c r="V82" s="73"/>
      <c r="W82" s="73"/>
      <c r="X82" s="133"/>
      <c r="Y82" s="59"/>
      <c r="Z82" s="31"/>
      <c r="AA82" s="87"/>
      <c r="AB82" s="87"/>
      <c r="AC82" s="151"/>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row>
  </sheetData>
  <sortState xmlns:xlrd2="http://schemas.microsoft.com/office/spreadsheetml/2017/richdata2" ref="C83:C133">
    <sortCondition ref="C133"/>
  </sortState>
  <phoneticPr fontId="0" type="noConversion"/>
  <pageMargins left="0.75" right="0.75" top="1" bottom="1" header="0.5" footer="0.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Z34"/>
  <sheetViews>
    <sheetView showZeros="0" zoomScale="85" workbookViewId="0">
      <selection activeCell="AB31" sqref="AB31"/>
    </sheetView>
  </sheetViews>
  <sheetFormatPr defaultColWidth="9.33203125" defaultRowHeight="12.6"/>
  <cols>
    <col min="1" max="1" width="12" style="20" customWidth="1"/>
    <col min="2" max="2" width="5.88671875" style="18" customWidth="1"/>
    <col min="3" max="3" width="11" style="20" customWidth="1"/>
    <col min="4" max="4" width="10.109375" style="19" customWidth="1"/>
    <col min="5" max="5" width="11" style="20" customWidth="1"/>
    <col min="6" max="6" width="5.6640625" style="19" customWidth="1"/>
    <col min="7" max="7" width="11" style="20" customWidth="1"/>
    <col min="8" max="8" width="5.6640625" style="18" customWidth="1"/>
    <col min="9" max="9" width="11" style="20" customWidth="1"/>
    <col min="10" max="10" width="6.33203125" style="18" customWidth="1"/>
    <col min="11" max="11" width="11" style="20" customWidth="1"/>
    <col min="12" max="12" width="5.44140625" style="18" customWidth="1"/>
    <col min="13" max="13" width="11" style="20" customWidth="1"/>
    <col min="14" max="14" width="4.88671875" style="18" customWidth="1"/>
    <col min="15" max="15" width="11" style="20" customWidth="1"/>
    <col min="16" max="16" width="5.6640625" style="18" customWidth="1"/>
    <col min="17" max="17" width="11" style="20" customWidth="1"/>
    <col min="18" max="18" width="5.5546875" style="18" customWidth="1"/>
    <col min="19" max="19" width="12" style="20" hidden="1" customWidth="1"/>
    <col min="20" max="20" width="5.88671875" style="18" hidden="1" customWidth="1"/>
    <col min="21" max="21" width="11" style="20" customWidth="1"/>
    <col min="22" max="22" width="5.88671875" style="18" customWidth="1"/>
    <col min="23" max="23" width="12" style="328" customWidth="1"/>
    <col min="24" max="24" width="5.88671875" style="18" customWidth="1"/>
    <col min="25" max="25" width="12" style="328" customWidth="1"/>
    <col min="26" max="26" width="5.88671875" style="18" customWidth="1"/>
    <col min="27" max="16384" width="9.33203125" style="19"/>
  </cols>
  <sheetData>
    <row r="1" spans="1:26">
      <c r="A1" s="19" t="str">
        <f>TTT!C1</f>
        <v>Tins Tour Toppers</v>
      </c>
      <c r="B1" s="25"/>
      <c r="C1" s="326" t="str">
        <f>Lothar!C1</f>
        <v>Lothar blijft positief</v>
      </c>
      <c r="D1" s="25"/>
      <c r="E1" s="326" t="str">
        <f>Freaky!C1</f>
        <v>Freaky's manke Kruisbandjes</v>
      </c>
      <c r="F1" s="25"/>
      <c r="G1" s="326" t="str">
        <f>Selfkant!C1</f>
        <v>Am Selfkant</v>
      </c>
      <c r="H1" s="25"/>
      <c r="I1" s="326" t="str">
        <f>Majella!C1</f>
        <v xml:space="preserve">Majella køp dr vør </v>
      </c>
      <c r="J1" s="25"/>
      <c r="K1" s="326" t="str">
        <f>Lange!C1</f>
        <v>De Lange Man</v>
      </c>
      <c r="L1" s="25"/>
      <c r="M1" s="326" t="str">
        <f>Vod!C1</f>
        <v>Onder de vod</v>
      </c>
      <c r="N1" s="25"/>
      <c r="O1" s="326" t="str">
        <f>Brits!C1</f>
        <v>Prof's ploegje</v>
      </c>
      <c r="P1" s="25"/>
      <c r="Q1" s="326" t="str">
        <f>Bangkok!C1</f>
        <v>Prajak Mahawong</v>
      </c>
      <c r="R1" s="25"/>
      <c r="S1" s="19" t="str">
        <f>Kol!C1</f>
        <v>Kol de la Madeleine</v>
      </c>
      <c r="T1" s="25"/>
      <c r="U1" s="326" t="str">
        <f>IJff!C1</f>
        <v>IJffjes Boys</v>
      </c>
      <c r="V1" s="25"/>
      <c r="W1" s="328" t="str">
        <f>Gran!C1</f>
        <v>El Gran</v>
      </c>
      <c r="X1" s="25"/>
      <c r="Y1" s="328" t="str">
        <f>Kolbrelli!C1</f>
        <v>Kol de la Madeleine</v>
      </c>
      <c r="Z1" s="25"/>
    </row>
    <row r="2" spans="1:26">
      <c r="A2" s="19">
        <f>TTT!C2</f>
        <v>0</v>
      </c>
      <c r="B2" s="19"/>
      <c r="C2" s="326">
        <f>Lothar!C2</f>
        <v>0</v>
      </c>
      <c r="E2" s="326">
        <f>Freaky!C2</f>
        <v>0</v>
      </c>
      <c r="G2" s="326">
        <f>Selfkant!C2</f>
        <v>0</v>
      </c>
      <c r="H2" s="19"/>
      <c r="I2" s="326">
        <f>Majella!C2</f>
        <v>0</v>
      </c>
      <c r="J2" s="19"/>
      <c r="K2" s="326">
        <f>Lange!C2</f>
        <v>0</v>
      </c>
      <c r="L2" s="19"/>
      <c r="M2" s="326">
        <f>Vod!C2</f>
        <v>0</v>
      </c>
      <c r="N2" s="19"/>
      <c r="O2" s="326">
        <f>Brits!C2</f>
        <v>0</v>
      </c>
      <c r="P2" s="19"/>
      <c r="Q2" s="326">
        <f>Niet!C2</f>
        <v>0</v>
      </c>
      <c r="R2" s="19"/>
      <c r="S2" s="19">
        <f>Kol!C2</f>
        <v>0</v>
      </c>
      <c r="T2" s="19"/>
      <c r="U2" s="326">
        <f>IJff!C2</f>
        <v>0</v>
      </c>
      <c r="V2" s="19"/>
      <c r="W2" s="328">
        <f>Gran!C2</f>
        <v>0</v>
      </c>
      <c r="X2" s="19"/>
      <c r="Y2" s="328">
        <f>Kolbrelli!C2</f>
        <v>0</v>
      </c>
      <c r="Z2" s="19"/>
    </row>
    <row r="3" spans="1:26" s="22" customFormat="1" ht="39.75" customHeight="1" thickBot="1">
      <c r="A3" s="69" t="str">
        <f>TTT!C3</f>
        <v>Marjon</v>
      </c>
      <c r="C3" s="327" t="str">
        <f>Lothar!C3</f>
        <v>Lothar Matthäus</v>
      </c>
      <c r="E3" s="327" t="str">
        <f>Freaky!C3</f>
        <v>Carin Kruiskamp</v>
      </c>
      <c r="G3" s="327" t="str">
        <f>Selfkant!C3</f>
        <v>Peter K.</v>
      </c>
      <c r="I3" s="327" t="str">
        <f>Majella!C3</f>
        <v>Paul en Mariel</v>
      </c>
      <c r="K3" s="327" t="str">
        <f>Lange!C3</f>
        <v>Gerard Brinksma</v>
      </c>
      <c r="M3" s="327" t="str">
        <f>Vod!C3</f>
        <v>Kees</v>
      </c>
      <c r="O3" s="327" t="str">
        <f>Brits!C3</f>
        <v>Bart en Jolanthe</v>
      </c>
      <c r="Q3" s="327" t="str">
        <f>Bangkok!C3</f>
        <v>Jan Appelman</v>
      </c>
      <c r="S3" s="69" t="str">
        <f>Kol!C3</f>
        <v>Matthijs</v>
      </c>
      <c r="U3" s="327" t="str">
        <f>IJff!C3</f>
        <v>Annita</v>
      </c>
      <c r="W3" s="328" t="str">
        <f>Gran!C3</f>
        <v>Leen Hoogeveen</v>
      </c>
      <c r="Y3" s="328" t="str">
        <f>Kolbrelli!C3</f>
        <v>Ellen &amp; Matthijs</v>
      </c>
    </row>
    <row r="4" spans="1:26" s="25" customFormat="1" ht="13.2" thickTop="1">
      <c r="A4" s="164" t="str">
        <f>TTT!C4</f>
        <v>Groenewegen</v>
      </c>
      <c r="B4" s="161">
        <f ca="1">VLOOKUP(A4,Score!$B$2:$X$78,23,0)</f>
        <v>125.03457278117838</v>
      </c>
      <c r="C4" s="328" t="str">
        <f>Lothar!C4</f>
        <v>van der Poel</v>
      </c>
      <c r="D4" s="161">
        <f ca="1">VLOOKUP(C4,Score!$B$2:$X$78,23,0)</f>
        <v>53.09832151756261</v>
      </c>
      <c r="E4" s="328" t="str">
        <f>Freaky!C4</f>
        <v>van Aert</v>
      </c>
      <c r="F4" s="161">
        <f ca="1">VLOOKUP(E4,Score!$B$2:$X$78,23,0)</f>
        <v>461.01070520640775</v>
      </c>
      <c r="G4" s="328" t="str">
        <f>Selfkant!C4</f>
        <v>Philipsen</v>
      </c>
      <c r="H4" s="161">
        <f ca="1">VLOOKUP(G4,Score!$B$2:$X$78,23,0)</f>
        <v>234.01827223594739</v>
      </c>
      <c r="I4" s="328" t="str">
        <f>Majella!C4</f>
        <v>Mollema</v>
      </c>
      <c r="J4" s="161">
        <f ca="1">VLOOKUP(I4,Score!$B$2:$X$78,23,0)</f>
        <v>48.004053285702568</v>
      </c>
      <c r="K4" s="328" t="str">
        <f>Lange!C4</f>
        <v>Vingegaard</v>
      </c>
      <c r="L4" s="161">
        <f ca="1">VLOOKUP(K4,Score!$B$2:$X$78,23,0)</f>
        <v>508.09902077888091</v>
      </c>
      <c r="M4" s="328" t="str">
        <f>Vod!C4</f>
        <v>Van Aert</v>
      </c>
      <c r="N4" s="161">
        <f ca="1">VLOOKUP(M4,Score!$B$2:$X$78,23,0)</f>
        <v>461.01070520640775</v>
      </c>
      <c r="O4" s="328" t="str">
        <f>Brits!C4</f>
        <v>van Aert</v>
      </c>
      <c r="P4" s="161">
        <f ca="1">VLOOKUP(O4,Score!$B$2:$X$78,23,0)</f>
        <v>461.01070520640775</v>
      </c>
      <c r="Q4" s="328" t="str">
        <f>Bangkok!C4</f>
        <v>van aert</v>
      </c>
      <c r="R4" s="161">
        <f ca="1">VLOOKUP(Q4,Score!$B$2:$X$78,23,0)</f>
        <v>461.01070520640775</v>
      </c>
      <c r="S4" s="164">
        <f>Kol!C4</f>
        <v>0</v>
      </c>
      <c r="T4" s="161" t="e">
        <f>VLOOKUP(S4,Score!$B$2:$X$78,23,0)</f>
        <v>#N/A</v>
      </c>
      <c r="U4" s="328" t="str">
        <f>IJff!C4</f>
        <v>van Aert</v>
      </c>
      <c r="V4" s="161">
        <f ca="1">VLOOKUP(U4,Score!$B$2:$X$78,23,0)</f>
        <v>461.01070520640775</v>
      </c>
      <c r="W4" s="328" t="str">
        <f>Gran!C4</f>
        <v>Pedersen</v>
      </c>
      <c r="X4" s="161">
        <f ca="1">VLOOKUP(W4,Score!$B$2:$X$78,23,0)</f>
        <v>182.03593988624741</v>
      </c>
      <c r="Y4" s="328" t="str">
        <f>Kolbrelli!C4</f>
        <v>Asgreen</v>
      </c>
      <c r="Z4" s="161">
        <f ca="1">VLOOKUP(Y4,Score!$B$2:$X$78,23,0)</f>
        <v>2.2283386634909939E-2</v>
      </c>
    </row>
    <row r="5" spans="1:26" s="25" customFormat="1">
      <c r="A5" s="164" t="str">
        <f>TTT!C5</f>
        <v>Jakobsen</v>
      </c>
      <c r="B5" s="161">
        <f ca="1">VLOOKUP(A5,Score!$B$2:$X$78,23,0)</f>
        <v>154.01471988537023</v>
      </c>
      <c r="C5" s="328" t="str">
        <f>Lothar!C5</f>
        <v>van Aert</v>
      </c>
      <c r="D5" s="161">
        <f ca="1">VLOOKUP(C5,Score!$B$2:$X$78,23,0)</f>
        <v>461.01070520640775</v>
      </c>
      <c r="E5" s="328" t="str">
        <f>Freaky!C5</f>
        <v>Vingegaard</v>
      </c>
      <c r="F5" s="161">
        <f ca="1">VLOOKUP(E5,Score!$B$2:$X$78,23,0)</f>
        <v>508.09902077888091</v>
      </c>
      <c r="G5" s="328" t="str">
        <f>Selfkant!C5</f>
        <v>Pedersen</v>
      </c>
      <c r="H5" s="161">
        <f ca="1">VLOOKUP(G5,Score!$B$2:$X$78,23,0)</f>
        <v>182.03593988624741</v>
      </c>
      <c r="I5" s="328" t="str">
        <f>Majella!C5</f>
        <v>van Aert</v>
      </c>
      <c r="J5" s="161">
        <f ca="1">VLOOKUP(I5,Score!$B$2:$X$78,23,0)</f>
        <v>461.01070520640775</v>
      </c>
      <c r="K5" s="328" t="str">
        <f>Lange!C5</f>
        <v>Vlasov</v>
      </c>
      <c r="L5" s="161">
        <f ca="1">VLOOKUP(K5,Score!$B$2:$X$78,23,0)</f>
        <v>196.01329255329725</v>
      </c>
      <c r="M5" s="328" t="str">
        <f>Vod!C5</f>
        <v>Vingegaard</v>
      </c>
      <c r="N5" s="161">
        <f ca="1">VLOOKUP(M5,Score!$B$2:$X$78,23,0)</f>
        <v>508.09902077888091</v>
      </c>
      <c r="O5" s="328" t="str">
        <f>Brits!C5</f>
        <v>Vingegaard</v>
      </c>
      <c r="P5" s="161">
        <f ca="1">VLOOKUP(O5,Score!$B$2:$X$78,23,0)</f>
        <v>508.09902077888091</v>
      </c>
      <c r="Q5" s="328" t="str">
        <f>Bangkok!C5</f>
        <v>vingegaard</v>
      </c>
      <c r="R5" s="161">
        <f ca="1">VLOOKUP(Q5,Score!$B$2:$X$78,23,0)</f>
        <v>508.09902077888091</v>
      </c>
      <c r="S5" s="164">
        <f>Kol!C5</f>
        <v>0</v>
      </c>
      <c r="T5" s="161" t="e">
        <f>VLOOKUP(S5,Score!$B$2:$X$78,23,0)</f>
        <v>#N/A</v>
      </c>
      <c r="U5" s="328" t="str">
        <f>IJff!C5</f>
        <v>Mohoric</v>
      </c>
      <c r="V5" s="161">
        <f ca="1">VLOOKUP(U5,Score!$B$2:$X$78,23,0)</f>
        <v>9.6878941812040945E-2</v>
      </c>
      <c r="W5" s="328" t="str">
        <f>Gran!C5</f>
        <v>Groenewegen</v>
      </c>
      <c r="X5" s="161">
        <f ca="1">VLOOKUP(W5,Score!$B$2:$X$78,23,0)</f>
        <v>125.03457278117838</v>
      </c>
      <c r="Y5" s="328" t="str">
        <f>Kolbrelli!C5</f>
        <v>Gaudu</v>
      </c>
      <c r="Z5" s="161">
        <f ca="1">VLOOKUP(Y5,Score!$B$2:$X$78,23,0)</f>
        <v>250.05243185002539</v>
      </c>
    </row>
    <row r="6" spans="1:26" s="25" customFormat="1">
      <c r="A6" s="164" t="str">
        <f>TTT!C6</f>
        <v>Pedersen</v>
      </c>
      <c r="B6" s="161">
        <f ca="1">VLOOKUP(A6,Score!$B$2:$X$78,23,0)</f>
        <v>182.03593988624741</v>
      </c>
      <c r="C6" s="328" t="str">
        <f>Lothar!C6</f>
        <v>Pidcock</v>
      </c>
      <c r="D6" s="161">
        <f ca="1">VLOOKUP(C6,Score!$B$2:$X$78,23,0)</f>
        <v>237.08009517837525</v>
      </c>
      <c r="E6" s="328" t="str">
        <f>Freaky!C6</f>
        <v>Thomas</v>
      </c>
      <c r="F6" s="161">
        <f ca="1">VLOOKUP(E6,Score!$B$2:$X$78,23,0)</f>
        <v>311.06351184747467</v>
      </c>
      <c r="G6" s="328" t="str">
        <f>Selfkant!C6</f>
        <v>Jakobsen</v>
      </c>
      <c r="H6" s="161">
        <f ca="1">VLOOKUP(G6,Score!$B$2:$X$78,23,0)</f>
        <v>154.01471988537023</v>
      </c>
      <c r="I6" s="328" t="str">
        <f>Majella!C6</f>
        <v>van der Poel</v>
      </c>
      <c r="J6" s="161">
        <f ca="1">VLOOKUP(I6,Score!$B$2:$X$78,23,0)</f>
        <v>53.09832151756261</v>
      </c>
      <c r="K6" s="328" t="str">
        <f>Lange!C6</f>
        <v>Caruso</v>
      </c>
      <c r="L6" s="161">
        <f ca="1">VLOOKUP(K6,Score!$B$2:$X$78,23,0)</f>
        <v>47.089298795162897</v>
      </c>
      <c r="M6" s="328" t="str">
        <f>Vod!C6</f>
        <v>Thomas</v>
      </c>
      <c r="N6" s="161">
        <f ca="1">VLOOKUP(M6,Score!$B$2:$X$78,23,0)</f>
        <v>311.06351184747467</v>
      </c>
      <c r="O6" s="328" t="str">
        <f>Brits!C6</f>
        <v>Martinez</v>
      </c>
      <c r="P6" s="161">
        <f ca="1">VLOOKUP(O6,Score!$B$2:$X$78,23,0)</f>
        <v>78.03523460066333</v>
      </c>
      <c r="Q6" s="328" t="str">
        <f>Bangkok!C6</f>
        <v>matthews</v>
      </c>
      <c r="R6" s="161">
        <f ca="1">VLOOKUP(Q6,Score!$B$2:$X$78,23,0)</f>
        <v>121.07513679097575</v>
      </c>
      <c r="S6" s="164">
        <f>Kol!C6</f>
        <v>0</v>
      </c>
      <c r="T6" s="161" t="e">
        <f>VLOOKUP(S6,Score!$B$2:$X$78,23,0)</f>
        <v>#N/A</v>
      </c>
      <c r="U6" s="328" t="str">
        <f>IJff!C6</f>
        <v>Vingegaard</v>
      </c>
      <c r="V6" s="161">
        <f ca="1">VLOOKUP(U6,Score!$B$2:$X$78,23,0)</f>
        <v>508.09902077888091</v>
      </c>
      <c r="W6" s="328" t="str">
        <f>Gran!C6</f>
        <v>Jakobsen</v>
      </c>
      <c r="X6" s="161">
        <f ca="1">VLOOKUP(W6,Score!$B$2:$X$78,23,0)</f>
        <v>154.01471988537023</v>
      </c>
      <c r="Y6" s="328" t="str">
        <f>Kolbrelli!C6</f>
        <v>Konrad</v>
      </c>
      <c r="Z6" s="161">
        <f ca="1">VLOOKUP(Y6,Score!$B$2:$X$78,23,0)</f>
        <v>50.055432046916366</v>
      </c>
    </row>
    <row r="7" spans="1:26" s="25" customFormat="1">
      <c r="A7" s="164" t="str">
        <f>TTT!C7</f>
        <v>Philipsen</v>
      </c>
      <c r="B7" s="161">
        <f ca="1">VLOOKUP(A7,Score!$B$2:$X$78,23,0)</f>
        <v>234.01827223594739</v>
      </c>
      <c r="C7" s="328" t="str">
        <f>Lothar!C7</f>
        <v>Pedersen</v>
      </c>
      <c r="D7" s="161">
        <f ca="1">VLOOKUP(C7,Score!$B$2:$X$78,23,0)</f>
        <v>182.03593988624741</v>
      </c>
      <c r="E7" s="328" t="str">
        <f>Freaky!C7</f>
        <v>Jakobsen</v>
      </c>
      <c r="F7" s="161">
        <f ca="1">VLOOKUP(E7,Score!$B$2:$X$78,23,0)</f>
        <v>154.01471988537023</v>
      </c>
      <c r="G7" s="328" t="str">
        <f>Selfkant!C7</f>
        <v>Ewan</v>
      </c>
      <c r="H7" s="161">
        <f ca="1">VLOOKUP(G7,Score!$B$2:$X$78,23,0)</f>
        <v>64.004078220764413</v>
      </c>
      <c r="I7" s="328" t="str">
        <f>Majella!C7</f>
        <v>Vingegaard</v>
      </c>
      <c r="J7" s="161">
        <f ca="1">VLOOKUP(I7,Score!$B$2:$X$78,23,0)</f>
        <v>508.09902077888091</v>
      </c>
      <c r="K7" s="328" t="str">
        <f>Lange!C7</f>
        <v>O'Connor</v>
      </c>
      <c r="L7" s="161">
        <f ca="1">VLOOKUP(K7,Score!$B$2:$X$78,23,0)</f>
        <v>1.5192218276981384E-2</v>
      </c>
      <c r="M7" s="328" t="str">
        <f>Vod!C7</f>
        <v>Martinez</v>
      </c>
      <c r="N7" s="161">
        <f ca="1">VLOOKUP(M7,Score!$B$2:$X$78,23,0)</f>
        <v>78.03523460066333</v>
      </c>
      <c r="O7" s="328" t="str">
        <f>Brits!C7</f>
        <v>Yates</v>
      </c>
      <c r="P7" s="161">
        <f ca="1">VLOOKUP(O7,Score!$B$2:$X$78,23,0)</f>
        <v>205.08506228460507</v>
      </c>
      <c r="Q7" s="328" t="str">
        <f>Bangkok!C7</f>
        <v>vlasov</v>
      </c>
      <c r="R7" s="161">
        <f ca="1">VLOOKUP(Q7,Score!$B$2:$X$78,23,0)</f>
        <v>196.01329255329725</v>
      </c>
      <c r="S7" s="164">
        <f>Kol!C7</f>
        <v>0</v>
      </c>
      <c r="T7" s="161" t="e">
        <f>VLOOKUP(S7,Score!$B$2:$X$78,23,0)</f>
        <v>#N/A</v>
      </c>
      <c r="U7" s="328" t="str">
        <f>IJff!C7</f>
        <v>Van der Poel</v>
      </c>
      <c r="V7" s="161">
        <f ca="1">VLOOKUP(U7,Score!$B$2:$X$78,23,0)</f>
        <v>53.09832151756261</v>
      </c>
      <c r="W7" s="328" t="str">
        <f>Gran!C7</f>
        <v>Sagan</v>
      </c>
      <c r="X7" s="161">
        <f ca="1">VLOOKUP(W7,Score!$B$2:$X$78,23,0)</f>
        <v>122.04417149935375</v>
      </c>
      <c r="Y7" s="328" t="str">
        <f>Kolbrelli!C7</f>
        <v>Küng</v>
      </c>
      <c r="Z7" s="161">
        <f ca="1">VLOOKUP(Y7,Score!$B$2:$X$78,23,0)</f>
        <v>65.093085547617974</v>
      </c>
    </row>
    <row r="8" spans="1:26" s="25" customFormat="1">
      <c r="A8" s="164" t="str">
        <f>TTT!C8</f>
        <v>Ewan</v>
      </c>
      <c r="B8" s="161">
        <f ca="1">VLOOKUP(A8,Score!$B$2:$X$78,23,0)</f>
        <v>64.004078220764413</v>
      </c>
      <c r="C8" s="328" t="str">
        <f>Lothar!C8</f>
        <v>Jakobsen</v>
      </c>
      <c r="D8" s="161">
        <f ca="1">VLOOKUP(C8,Score!$B$2:$X$78,23,0)</f>
        <v>154.01471988537023</v>
      </c>
      <c r="E8" s="328" t="str">
        <f>Freaky!C8</f>
        <v>Majka</v>
      </c>
      <c r="F8" s="161">
        <f ca="1">VLOOKUP(E8,Score!$B$2:$X$78,23,0)</f>
        <v>28.09956739415243</v>
      </c>
      <c r="G8" s="328" t="str">
        <f>Selfkant!C8</f>
        <v>Ciccone</v>
      </c>
      <c r="H8" s="161">
        <f ca="1">VLOOKUP(G8,Score!$B$2:$X$78,23,0)</f>
        <v>49.054533670550349</v>
      </c>
      <c r="I8" s="328" t="str">
        <f>Majella!C8</f>
        <v>Thomas</v>
      </c>
      <c r="J8" s="161">
        <f ca="1">VLOOKUP(I8,Score!$B$2:$X$78,23,0)</f>
        <v>311.06351184747467</v>
      </c>
      <c r="K8" s="328" t="str">
        <f>Lange!C8</f>
        <v>Thomas</v>
      </c>
      <c r="L8" s="161">
        <f ca="1">VLOOKUP(K8,Score!$B$2:$X$78,23,0)</f>
        <v>311.06351184747467</v>
      </c>
      <c r="M8" s="328" t="str">
        <f>Vod!C8</f>
        <v>O'Connor</v>
      </c>
      <c r="N8" s="161">
        <f ca="1">VLOOKUP(M8,Score!$B$2:$X$78,23,0)</f>
        <v>1.5192218276981384E-2</v>
      </c>
      <c r="O8" s="328" t="str">
        <f>Brits!C8</f>
        <v>O'Connor</v>
      </c>
      <c r="P8" s="161">
        <f ca="1">VLOOKUP(O8,Score!$B$2:$X$78,23,0)</f>
        <v>1.5192218276981384E-2</v>
      </c>
      <c r="Q8" s="328" t="str">
        <f>Bangkok!C8</f>
        <v>martin</v>
      </c>
      <c r="R8" s="161">
        <f ca="1">VLOOKUP(Q8,Score!$B$2:$X$78,23,0)</f>
        <v>33.099982953655292</v>
      </c>
      <c r="S8" s="164">
        <f>Kol!C8</f>
        <v>0</v>
      </c>
      <c r="T8" s="161" t="e">
        <f>VLOOKUP(S8,Score!$B$2:$X$78,23,0)</f>
        <v>#N/A</v>
      </c>
      <c r="U8" s="328" t="str">
        <f>IJff!C8</f>
        <v>Vlasov</v>
      </c>
      <c r="V8" s="161">
        <f ca="1">VLOOKUP(U8,Score!$B$2:$X$78,23,0)</f>
        <v>196.01329255329725</v>
      </c>
      <c r="W8" s="328" t="str">
        <f>Gran!C8</f>
        <v>Ewan</v>
      </c>
      <c r="X8" s="161">
        <f ca="1">VLOOKUP(W8,Score!$B$2:$X$78,23,0)</f>
        <v>64.004078220764413</v>
      </c>
      <c r="Y8" s="328" t="str">
        <f>Kolbrelli!C8</f>
        <v>Mas</v>
      </c>
      <c r="Z8" s="161">
        <f ca="1">VLOOKUP(Y8,Score!$B$2:$X$78,23,0)</f>
        <v>128.00907381152805</v>
      </c>
    </row>
    <row r="9" spans="1:26" s="25" customFormat="1">
      <c r="A9" s="164" t="str">
        <f>TTT!C9</f>
        <v>van der Poel</v>
      </c>
      <c r="B9" s="161">
        <f ca="1">VLOOKUP(A9,Score!$B$2:$X$78,23,0)</f>
        <v>53.09832151756261</v>
      </c>
      <c r="C9" s="328" t="str">
        <f>Lothar!C9</f>
        <v>Ewan</v>
      </c>
      <c r="D9" s="161">
        <f ca="1">VLOOKUP(C9,Score!$B$2:$X$78,23,0)</f>
        <v>64.004078220764413</v>
      </c>
      <c r="E9" s="328" t="str">
        <f>Freaky!C9</f>
        <v>van der Poel</v>
      </c>
      <c r="F9" s="161">
        <f ca="1">VLOOKUP(E9,Score!$B$2:$X$78,23,0)</f>
        <v>53.09832151756261</v>
      </c>
      <c r="G9" s="328" t="str">
        <f>Selfkant!C9</f>
        <v>Verona</v>
      </c>
      <c r="H9" s="161">
        <f ca="1">VLOOKUP(G9,Score!$B$2:$X$78,23,0)</f>
        <v>26.028781910090153</v>
      </c>
      <c r="I9" s="328" t="str">
        <f>Majella!C9</f>
        <v>Mas</v>
      </c>
      <c r="J9" s="161">
        <f ca="1">VLOOKUP(I9,Score!$B$2:$X$78,23,0)</f>
        <v>128.00907381152805</v>
      </c>
      <c r="K9" s="328" t="str">
        <f>Lange!C9</f>
        <v>Küng</v>
      </c>
      <c r="L9" s="161">
        <f ca="1">VLOOKUP(K9,Score!$B$2:$X$78,23,0)</f>
        <v>65.093085547617974</v>
      </c>
      <c r="M9" s="328" t="str">
        <f>Vod!C9</f>
        <v>Vlasov</v>
      </c>
      <c r="N9" s="161">
        <f ca="1">VLOOKUP(M9,Score!$B$2:$X$78,23,0)</f>
        <v>196.01329255329725</v>
      </c>
      <c r="O9" s="328" t="str">
        <f>Brits!C9</f>
        <v>Vlasov</v>
      </c>
      <c r="P9" s="161">
        <f ca="1">VLOOKUP(O9,Score!$B$2:$X$78,23,0)</f>
        <v>196.01329255329725</v>
      </c>
      <c r="Q9" s="328" t="str">
        <f>Bangkok!C9</f>
        <v>mohoric</v>
      </c>
      <c r="R9" s="161">
        <f ca="1">VLOOKUP(Q9,Score!$B$2:$X$78,23,0)</f>
        <v>9.6878941812040945E-2</v>
      </c>
      <c r="S9" s="164">
        <f>Kol!C9</f>
        <v>0</v>
      </c>
      <c r="T9" s="161" t="e">
        <f>VLOOKUP(S9,Score!$B$2:$X$78,23,0)</f>
        <v>#N/A</v>
      </c>
      <c r="U9" s="328" t="str">
        <f>IJff!C9</f>
        <v>Philipsen</v>
      </c>
      <c r="V9" s="161">
        <f ca="1">VLOOKUP(U9,Score!$B$2:$X$78,23,0)</f>
        <v>234.01827223594739</v>
      </c>
      <c r="W9" s="328" t="str">
        <f>Gran!C9</f>
        <v>Philipsen</v>
      </c>
      <c r="X9" s="161">
        <f ca="1">VLOOKUP(W9,Score!$B$2:$X$78,23,0)</f>
        <v>234.01827223594739</v>
      </c>
      <c r="Y9" s="328" t="str">
        <f>Kolbrelli!C9</f>
        <v>Matthews</v>
      </c>
      <c r="Z9" s="161">
        <f ca="1">VLOOKUP(Y9,Score!$B$2:$X$78,23,0)</f>
        <v>121.07513679097575</v>
      </c>
    </row>
    <row r="10" spans="1:26" s="25" customFormat="1">
      <c r="A10" s="164" t="str">
        <f>TTT!C10</f>
        <v>van Aert</v>
      </c>
      <c r="B10" s="161">
        <f ca="1">VLOOKUP(A10,Score!$B$2:$X$78,23,0)</f>
        <v>461.01070520640775</v>
      </c>
      <c r="C10" s="328" t="str">
        <f>Lothar!C10</f>
        <v>Matthews</v>
      </c>
      <c r="D10" s="161">
        <f ca="1">VLOOKUP(C10,Score!$B$2:$X$78,23,0)</f>
        <v>121.07513679097575</v>
      </c>
      <c r="E10" s="328" t="str">
        <f>Freaky!C10</f>
        <v>Ewan</v>
      </c>
      <c r="F10" s="161">
        <f ca="1">VLOOKUP(E10,Score!$B$2:$X$78,23,0)</f>
        <v>64.004078220764413</v>
      </c>
      <c r="G10" s="328" t="str">
        <f>Selfkant!C10</f>
        <v>Kämna</v>
      </c>
      <c r="H10" s="161">
        <f ca="1">VLOOKUP(G10,Score!$B$2:$X$78,23,0)</f>
        <v>76.002630716447058</v>
      </c>
      <c r="I10" s="328" t="str">
        <f>Majella!C10</f>
        <v>Vlasov</v>
      </c>
      <c r="J10" s="161">
        <f ca="1">VLOOKUP(I10,Score!$B$2:$X$78,23,0)</f>
        <v>196.01329255329725</v>
      </c>
      <c r="K10" s="328" t="str">
        <f>Lange!C10</f>
        <v>Mas</v>
      </c>
      <c r="L10" s="161">
        <f ca="1">VLOOKUP(K10,Score!$B$2:$X$78,23,0)</f>
        <v>128.00907381152805</v>
      </c>
      <c r="M10" s="328" t="str">
        <f>Vod!C10</f>
        <v>Jakobsen</v>
      </c>
      <c r="N10" s="161">
        <f ca="1">VLOOKUP(M10,Score!$B$2:$X$78,23,0)</f>
        <v>154.01471988537023</v>
      </c>
      <c r="O10" s="328" t="str">
        <f>Brits!C10</f>
        <v>Jakobsen</v>
      </c>
      <c r="P10" s="161">
        <f ca="1">VLOOKUP(O10,Score!$B$2:$X$78,23,0)</f>
        <v>154.01471988537023</v>
      </c>
      <c r="Q10" s="328" t="str">
        <f>Bangkok!C10</f>
        <v>martinez</v>
      </c>
      <c r="R10" s="161">
        <f ca="1">VLOOKUP(Q10,Score!$B$2:$X$78,23,0)</f>
        <v>78.03523460066333</v>
      </c>
      <c r="S10" s="164">
        <f>Kol!C10</f>
        <v>0</v>
      </c>
      <c r="T10" s="161" t="e">
        <f>VLOOKUP(S10,Score!$B$2:$X$78,23,0)</f>
        <v>#N/A</v>
      </c>
      <c r="U10" s="328" t="str">
        <f>IJff!C10</f>
        <v>Jakobsen</v>
      </c>
      <c r="V10" s="161">
        <f ca="1">VLOOKUP(U10,Score!$B$2:$X$78,23,0)</f>
        <v>154.01471988537023</v>
      </c>
      <c r="W10" s="328" t="str">
        <f>Gran!C10</f>
        <v>Asgreen</v>
      </c>
      <c r="X10" s="161">
        <f ca="1">VLOOKUP(W10,Score!$B$2:$X$78,23,0)</f>
        <v>2.2283386634909939E-2</v>
      </c>
      <c r="Y10" s="328" t="str">
        <f>Kolbrelli!C10</f>
        <v>O'Connor</v>
      </c>
      <c r="Z10" s="161">
        <f ca="1">VLOOKUP(Y10,Score!$B$2:$X$78,23,0)</f>
        <v>1.5192218276981384E-2</v>
      </c>
    </row>
    <row r="11" spans="1:26" s="25" customFormat="1">
      <c r="A11" s="164" t="str">
        <f>TTT!C11</f>
        <v>Guerreiro</v>
      </c>
      <c r="B11" s="161">
        <f ca="1">VLOOKUP(A11,Score!$B$2:$X$78,23,0)</f>
        <v>1.7260791051733938E-2</v>
      </c>
      <c r="C11" s="328" t="str">
        <f>Lothar!C11</f>
        <v>Mollema</v>
      </c>
      <c r="D11" s="161">
        <f ca="1">VLOOKUP(C11,Score!$B$2:$X$78,23,0)</f>
        <v>48.004053285702568</v>
      </c>
      <c r="E11" s="328" t="str">
        <f>Freaky!C11</f>
        <v>Martinez</v>
      </c>
      <c r="F11" s="161">
        <f ca="1">VLOOKUP(E11,Score!$B$2:$X$78,23,0)</f>
        <v>78.03523460066333</v>
      </c>
      <c r="G11" s="328" t="str">
        <f>Selfkant!C11</f>
        <v>Vingegaard</v>
      </c>
      <c r="H11" s="161">
        <f ca="1">VLOOKUP(G11,Score!$B$2:$X$78,23,0)</f>
        <v>508.09902077888091</v>
      </c>
      <c r="I11" s="328" t="str">
        <f>Majella!C11</f>
        <v>Bardet</v>
      </c>
      <c r="J11" s="161">
        <f ca="1">VLOOKUP(I11,Score!$B$2:$X$78,23,0)</f>
        <v>203.049165623199</v>
      </c>
      <c r="K11" s="328" t="str">
        <f>Lange!C11</f>
        <v>Van Poppel</v>
      </c>
      <c r="L11" s="161">
        <f ca="1">VLOOKUP(K11,Score!$B$2:$X$78,23,0)</f>
        <v>100.0301138112909</v>
      </c>
      <c r="M11" s="328" t="str">
        <f>Vod!C11</f>
        <v>Mas</v>
      </c>
      <c r="N11" s="161">
        <f ca="1">VLOOKUP(M11,Score!$B$2:$X$78,23,0)</f>
        <v>128.00907381152805</v>
      </c>
      <c r="O11" s="328" t="str">
        <f>Brits!C11</f>
        <v>Martin</v>
      </c>
      <c r="P11" s="161">
        <f ca="1">VLOOKUP(O11,Score!$B$2:$X$78,23,0)</f>
        <v>33.099982953655292</v>
      </c>
      <c r="Q11" s="328" t="str">
        <f>Bangkok!C11</f>
        <v>philipsen</v>
      </c>
      <c r="R11" s="161">
        <f ca="1">VLOOKUP(Q11,Score!$B$2:$X$78,23,0)</f>
        <v>234.01827223594739</v>
      </c>
      <c r="S11" s="164">
        <f>Kol!C11</f>
        <v>0</v>
      </c>
      <c r="T11" s="161" t="e">
        <f>VLOOKUP(S11,Score!$B$2:$X$78,23,0)</f>
        <v>#N/A</v>
      </c>
      <c r="U11" s="328" t="str">
        <f>IJff!C11</f>
        <v>Mas</v>
      </c>
      <c r="V11" s="161">
        <f ca="1">VLOOKUP(U11,Score!$B$2:$X$78,23,0)</f>
        <v>128.00907381152805</v>
      </c>
      <c r="W11" s="328" t="str">
        <f>Gran!C11</f>
        <v>Van Aert</v>
      </c>
      <c r="X11" s="161">
        <f ca="1">VLOOKUP(W11,Score!$B$2:$X$78,23,0)</f>
        <v>461.01070520640775</v>
      </c>
      <c r="Y11" s="328" t="str">
        <f>Kolbrelli!C11</f>
        <v>Philipsen</v>
      </c>
      <c r="Z11" s="161">
        <f ca="1">VLOOKUP(Y11,Score!$B$2:$X$78,23,0)</f>
        <v>234.01827223594739</v>
      </c>
    </row>
    <row r="12" spans="1:26" s="25" customFormat="1">
      <c r="A12" s="164" t="str">
        <f>TTT!C12</f>
        <v>Vingegaard</v>
      </c>
      <c r="B12" s="161">
        <f ca="1">VLOOKUP(A12,Score!$B$2:$X$78,23,0)</f>
        <v>508.09902077888091</v>
      </c>
      <c r="C12" s="328" t="str">
        <f>Lothar!C12</f>
        <v>Thomas</v>
      </c>
      <c r="D12" s="161">
        <f ca="1">VLOOKUP(C12,Score!$B$2:$X$78,23,0)</f>
        <v>311.06351184747467</v>
      </c>
      <c r="E12" s="328" t="str">
        <f>Freaky!C12</f>
        <v>O'Connor</v>
      </c>
      <c r="F12" s="161">
        <f ca="1">VLOOKUP(E12,Score!$B$2:$X$78,23,0)</f>
        <v>1.5192218276981384E-2</v>
      </c>
      <c r="G12" s="328" t="str">
        <f>Selfkant!C12</f>
        <v>Vlasov</v>
      </c>
      <c r="H12" s="161">
        <f ca="1">VLOOKUP(G12,Score!$B$2:$X$78,23,0)</f>
        <v>196.01329255329725</v>
      </c>
      <c r="I12" s="328" t="str">
        <f>Majella!C12</f>
        <v>Yates</v>
      </c>
      <c r="J12" s="161">
        <f ca="1">VLOOKUP(I12,Score!$B$2:$X$78,23,0)</f>
        <v>205.08506228460507</v>
      </c>
      <c r="K12" s="328" t="str">
        <f>Lange!C12</f>
        <v>Van Aert</v>
      </c>
      <c r="L12" s="161">
        <f ca="1">VLOOKUP(K12,Score!$B$2:$X$78,23,0)</f>
        <v>461.01070520640775</v>
      </c>
      <c r="M12" s="328" t="str">
        <f>Vod!C12</f>
        <v>Martin</v>
      </c>
      <c r="N12" s="161">
        <f ca="1">VLOOKUP(M12,Score!$B$2:$X$78,23,0)</f>
        <v>33.099982953655292</v>
      </c>
      <c r="O12" s="328" t="str">
        <f>Brits!C12</f>
        <v>Haig</v>
      </c>
      <c r="P12" s="161">
        <f ca="1">VLOOKUP(O12,Score!$B$2:$X$78,23,0)</f>
        <v>1.2655944708530775E-2</v>
      </c>
      <c r="Q12" s="328" t="str">
        <f>Bangkok!C12</f>
        <v>thomas</v>
      </c>
      <c r="R12" s="161">
        <f ca="1">VLOOKUP(Q12,Score!$B$2:$X$78,23,0)</f>
        <v>311.06351184747467</v>
      </c>
      <c r="S12" s="164">
        <f>Kol!C12</f>
        <v>0</v>
      </c>
      <c r="T12" s="161" t="e">
        <f>VLOOKUP(S12,Score!$B$2:$X$78,23,0)</f>
        <v>#N/A</v>
      </c>
      <c r="U12" s="328" t="str">
        <f>IJff!C12</f>
        <v>Kristoff</v>
      </c>
      <c r="V12" s="161">
        <f ca="1">VLOOKUP(U12,Score!$B$2:$X$78,23,0)</f>
        <v>116.0500805588597</v>
      </c>
      <c r="W12" s="328" t="str">
        <f>Gran!C12</f>
        <v>Van der Poel</v>
      </c>
      <c r="X12" s="161">
        <f ca="1">VLOOKUP(W12,Score!$B$2:$X$78,23,0)</f>
        <v>53.09832151756261</v>
      </c>
      <c r="Y12" s="328" t="str">
        <f>Kolbrelli!C12</f>
        <v>Uran</v>
      </c>
      <c r="Z12" s="161">
        <f ca="1">VLOOKUP(Y12,Score!$B$2:$X$78,23,0)</f>
        <v>37.097074911212545</v>
      </c>
    </row>
    <row r="13" spans="1:26" s="25" customFormat="1">
      <c r="A13" s="164" t="str">
        <f>TTT!C13</f>
        <v>O'Connor</v>
      </c>
      <c r="B13" s="161">
        <f ca="1">VLOOKUP(A13,Score!$B$2:$X$78,23,0)</f>
        <v>1.5192218276981384E-2</v>
      </c>
      <c r="C13" s="328" t="str">
        <f>Lothar!C13</f>
        <v>O'Connor</v>
      </c>
      <c r="D13" s="161">
        <f ca="1">VLOOKUP(C13,Score!$B$2:$X$78,23,0)</f>
        <v>1.5192218276981384E-2</v>
      </c>
      <c r="E13" s="328" t="str">
        <f>Freaky!C13</f>
        <v>Storer</v>
      </c>
      <c r="F13" s="161">
        <f ca="1">VLOOKUP(E13,Score!$B$2:$X$78,23,0)</f>
        <v>22.090982594912507</v>
      </c>
      <c r="G13" s="328" t="str">
        <f>Selfkant!C13</f>
        <v>Martinez</v>
      </c>
      <c r="H13" s="161">
        <f ca="1">VLOOKUP(G13,Score!$B$2:$X$78,23,0)</f>
        <v>78.03523460066333</v>
      </c>
      <c r="I13" s="328" t="str">
        <f>Majella!C13</f>
        <v>Pedersen</v>
      </c>
      <c r="J13" s="161">
        <f ca="1">VLOOKUP(I13,Score!$B$2:$X$78,23,0)</f>
        <v>182.03593988624741</v>
      </c>
      <c r="K13" s="328" t="str">
        <f>Lange!C13</f>
        <v>Van der Poel</v>
      </c>
      <c r="L13" s="161">
        <f ca="1">VLOOKUP(K13,Score!$B$2:$X$78,23,0)</f>
        <v>53.09832151756261</v>
      </c>
      <c r="M13" s="328" t="str">
        <f>Vod!C13</f>
        <v>Caruso</v>
      </c>
      <c r="N13" s="161">
        <f ca="1">VLOOKUP(M13,Score!$B$2:$X$78,23,0)</f>
        <v>47.089298795162897</v>
      </c>
      <c r="O13" s="328" t="str">
        <f>Brits!C13</f>
        <v>Gaudu</v>
      </c>
      <c r="P13" s="161">
        <f ca="1">VLOOKUP(O13,Score!$B$2:$X$78,23,0)</f>
        <v>250.05243185002539</v>
      </c>
      <c r="Q13" s="328" t="str">
        <f>Bangkok!C13</f>
        <v>o'connor</v>
      </c>
      <c r="R13" s="161">
        <f ca="1">VLOOKUP(Q13,Score!$B$2:$X$78,23,0)</f>
        <v>1.5192218276981384E-2</v>
      </c>
      <c r="S13" s="164">
        <f>Kol!C13</f>
        <v>0</v>
      </c>
      <c r="T13" s="161" t="e">
        <f>VLOOKUP(S13,Score!$B$2:$X$78,23,0)</f>
        <v>#N/A</v>
      </c>
      <c r="U13" s="328" t="str">
        <f>IJff!C13</f>
        <v>Cosnefroy</v>
      </c>
      <c r="V13" s="161">
        <f ca="1">VLOOKUP(U13,Score!$B$2:$X$78,23,0)</f>
        <v>3.0269420799053991E-2</v>
      </c>
      <c r="W13" s="328" t="str">
        <f>Gran!C13</f>
        <v>Ganna</v>
      </c>
      <c r="X13" s="161">
        <f ca="1">VLOOKUP(W13,Score!$B$2:$X$78,23,0)</f>
        <v>82.021647538499622</v>
      </c>
      <c r="Y13" s="328" t="str">
        <f>Kolbrelli!C13</f>
        <v>van Aert</v>
      </c>
      <c r="Z13" s="161">
        <f ca="1">VLOOKUP(Y13,Score!$B$2:$X$78,23,0)</f>
        <v>461.01070520640775</v>
      </c>
    </row>
    <row r="14" spans="1:26" s="25" customFormat="1">
      <c r="A14" s="164" t="str">
        <f>TTT!C14</f>
        <v>Vlasov</v>
      </c>
      <c r="B14" s="161">
        <f ca="1">VLOOKUP(A14,Score!$B$2:$X$78,23,0)</f>
        <v>196.01329255329725</v>
      </c>
      <c r="C14" s="328" t="str">
        <f>Lothar!C14</f>
        <v>Martin</v>
      </c>
      <c r="D14" s="161">
        <f ca="1">VLOOKUP(C14,Score!$B$2:$X$78,23,0)</f>
        <v>33.099982953655292</v>
      </c>
      <c r="E14" s="328" t="str">
        <f>Freaky!C14</f>
        <v>Mas</v>
      </c>
      <c r="F14" s="161">
        <f ca="1">VLOOKUP(E14,Score!$B$2:$X$78,23,0)</f>
        <v>128.00907381152805</v>
      </c>
      <c r="G14" s="328" t="str">
        <f>Selfkant!C14</f>
        <v>Caruso</v>
      </c>
      <c r="H14" s="161">
        <f ca="1">VLOOKUP(G14,Score!$B$2:$X$78,23,0)</f>
        <v>47.089298795162897</v>
      </c>
      <c r="I14" s="328" t="str">
        <f>Majella!C14</f>
        <v>Groenewegen</v>
      </c>
      <c r="J14" s="161">
        <f ca="1">VLOOKUP(I14,Score!$B$2:$X$78,23,0)</f>
        <v>125.03457278117838</v>
      </c>
      <c r="K14" s="328" t="str">
        <f>Lange!C14</f>
        <v>Pedersen</v>
      </c>
      <c r="L14" s="161">
        <f ca="1">VLOOKUP(K14,Score!$B$2:$X$78,23,0)</f>
        <v>182.03593988624741</v>
      </c>
      <c r="M14" s="328" t="str">
        <f>Vod!C14</f>
        <v>Küng</v>
      </c>
      <c r="N14" s="161">
        <f ca="1">VLOOKUP(M14,Score!$B$2:$X$78,23,0)</f>
        <v>65.093085547617974</v>
      </c>
      <c r="O14" s="328" t="str">
        <f>Brits!C14</f>
        <v>Küng</v>
      </c>
      <c r="P14" s="161">
        <f ca="1">VLOOKUP(O14,Score!$B$2:$X$78,23,0)</f>
        <v>65.093085547617974</v>
      </c>
      <c r="Q14" s="328" t="str">
        <f>Bangkok!C14</f>
        <v>Jakobsen</v>
      </c>
      <c r="R14" s="161">
        <f ca="1">VLOOKUP(Q14,Score!$B$2:$X$78,23,0)</f>
        <v>154.01471988537023</v>
      </c>
      <c r="S14" s="164">
        <f>Kol!C14</f>
        <v>0</v>
      </c>
      <c r="T14" s="161" t="e">
        <f>VLOOKUP(S14,Score!$B$2:$X$78,23,0)</f>
        <v>#N/A</v>
      </c>
      <c r="U14" s="328" t="str">
        <f>IJff!C14</f>
        <v>O'Connor</v>
      </c>
      <c r="V14" s="161">
        <f ca="1">VLOOKUP(U14,Score!$B$2:$X$78,23,0)</f>
        <v>1.5192218276981384E-2</v>
      </c>
      <c r="W14" s="328" t="str">
        <f>Gran!C14</f>
        <v>Bissegger</v>
      </c>
      <c r="X14" s="161">
        <f ca="1">VLOOKUP(W14,Score!$B$2:$X$78,23,0)</f>
        <v>7.0191013203695869</v>
      </c>
      <c r="Y14" s="328" t="str">
        <f>Kolbrelli!C14</f>
        <v>van der Poel</v>
      </c>
      <c r="Z14" s="161">
        <f ca="1">VLOOKUP(Y14,Score!$B$2:$X$78,23,0)</f>
        <v>53.09832151756261</v>
      </c>
    </row>
    <row r="15" spans="1:26" s="25" customFormat="1">
      <c r="A15" s="164" t="str">
        <f>TTT!C15</f>
        <v>Martinez</v>
      </c>
      <c r="B15" s="161">
        <f ca="1">VLOOKUP(A15,Score!$B$2:$X$78,23,0)</f>
        <v>78.03523460066333</v>
      </c>
      <c r="C15" s="328" t="str">
        <f>Lothar!C15</f>
        <v>Uran</v>
      </c>
      <c r="D15" s="161">
        <f ca="1">VLOOKUP(C15,Score!$B$2:$X$78,23,0)</f>
        <v>37.097074911212545</v>
      </c>
      <c r="E15" s="328" t="str">
        <f>Freaky!C15</f>
        <v>Vlasov</v>
      </c>
      <c r="F15" s="161">
        <f ca="1">VLOOKUP(E15,Score!$B$2:$X$78,23,0)</f>
        <v>196.01329255329725</v>
      </c>
      <c r="G15" s="328" t="str">
        <f>Selfkant!C15</f>
        <v>O'Connor</v>
      </c>
      <c r="H15" s="161">
        <f ca="1">VLOOKUP(G15,Score!$B$2:$X$78,23,0)</f>
        <v>1.5192218276981384E-2</v>
      </c>
      <c r="I15" s="328" t="str">
        <f>Majella!C15</f>
        <v>Jakobsen</v>
      </c>
      <c r="J15" s="161">
        <f ca="1">VLOOKUP(I15,Score!$B$2:$X$78,23,0)</f>
        <v>154.01471988537023</v>
      </c>
      <c r="K15" s="328" t="str">
        <f>Lange!C15</f>
        <v>Sagan</v>
      </c>
      <c r="L15" s="161">
        <f ca="1">VLOOKUP(K15,Score!$B$2:$X$78,23,0)</f>
        <v>122.04417149935375</v>
      </c>
      <c r="M15" s="328" t="str">
        <f>Vod!C15</f>
        <v>Van Der Poel</v>
      </c>
      <c r="N15" s="161">
        <f ca="1">VLOOKUP(M15,Score!$B$2:$X$78,23,0)</f>
        <v>53.09832151756261</v>
      </c>
      <c r="O15" s="328" t="str">
        <f>Brits!C15</f>
        <v>van der Poel</v>
      </c>
      <c r="P15" s="161">
        <f ca="1">VLOOKUP(O15,Score!$B$2:$X$78,23,0)</f>
        <v>53.09832151756261</v>
      </c>
      <c r="Q15" s="328" t="str">
        <f>Bangkok!C15</f>
        <v>caruso</v>
      </c>
      <c r="R15" s="161">
        <f ca="1">VLOOKUP(Q15,Score!$B$2:$X$78,23,0)</f>
        <v>47.089298795162897</v>
      </c>
      <c r="S15" s="164">
        <f>Kol!C15</f>
        <v>0</v>
      </c>
      <c r="T15" s="161" t="e">
        <f>VLOOKUP(S15,Score!$B$2:$X$78,23,0)</f>
        <v>#N/A</v>
      </c>
      <c r="U15" s="328" t="str">
        <f>IJff!C15</f>
        <v>Pedersen</v>
      </c>
      <c r="V15" s="161">
        <f ca="1">VLOOKUP(U15,Score!$B$2:$X$78,23,0)</f>
        <v>182.03593988624741</v>
      </c>
      <c r="W15" s="328" t="str">
        <f>Gran!C15</f>
        <v>Caruso</v>
      </c>
      <c r="X15" s="161">
        <f ca="1">VLOOKUP(W15,Score!$B$2:$X$78,23,0)</f>
        <v>47.089298795162897</v>
      </c>
      <c r="Y15" s="328" t="str">
        <f>Kolbrelli!C15</f>
        <v>Vingegaard</v>
      </c>
      <c r="Z15" s="161">
        <f ca="1">VLOOKUP(Y15,Score!$B$2:$X$78,23,0)</f>
        <v>508.09902077888091</v>
      </c>
    </row>
    <row r="16" spans="1:26" s="25" customFormat="1">
      <c r="A16" s="164" t="str">
        <f>TTT!C16</f>
        <v>Bardet</v>
      </c>
      <c r="B16" s="161">
        <f ca="1">VLOOKUP(A16,Score!$B$2:$X$78,23,0)</f>
        <v>203.049165623199</v>
      </c>
      <c r="C16" s="328" t="str">
        <f>Lothar!C16</f>
        <v>Bardet</v>
      </c>
      <c r="D16" s="161">
        <f ca="1">VLOOKUP(C16,Score!$B$2:$X$78,23,0)</f>
        <v>203.049165623199</v>
      </c>
      <c r="E16" s="328" t="str">
        <f>Freaky!C16</f>
        <v>Leknessund</v>
      </c>
      <c r="F16" s="161">
        <f ca="1">VLOOKUP(E16,Score!$B$2:$X$78,23,0)</f>
        <v>44.075693283141057</v>
      </c>
      <c r="G16" s="328" t="str">
        <f>Selfkant!C16</f>
        <v>van der Poel</v>
      </c>
      <c r="H16" s="161">
        <f ca="1">VLOOKUP(G16,Score!$B$2:$X$78,23,0)</f>
        <v>53.09832151756261</v>
      </c>
      <c r="I16" s="328" t="str">
        <f>Majella!C16</f>
        <v>Philipsen</v>
      </c>
      <c r="J16" s="161">
        <f ca="1">VLOOKUP(I16,Score!$B$2:$X$78,23,0)</f>
        <v>234.01827223594739</v>
      </c>
      <c r="K16" s="328" t="str">
        <f>Lange!C16</f>
        <v>Ganna</v>
      </c>
      <c r="L16" s="161">
        <f ca="1">VLOOKUP(K16,Score!$B$2:$X$78,23,0)</f>
        <v>82.021647538499622</v>
      </c>
      <c r="M16" s="328" t="str">
        <f>Vod!C16</f>
        <v>Philipsen</v>
      </c>
      <c r="N16" s="161">
        <f ca="1">VLOOKUP(M16,Score!$B$2:$X$78,23,0)</f>
        <v>234.01827223594739</v>
      </c>
      <c r="O16" s="328" t="str">
        <f>Brits!C16</f>
        <v>Philipsen</v>
      </c>
      <c r="P16" s="161">
        <f ca="1">VLOOKUP(O16,Score!$B$2:$X$78,23,0)</f>
        <v>234.01827223594739</v>
      </c>
      <c r="Q16" s="328" t="str">
        <f>Bangkok!C16</f>
        <v>van der poel</v>
      </c>
      <c r="R16" s="161">
        <f ca="1">VLOOKUP(Q16,Score!$B$2:$X$78,23,0)</f>
        <v>53.09832151756261</v>
      </c>
      <c r="S16" s="164">
        <f>Kol!C16</f>
        <v>0</v>
      </c>
      <c r="T16" s="161" t="e">
        <f>VLOOKUP(S16,Score!$B$2:$X$78,23,0)</f>
        <v>#N/A</v>
      </c>
      <c r="U16" s="328" t="str">
        <f>IJff!C16</f>
        <v>Matthews</v>
      </c>
      <c r="V16" s="161">
        <f ca="1">VLOOKUP(U16,Score!$B$2:$X$78,23,0)</f>
        <v>121.07513679097575</v>
      </c>
      <c r="W16" s="328" t="str">
        <f>Gran!C16</f>
        <v>Martin</v>
      </c>
      <c r="X16" s="161">
        <f ca="1">VLOOKUP(W16,Score!$B$2:$X$78,23,0)</f>
        <v>33.099982953655292</v>
      </c>
      <c r="Y16" s="328" t="str">
        <f>Kolbrelli!C16</f>
        <v>Bodnar</v>
      </c>
      <c r="Z16" s="161">
        <f ca="1">VLOOKUP(Y16,Score!$B$2:$X$78,23,0)</f>
        <v>6.905920733659354E-3</v>
      </c>
    </row>
    <row r="17" spans="1:26" s="25" customFormat="1">
      <c r="A17" s="164" t="str">
        <f>TTT!C17</f>
        <v>Caruso</v>
      </c>
      <c r="B17" s="161">
        <f ca="1">VLOOKUP(A17,Score!$B$2:$X$78,23,0)</f>
        <v>47.089298795162897</v>
      </c>
      <c r="C17" s="328" t="str">
        <f>Lothar!C17</f>
        <v>Gaudu</v>
      </c>
      <c r="D17" s="161">
        <f ca="1">VLOOKUP(C17,Score!$B$2:$X$78,23,0)</f>
        <v>250.05243185002539</v>
      </c>
      <c r="E17" s="328" t="str">
        <f>Freaky!C17</f>
        <v>Mohoric</v>
      </c>
      <c r="F17" s="161">
        <f ca="1">VLOOKUP(E17,Score!$B$2:$X$78,23,0)</f>
        <v>9.6878941812040945E-2</v>
      </c>
      <c r="G17" s="328" t="str">
        <f>Selfkant!C17</f>
        <v>van Aert</v>
      </c>
      <c r="H17" s="161">
        <f ca="1">VLOOKUP(G17,Score!$B$2:$X$78,23,0)</f>
        <v>461.01070520640775</v>
      </c>
      <c r="I17" s="328" t="str">
        <f>Majella!C17</f>
        <v>Kristoff</v>
      </c>
      <c r="J17" s="161">
        <f ca="1">VLOOKUP(I17,Score!$B$2:$X$78,23,0)</f>
        <v>116.0500805588597</v>
      </c>
      <c r="K17" s="328" t="str">
        <f>Lange!C17</f>
        <v>Jakobsen</v>
      </c>
      <c r="L17" s="161">
        <f ca="1">VLOOKUP(K17,Score!$B$2:$X$78,23,0)</f>
        <v>154.01471988537023</v>
      </c>
      <c r="M17" s="328" t="str">
        <f>Vod!C17</f>
        <v>Uran</v>
      </c>
      <c r="N17" s="161">
        <f ca="1">VLOOKUP(M17,Score!$B$2:$X$78,23,0)</f>
        <v>37.097074911212545</v>
      </c>
      <c r="O17" s="328" t="str">
        <f>Brits!C17</f>
        <v>Bardet</v>
      </c>
      <c r="P17" s="161">
        <f ca="1">VLOOKUP(O17,Score!$B$2:$X$78,23,0)</f>
        <v>203.049165623199</v>
      </c>
      <c r="Q17" s="328" t="str">
        <f>Bangkok!C17</f>
        <v>haig</v>
      </c>
      <c r="R17" s="161">
        <f ca="1">VLOOKUP(Q17,Score!$B$2:$X$78,23,0)</f>
        <v>1.2655944708530775E-2</v>
      </c>
      <c r="S17" s="164">
        <f>Kol!C17</f>
        <v>0</v>
      </c>
      <c r="T17" s="161" t="e">
        <f>VLOOKUP(S17,Score!$B$2:$X$78,23,0)</f>
        <v>#N/A</v>
      </c>
      <c r="U17" s="328" t="str">
        <f>IJff!C17</f>
        <v>Hofstetter</v>
      </c>
      <c r="V17" s="161">
        <f ca="1">VLOOKUP(U17,Score!$B$2:$X$78,23,0)</f>
        <v>104.04686180977619</v>
      </c>
      <c r="W17" s="328" t="str">
        <f>Gran!C17</f>
        <v>Vingegaard</v>
      </c>
      <c r="X17" s="161">
        <f ca="1">VLOOKUP(W17,Score!$B$2:$X$78,23,0)</f>
        <v>508.09902077888091</v>
      </c>
      <c r="Y17" s="328" t="str">
        <f>Kolbrelli!C17</f>
        <v>Jakobsen</v>
      </c>
      <c r="Z17" s="161">
        <f ca="1">VLOOKUP(Y17,Score!$B$2:$X$78,23,0)</f>
        <v>154.01471988537023</v>
      </c>
    </row>
    <row r="18" spans="1:26" s="25" customFormat="1">
      <c r="A18" s="164" t="str">
        <f>TTT!C18</f>
        <v>Haig</v>
      </c>
      <c r="B18" s="161">
        <f ca="1">VLOOKUP(A18,Score!$B$2:$X$78,23,0)</f>
        <v>1.2655944708530775E-2</v>
      </c>
      <c r="C18" s="328" t="str">
        <f>Lothar!C18</f>
        <v>Vlasov</v>
      </c>
      <c r="D18" s="161">
        <f ca="1">VLOOKUP(C18,Score!$B$2:$X$78,23,0)</f>
        <v>196.01329255329725</v>
      </c>
      <c r="E18" s="328" t="str">
        <f>Freaky!C18</f>
        <v>Caruso</v>
      </c>
      <c r="F18" s="161">
        <f ca="1">VLOOKUP(E18,Score!$B$2:$X$78,23,0)</f>
        <v>47.089298795162897</v>
      </c>
      <c r="G18" s="328" t="str">
        <f>Selfkant!C18</f>
        <v>Küng</v>
      </c>
      <c r="H18" s="161">
        <f ca="1">VLOOKUP(G18,Score!$B$2:$X$78,23,0)</f>
        <v>65.093085547617974</v>
      </c>
      <c r="I18" s="328" t="str">
        <f>Majella!C18</f>
        <v>Gaudu</v>
      </c>
      <c r="J18" s="161">
        <f ca="1">VLOOKUP(I18,Score!$B$2:$X$78,23,0)</f>
        <v>250.05243185002539</v>
      </c>
      <c r="K18" s="328" t="str">
        <f>Lange!C18</f>
        <v>Groenewegen</v>
      </c>
      <c r="L18" s="161">
        <f ca="1">VLOOKUP(K18,Score!$B$2:$X$78,23,0)</f>
        <v>125.03457278117838</v>
      </c>
      <c r="M18" s="328" t="str">
        <f>Vod!C18</f>
        <v>Pedersen</v>
      </c>
      <c r="N18" s="161">
        <f ca="1">VLOOKUP(M18,Score!$B$2:$X$78,23,0)</f>
        <v>182.03593988624741</v>
      </c>
      <c r="O18" s="328" t="str">
        <f>Brits!C18</f>
        <v>Ewan</v>
      </c>
      <c r="P18" s="161">
        <f ca="1">VLOOKUP(O18,Score!$B$2:$X$78,23,0)</f>
        <v>64.004078220764413</v>
      </c>
      <c r="Q18" s="328" t="str">
        <f>Bangkok!C18</f>
        <v>ewan</v>
      </c>
      <c r="R18" s="161">
        <f ca="1">VLOOKUP(Q18,Score!$B$2:$X$78,23,0)</f>
        <v>64.004078220764413</v>
      </c>
      <c r="S18" s="164">
        <f>Kol!C18</f>
        <v>0</v>
      </c>
      <c r="T18" s="161" t="e">
        <f>VLOOKUP(S18,Score!$B$2:$X$78,23,0)</f>
        <v>#N/A</v>
      </c>
      <c r="U18" s="328" t="str">
        <f>IJff!C18</f>
        <v>Martin</v>
      </c>
      <c r="V18" s="161">
        <f ca="1">VLOOKUP(U18,Score!$B$2:$X$78,23,0)</f>
        <v>33.099982953655292</v>
      </c>
      <c r="W18" s="328" t="str">
        <f>Gran!C18</f>
        <v>Martinez</v>
      </c>
      <c r="X18" s="161">
        <f ca="1">VLOOKUP(W18,Score!$B$2:$X$78,23,0)</f>
        <v>78.03523460066333</v>
      </c>
      <c r="Y18" s="328" t="str">
        <f>Kolbrelli!C18</f>
        <v>Thomas</v>
      </c>
      <c r="Z18" s="161">
        <f ca="1">VLOOKUP(Y18,Score!$B$2:$X$78,23,0)</f>
        <v>311.06351184747467</v>
      </c>
    </row>
    <row r="19" spans="1:26" s="25" customFormat="1">
      <c r="A19" s="164" t="str">
        <f>TTT!C19</f>
        <v>Gaudu</v>
      </c>
      <c r="B19" s="161">
        <f ca="1">VLOOKUP(A19,Score!$B$2:$X$78,23,0)</f>
        <v>250.05243185002539</v>
      </c>
      <c r="C19" s="328" t="str">
        <f>Lothar!C19</f>
        <v>Mas</v>
      </c>
      <c r="D19" s="161">
        <f ca="1">VLOOKUP(C19,Score!$B$2:$X$78,23,0)</f>
        <v>128.00907381152805</v>
      </c>
      <c r="E19" s="328" t="str">
        <f>Freaky!C19</f>
        <v>Pinot</v>
      </c>
      <c r="F19" s="161">
        <f ca="1">VLOOKUP(E19,Score!$B$2:$X$78,23,0)</f>
        <v>78.024301040773736</v>
      </c>
      <c r="G19" s="328" t="str">
        <f>Selfkant!C19</f>
        <v>B.Thomas</v>
      </c>
      <c r="H19" s="161">
        <f ca="1">VLOOKUP(G19,Score!$B$2:$X$78,23,0)</f>
        <v>54.052273756450802</v>
      </c>
      <c r="I19" s="328" t="str">
        <f>Majella!C19</f>
        <v>Storer</v>
      </c>
      <c r="J19" s="161">
        <f ca="1">VLOOKUP(I19,Score!$B$2:$X$78,23,0)</f>
        <v>22.090982594912507</v>
      </c>
      <c r="K19" s="328" t="str">
        <f>Lange!C19</f>
        <v>Ewan</v>
      </c>
      <c r="L19" s="161">
        <f ca="1">VLOOKUP(K19,Score!$B$2:$X$78,23,0)</f>
        <v>64.004078220764413</v>
      </c>
      <c r="M19" s="328" t="str">
        <f>Vod!C19</f>
        <v>Matthews</v>
      </c>
      <c r="N19" s="161">
        <f ca="1">VLOOKUP(M19,Score!$B$2:$X$78,23,0)</f>
        <v>121.07513679097575</v>
      </c>
      <c r="O19" s="328" t="str">
        <f>Brits!C19</f>
        <v>Pedersen</v>
      </c>
      <c r="P19" s="161">
        <f ca="1">VLOOKUP(O19,Score!$B$2:$X$78,23,0)</f>
        <v>182.03593988624741</v>
      </c>
      <c r="Q19" s="328" t="str">
        <f>Bangkok!C19</f>
        <v>groenewegen</v>
      </c>
      <c r="R19" s="161">
        <f ca="1">VLOOKUP(Q19,Score!$B$2:$X$78,23,0)</f>
        <v>125.03457278117838</v>
      </c>
      <c r="S19" s="164">
        <f>Kol!C19</f>
        <v>0</v>
      </c>
      <c r="T19" s="161" t="e">
        <f>VLOOKUP(S19,Score!$B$2:$X$78,23,0)</f>
        <v>#N/A</v>
      </c>
      <c r="U19" s="328" t="str">
        <f>IJff!C19</f>
        <v>Asgreen</v>
      </c>
      <c r="V19" s="161">
        <f ca="1">VLOOKUP(U19,Score!$B$2:$X$78,23,0)</f>
        <v>2.2283386634909939E-2</v>
      </c>
      <c r="W19" s="328" t="str">
        <f>Gran!C19</f>
        <v>Vlasov</v>
      </c>
      <c r="X19" s="161">
        <f ca="1">VLOOKUP(W19,Score!$B$2:$X$78,23,0)</f>
        <v>196.01329255329725</v>
      </c>
      <c r="Y19" s="328" t="str">
        <f>Kolbrelli!C19</f>
        <v>Ewan</v>
      </c>
      <c r="Z19" s="161">
        <f ca="1">VLOOKUP(Y19,Score!$B$2:$X$78,23,0)</f>
        <v>64.004078220764413</v>
      </c>
    </row>
    <row r="20" spans="1:26" s="25" customFormat="1">
      <c r="A20" s="164" t="str">
        <f>TTT!C20</f>
        <v>Thomas</v>
      </c>
      <c r="B20" s="161">
        <f ca="1">VLOOKUP(A20,Score!$B$2:$X$78,23,0)</f>
        <v>311.06351184747467</v>
      </c>
      <c r="C20" s="328" t="str">
        <f>Lothar!C20</f>
        <v>Vingegaard</v>
      </c>
      <c r="D20" s="161">
        <f ca="1">VLOOKUP(C20,Score!$B$2:$X$78,23,0)</f>
        <v>508.09902077888091</v>
      </c>
      <c r="E20" s="328" t="str">
        <f>Freaky!C20</f>
        <v>Guerreiro</v>
      </c>
      <c r="F20" s="161">
        <f ca="1">VLOOKUP(E20,Score!$B$2:$X$78,23,0)</f>
        <v>1.7260791051733938E-2</v>
      </c>
      <c r="G20" s="328" t="str">
        <f>Selfkant!C20</f>
        <v>Fuglsang</v>
      </c>
      <c r="H20" s="161">
        <f ca="1">VLOOKUP(G20,Score!$B$2:$X$78,23,0)</f>
        <v>27.062501140673955</v>
      </c>
      <c r="I20" s="328" t="str">
        <f>Majella!C20</f>
        <v>Ganna</v>
      </c>
      <c r="J20" s="161">
        <f ca="1">VLOOKUP(I20,Score!$B$2:$X$78,23,0)</f>
        <v>82.021647538499622</v>
      </c>
      <c r="K20" s="328" t="str">
        <f>Lange!C20</f>
        <v>Philipsen</v>
      </c>
      <c r="L20" s="161">
        <f ca="1">VLOOKUP(K20,Score!$B$2:$X$78,23,0)</f>
        <v>234.01827223594739</v>
      </c>
      <c r="M20" s="328" t="str">
        <f>Vod!C20</f>
        <v>Groenewegen</v>
      </c>
      <c r="N20" s="161">
        <f ca="1">VLOOKUP(M20,Score!$B$2:$X$78,23,0)</f>
        <v>125.03457278117838</v>
      </c>
      <c r="O20" s="328" t="str">
        <f>Brits!C20</f>
        <v>Groenewegen</v>
      </c>
      <c r="P20" s="161">
        <f ca="1">VLOOKUP(O20,Score!$B$2:$X$78,23,0)</f>
        <v>125.03457278117838</v>
      </c>
      <c r="Q20" s="328" t="str">
        <f>Bangkok!C20</f>
        <v>kristoff</v>
      </c>
      <c r="R20" s="161">
        <f ca="1">VLOOKUP(Q20,Score!$B$2:$X$78,23,0)</f>
        <v>116.0500805588597</v>
      </c>
      <c r="S20" s="164">
        <f>Kol!C20</f>
        <v>0</v>
      </c>
      <c r="T20" s="161" t="e">
        <f>VLOOKUP(S20,Score!$B$2:$X$78,23,0)</f>
        <v>#N/A</v>
      </c>
      <c r="U20" s="328" t="str">
        <f>IJff!C20</f>
        <v>Sagan</v>
      </c>
      <c r="V20" s="161">
        <f ca="1">VLOOKUP(U20,Score!$B$2:$X$78,23,0)</f>
        <v>122.04417149935375</v>
      </c>
      <c r="W20" s="328" t="str">
        <f>Gran!C20</f>
        <v>Gaudu</v>
      </c>
      <c r="X20" s="161">
        <f ca="1">VLOOKUP(W20,Score!$B$2:$X$78,23,0)</f>
        <v>250.05243185002539</v>
      </c>
      <c r="Y20" s="328" t="str">
        <f>Kolbrelli!C20</f>
        <v>Schachmann</v>
      </c>
      <c r="Z20" s="161">
        <f ca="1">VLOOKUP(Y20,Score!$B$2:$X$78,23,0)</f>
        <v>13.06678840371212</v>
      </c>
    </row>
    <row r="21" spans="1:26">
      <c r="A21" s="165">
        <f>TTT!C21</f>
        <v>0</v>
      </c>
      <c r="B21" s="161"/>
      <c r="C21" s="329">
        <f>Lothar!C21</f>
        <v>0</v>
      </c>
      <c r="D21" s="161"/>
      <c r="E21" s="329">
        <f>Freaky!C21</f>
        <v>0</v>
      </c>
      <c r="F21" s="161"/>
      <c r="G21" s="329">
        <f>Selfkant!C21</f>
        <v>0</v>
      </c>
      <c r="H21" s="161"/>
      <c r="I21" s="329">
        <f>Majella!C21</f>
        <v>0</v>
      </c>
      <c r="J21" s="161"/>
      <c r="K21" s="329">
        <f>Lange!C21</f>
        <v>0</v>
      </c>
      <c r="L21" s="161"/>
      <c r="M21" s="329">
        <f>Vod!C21</f>
        <v>0</v>
      </c>
      <c r="N21" s="161"/>
      <c r="O21" s="329">
        <f>Brits!C21</f>
        <v>0</v>
      </c>
      <c r="P21" s="161"/>
      <c r="Q21" s="329">
        <f>Bangkok!C21</f>
        <v>0</v>
      </c>
      <c r="R21" s="161"/>
      <c r="S21" s="165">
        <f>Kol!C21</f>
        <v>0</v>
      </c>
      <c r="T21" s="161"/>
      <c r="U21" s="329">
        <f>IJff!C21</f>
        <v>0</v>
      </c>
      <c r="V21" s="161"/>
      <c r="W21" s="328">
        <f>Gran!C21</f>
        <v>0</v>
      </c>
      <c r="X21" s="161"/>
      <c r="Y21" s="328">
        <f>Kolbrelli!C21</f>
        <v>0</v>
      </c>
      <c r="Z21" s="161"/>
    </row>
    <row r="22" spans="1:26" s="47" customFormat="1">
      <c r="A22" s="166">
        <f>TTT!C22</f>
        <v>0</v>
      </c>
      <c r="B22" s="162">
        <f ca="1">SUM(B4:B21)</f>
        <v>2866.6636747362186</v>
      </c>
      <c r="C22" s="330">
        <f>Lothar!C22</f>
        <v>0</v>
      </c>
      <c r="D22" s="162">
        <f ca="1">SUM(D4:D21)</f>
        <v>2986.821796518956</v>
      </c>
      <c r="E22" s="330">
        <f>Freaky!C22</f>
        <v>0</v>
      </c>
      <c r="F22" s="162">
        <f ca="1">SUM(F4:F21)</f>
        <v>2172.8571334812327</v>
      </c>
      <c r="G22" s="330">
        <f>Selfkant!C22</f>
        <v>0</v>
      </c>
      <c r="H22" s="162">
        <f ca="1">SUM(H4:H21)</f>
        <v>2274.7278826404117</v>
      </c>
      <c r="I22" s="330">
        <f>Majella!C22</f>
        <v>0</v>
      </c>
      <c r="J22" s="162">
        <f ca="1">SUM(J4:J21)</f>
        <v>3278.7508542396981</v>
      </c>
      <c r="K22" s="330">
        <f>Lange!C22</f>
        <v>0</v>
      </c>
      <c r="L22" s="162">
        <f ca="1">SUM(L4:L21)</f>
        <v>2832.6950181348607</v>
      </c>
      <c r="M22" s="330">
        <f>Vod!C22</f>
        <v>0</v>
      </c>
      <c r="N22" s="162">
        <f ca="1">SUM(N4:N21)</f>
        <v>2733.9024363214594</v>
      </c>
      <c r="O22" s="330">
        <f>Brits!C22</f>
        <v>0</v>
      </c>
      <c r="P22" s="162">
        <f ca="1">SUM(P4:P21)</f>
        <v>2811.7717340884078</v>
      </c>
      <c r="Q22" s="330">
        <f>Bangkok!C22</f>
        <v>0</v>
      </c>
      <c r="R22" s="162">
        <f ca="1">SUM(R4:R21)</f>
        <v>2501.8309558309979</v>
      </c>
      <c r="S22" s="166">
        <f>Kol!C22</f>
        <v>0</v>
      </c>
      <c r="T22" s="162" t="e">
        <f>SUM(T4:T21)</f>
        <v>#N/A</v>
      </c>
      <c r="U22" s="330">
        <f>IJff!C22</f>
        <v>0</v>
      </c>
      <c r="V22" s="162">
        <f ca="1">SUM(V4:V21)</f>
        <v>2412.7802034553852</v>
      </c>
      <c r="W22" s="328">
        <f>Gran!C22</f>
        <v>0</v>
      </c>
      <c r="X22" s="162">
        <f ca="1">SUM(X4:X21)</f>
        <v>2596.7130750100209</v>
      </c>
      <c r="Y22" s="328">
        <f>Kolbrelli!C22</f>
        <v>0</v>
      </c>
      <c r="Z22" s="162">
        <f ca="1">SUM(Z4:Z21)</f>
        <v>2449.8020345800419</v>
      </c>
    </row>
    <row r="23" spans="1:26" s="21" customFormat="1">
      <c r="A23" s="165">
        <f>TTT!C23</f>
        <v>0</v>
      </c>
      <c r="B23" s="163"/>
      <c r="C23" s="329"/>
      <c r="D23" s="163"/>
      <c r="E23" s="329"/>
      <c r="F23" s="163"/>
      <c r="G23" s="329"/>
      <c r="H23" s="163"/>
      <c r="I23" s="329"/>
      <c r="J23" s="163"/>
      <c r="K23" s="329"/>
      <c r="L23" s="163"/>
      <c r="M23" s="329"/>
      <c r="N23" s="163"/>
      <c r="O23" s="329"/>
      <c r="P23" s="163"/>
      <c r="Q23" s="329"/>
      <c r="R23" s="163"/>
      <c r="S23" s="165"/>
      <c r="T23" s="163"/>
      <c r="U23" s="329"/>
      <c r="V23" s="163"/>
      <c r="W23" s="328"/>
      <c r="X23" s="163"/>
      <c r="Y23" s="328"/>
      <c r="Z23" s="163"/>
    </row>
    <row r="24" spans="1:26" s="227" customFormat="1">
      <c r="A24" s="229" t="str">
        <f>TTT!C24</f>
        <v>Kristoff</v>
      </c>
      <c r="B24" s="228">
        <f ca="1">VLOOKUP(A24,Score!$B$2:$X$78,23,0)</f>
        <v>116.0500805588597</v>
      </c>
      <c r="C24" s="331" t="str">
        <f>Lothar!C24</f>
        <v>Groenewegen</v>
      </c>
      <c r="D24" s="228">
        <f ca="1">VLOOKUP(C24,Score!$B$2:$X$78,23,0)</f>
        <v>125.03457278117838</v>
      </c>
      <c r="E24" s="331" t="str">
        <f>Freaky!C24</f>
        <v>Sagan</v>
      </c>
      <c r="F24" s="228">
        <f ca="1">VLOOKUP(E24,Score!$B$2:$X$78,23,0)</f>
        <v>122.04417149935375</v>
      </c>
      <c r="G24" s="331" t="str">
        <f>Selfkant!C24</f>
        <v>Mas</v>
      </c>
      <c r="H24" s="228">
        <f ca="1">VLOOKUP(G24,Score!$B$2:$X$78,23,0)</f>
        <v>128.00907381152805</v>
      </c>
      <c r="I24" s="331" t="str">
        <f>Majella!C24</f>
        <v>Pinot</v>
      </c>
      <c r="J24" s="228">
        <f ca="1">VLOOKUP(I24,Score!$B$2:$X$78,23,0)</f>
        <v>78.024301040773736</v>
      </c>
      <c r="K24" s="331" t="str">
        <f>Lange!C24</f>
        <v>Lutsenko</v>
      </c>
      <c r="L24" s="228">
        <f ca="1">VLOOKUP(K24,Score!$B$2:$X$78,23,0)</f>
        <v>108.06456752185424</v>
      </c>
      <c r="M24" s="331" t="str">
        <f>Vod!C24</f>
        <v>Haig</v>
      </c>
      <c r="N24" s="228">
        <f ca="1">VLOOKUP(M24,Score!$B$2:$X$78,23,0)</f>
        <v>1.2655944708530775E-2</v>
      </c>
      <c r="O24" s="331" t="str">
        <f>Brits!C24</f>
        <v>Lutsenko</v>
      </c>
      <c r="P24" s="228">
        <f ca="1">VLOOKUP(O24,Score!$B$2:$X$78,23,0)</f>
        <v>108.06456752185424</v>
      </c>
      <c r="Q24" s="331" t="str">
        <f>Bangkok!C24</f>
        <v>quintana</v>
      </c>
      <c r="R24" s="228">
        <f ca="1">VLOOKUP(Q24,Score!$B$2:$X$78,23,0)</f>
        <v>224.06950400498454</v>
      </c>
      <c r="S24" s="229">
        <f>Kol!C24</f>
        <v>0</v>
      </c>
      <c r="T24" s="228" t="e">
        <f>VLOOKUP(S24,Score!$B$2:$X$78,23,0)</f>
        <v>#N/A</v>
      </c>
      <c r="U24" s="331" t="str">
        <f>IJff!C24</f>
        <v>Bonnamour</v>
      </c>
      <c r="V24" s="228">
        <f ca="1">VLOOKUP(U24,Score!$B$2:$X$78,23,0)</f>
        <v>11.058646615237274</v>
      </c>
      <c r="W24" s="328" t="str">
        <f>Gran!C24</f>
        <v>Thomas</v>
      </c>
      <c r="X24" s="228">
        <f ca="1">VLOOKUP(W24,Score!$B$2:$X$78,23,0)</f>
        <v>311.06351184747467</v>
      </c>
      <c r="Y24" s="328" t="str">
        <f>Kolbrelli!C24</f>
        <v>Lutsenko</v>
      </c>
      <c r="Z24" s="228">
        <f ca="1">VLOOKUP(Y24,Score!$B$2:$X$78,23,0)</f>
        <v>108.06456752185424</v>
      </c>
    </row>
    <row r="25" spans="1:26" s="227" customFormat="1">
      <c r="A25" s="229" t="str">
        <f>TTT!C25</f>
        <v>Mas</v>
      </c>
      <c r="B25" s="228">
        <f ca="1">VLOOKUP(A25,Score!$B$2:$X$78,23,0)</f>
        <v>128.00907381152805</v>
      </c>
      <c r="C25" s="331" t="str">
        <f>Lothar!C25</f>
        <v>Haig</v>
      </c>
      <c r="D25" s="228">
        <f ca="1">VLOOKUP(C25,Score!$B$2:$X$78,23,0)</f>
        <v>1.2655944708530775E-2</v>
      </c>
      <c r="E25" s="331" t="str">
        <f>Freaky!C25</f>
        <v>McNulty</v>
      </c>
      <c r="F25" s="228">
        <f ca="1">VLOOKUP(E25,Score!$B$2:$X$78,23,0)</f>
        <v>98.060373543991702</v>
      </c>
      <c r="G25" s="331" t="str">
        <f>Selfkant!C25</f>
        <v>Kuss</v>
      </c>
      <c r="H25" s="228">
        <f ca="1">VLOOKUP(G25,Score!$B$2:$X$78,23,0)</f>
        <v>47.056645820372019</v>
      </c>
      <c r="I25" s="331" t="str">
        <f>Majella!C25</f>
        <v>Ewan</v>
      </c>
      <c r="J25" s="228">
        <f ca="1">VLOOKUP(I25,Score!$B$2:$X$78,23,0)</f>
        <v>64.004078220764413</v>
      </c>
      <c r="K25" s="331" t="str">
        <f>Lange!C25</f>
        <v>Martinez</v>
      </c>
      <c r="L25" s="228">
        <f ca="1">VLOOKUP(K25,Score!$B$2:$X$78,23,0)</f>
        <v>78.03523460066333</v>
      </c>
      <c r="M25" s="331" t="str">
        <f>Vod!C25</f>
        <v>Gaudu</v>
      </c>
      <c r="N25" s="228">
        <f ca="1">VLOOKUP(M25,Score!$B$2:$X$78,23,0)</f>
        <v>250.05243185002539</v>
      </c>
      <c r="O25" s="331" t="str">
        <f>Brits!C25</f>
        <v>Guerreiro</v>
      </c>
      <c r="P25" s="228">
        <f ca="1">VLOOKUP(O25,Score!$B$2:$X$78,23,0)</f>
        <v>1.7260791051733938E-2</v>
      </c>
      <c r="Q25" s="331" t="str">
        <f>Bangkok!C25</f>
        <v>gaudu</v>
      </c>
      <c r="R25" s="228">
        <f ca="1">VLOOKUP(Q25,Score!$B$2:$X$78,23,0)</f>
        <v>250.05243185002539</v>
      </c>
      <c r="S25" s="229">
        <f>Kol!C25</f>
        <v>0</v>
      </c>
      <c r="T25" s="228" t="e">
        <f>VLOOKUP(S25,Score!$B$2:$X$78,23,0)</f>
        <v>#N/A</v>
      </c>
      <c r="U25" s="331" t="str">
        <f>IJff!C25</f>
        <v>Quintana</v>
      </c>
      <c r="V25" s="228">
        <f ca="1">VLOOKUP(U25,Score!$B$2:$X$78,23,0)</f>
        <v>224.06950400498454</v>
      </c>
      <c r="W25" s="328" t="str">
        <f>Gran!C25</f>
        <v>Theuns</v>
      </c>
      <c r="X25" s="228">
        <f ca="1">VLOOKUP(W25,Score!$B$2:$X$78,23,0)</f>
        <v>82.038211164485247</v>
      </c>
      <c r="Y25" s="328" t="str">
        <f>Kolbrelli!C25</f>
        <v>Rutsch</v>
      </c>
      <c r="Z25" s="228">
        <f ca="1">VLOOKUP(Y25,Score!$B$2:$X$78,23,0)</f>
        <v>7.0270811367670077E-2</v>
      </c>
    </row>
    <row r="26" spans="1:26" s="227" customFormat="1">
      <c r="A26" s="229" t="str">
        <f>TTT!C26</f>
        <v>Meintjes</v>
      </c>
      <c r="B26" s="228">
        <f ca="1">VLOOKUP(A26,Score!$B$2:$X$78,23,0)</f>
        <v>141.07945849142075</v>
      </c>
      <c r="C26" s="331" t="str">
        <f>Lothar!C26</f>
        <v>Martinez</v>
      </c>
      <c r="D26" s="228">
        <f ca="1">VLOOKUP(C26,Score!$B$2:$X$78,23,0)</f>
        <v>78.03523460066333</v>
      </c>
      <c r="E26" s="331" t="str">
        <f>Freaky!C26</f>
        <v>Martin</v>
      </c>
      <c r="F26" s="228">
        <f ca="1">VLOOKUP(E26,Score!$B$2:$X$78,23,0)</f>
        <v>33.099982953655292</v>
      </c>
      <c r="G26" s="331" t="str">
        <f>Selfkant!C26</f>
        <v>Storer</v>
      </c>
      <c r="H26" s="228">
        <f ca="1">VLOOKUP(G26,Score!$B$2:$X$78,23,0)</f>
        <v>22.090982594912507</v>
      </c>
      <c r="I26" s="331" t="str">
        <f>Majella!C26</f>
        <v>Matthews</v>
      </c>
      <c r="J26" s="228">
        <f ca="1">VLOOKUP(I26,Score!$B$2:$X$78,23,0)</f>
        <v>121.07513679097575</v>
      </c>
      <c r="K26" s="331" t="str">
        <f>Lange!C26</f>
        <v>Pinot</v>
      </c>
      <c r="L26" s="228">
        <f ca="1">VLOOKUP(K26,Score!$B$2:$X$78,23,0)</f>
        <v>78.024301040773736</v>
      </c>
      <c r="M26" s="331" t="str">
        <f>Vod!C26</f>
        <v>Bardet</v>
      </c>
      <c r="N26" s="228">
        <f ca="1">VLOOKUP(M26,Score!$B$2:$X$78,23,0)</f>
        <v>203.049165623199</v>
      </c>
      <c r="O26" s="331" t="str">
        <f>Brits!C26</f>
        <v>Caruso</v>
      </c>
      <c r="P26" s="228">
        <f ca="1">VLOOKUP(O26,Score!$B$2:$X$78,23,0)</f>
        <v>47.089298795162897</v>
      </c>
      <c r="Q26" s="331" t="str">
        <f>Bangkok!C26</f>
        <v>hofstetter</v>
      </c>
      <c r="R26" s="228">
        <f ca="1">VLOOKUP(Q26,Score!$B$2:$X$78,23,0)</f>
        <v>104.04686180977619</v>
      </c>
      <c r="S26" s="229">
        <f>Kol!C26</f>
        <v>0</v>
      </c>
      <c r="T26" s="228" t="e">
        <f>VLOOKUP(S26,Score!$B$2:$X$78,23,0)</f>
        <v>#N/A</v>
      </c>
      <c r="U26" s="331" t="str">
        <f>IJff!C26</f>
        <v>Caruso</v>
      </c>
      <c r="V26" s="228">
        <f ca="1">VLOOKUP(U26,Score!$B$2:$X$78,23,0)</f>
        <v>47.089298795162897</v>
      </c>
      <c r="W26" s="328" t="str">
        <f>Gran!C26</f>
        <v>O'Connor</v>
      </c>
      <c r="X26" s="228">
        <f ca="1">VLOOKUP(W26,Score!$B$2:$X$78,23,0)</f>
        <v>1.5192218276981384E-2</v>
      </c>
      <c r="Y26" s="328" t="str">
        <f>Kolbrelli!C26</f>
        <v>Martin</v>
      </c>
      <c r="Z26" s="228">
        <f ca="1">VLOOKUP(Y26,Score!$B$2:$X$78,23,0)</f>
        <v>33.099982953655292</v>
      </c>
    </row>
    <row r="27" spans="1:26" s="25" customFormat="1">
      <c r="A27" s="184"/>
      <c r="B27" s="20"/>
      <c r="C27" s="331">
        <f>Lothar!C27</f>
        <v>0</v>
      </c>
      <c r="E27" s="331"/>
      <c r="G27" s="331"/>
      <c r="H27" s="20"/>
      <c r="I27" s="331"/>
      <c r="J27" s="20"/>
      <c r="K27" s="331"/>
      <c r="L27" s="20"/>
      <c r="M27" s="331"/>
      <c r="N27" s="20"/>
      <c r="O27" s="331"/>
      <c r="P27" s="20"/>
      <c r="Q27" s="331"/>
      <c r="R27" s="20"/>
      <c r="S27" s="229">
        <f>Kol!C27</f>
        <v>0</v>
      </c>
      <c r="T27" s="20"/>
      <c r="U27" s="331"/>
      <c r="V27" s="20"/>
      <c r="W27" s="328"/>
      <c r="X27" s="20"/>
      <c r="Y27" s="328"/>
      <c r="Z27" s="20"/>
    </row>
    <row r="28" spans="1:26" s="52" customFormat="1">
      <c r="A28" s="23" t="s">
        <v>160</v>
      </c>
      <c r="B28" s="237">
        <f>TTT!D28</f>
        <v>9</v>
      </c>
      <c r="C28" s="332"/>
      <c r="D28" s="240">
        <f>Lothar!D28</f>
        <v>9</v>
      </c>
      <c r="E28" s="332"/>
      <c r="F28" s="237">
        <f>Freaky!D28</f>
        <v>11</v>
      </c>
      <c r="G28" s="332"/>
      <c r="H28" s="237">
        <f>Selfkant!D28</f>
        <v>8</v>
      </c>
      <c r="I28" s="332"/>
      <c r="J28" s="237">
        <f>Majella!D28</f>
        <v>8</v>
      </c>
      <c r="K28" s="332"/>
      <c r="L28" s="237">
        <f>Lange!D28</f>
        <v>6</v>
      </c>
      <c r="M28" s="332"/>
      <c r="N28" s="236">
        <f>Vod!D28</f>
        <v>9</v>
      </c>
      <c r="O28" s="332"/>
      <c r="P28" s="237">
        <f>Brits!D28</f>
        <v>9</v>
      </c>
      <c r="Q28" s="332"/>
      <c r="R28" s="237">
        <f>Bangkok!D28</f>
        <v>0</v>
      </c>
      <c r="T28" s="237">
        <f>Kol!D28</f>
        <v>0</v>
      </c>
      <c r="U28" s="332"/>
      <c r="V28" s="237">
        <f>IJff!D28</f>
        <v>5</v>
      </c>
      <c r="W28" s="328"/>
      <c r="X28" s="237">
        <f>Gran!D28</f>
        <v>6</v>
      </c>
      <c r="Y28" s="328"/>
      <c r="Z28" s="237">
        <f>Kolbrelli!D28</f>
        <v>6</v>
      </c>
    </row>
    <row r="29" spans="1:26" s="25" customFormat="1">
      <c r="A29" s="266" t="s">
        <v>10</v>
      </c>
      <c r="B29" s="239">
        <f>TTT!D29</f>
        <v>5</v>
      </c>
      <c r="C29" s="328"/>
      <c r="D29" s="241">
        <f>Lothar!D29</f>
        <v>4</v>
      </c>
      <c r="E29" s="328"/>
      <c r="F29" s="239">
        <f>Freaky!D29</f>
        <v>2</v>
      </c>
      <c r="G29" s="328"/>
      <c r="H29" s="239">
        <f>Selfkant!D29</f>
        <v>4</v>
      </c>
      <c r="I29" s="328"/>
      <c r="J29" s="239">
        <f>Majella!D29</f>
        <v>5</v>
      </c>
      <c r="K29" s="328"/>
      <c r="L29" s="239">
        <f>Lange!D29</f>
        <v>7</v>
      </c>
      <c r="M29" s="328"/>
      <c r="N29" s="238">
        <f>Vod!D29</f>
        <v>5</v>
      </c>
      <c r="O29" s="328"/>
      <c r="P29" s="239">
        <f>Brits!D29</f>
        <v>6</v>
      </c>
      <c r="Q29" s="328"/>
      <c r="R29" s="239">
        <f>Bangkok!D29</f>
        <v>6</v>
      </c>
      <c r="T29" s="239">
        <f>Kol!D29</f>
        <v>0</v>
      </c>
      <c r="U29" s="328"/>
      <c r="V29" s="239">
        <f>IJff!D29</f>
        <v>7</v>
      </c>
      <c r="W29" s="328"/>
      <c r="X29" s="239">
        <f>Gran!D29</f>
        <v>6</v>
      </c>
      <c r="Y29" s="328"/>
      <c r="Z29" s="239">
        <f>Kolbrelli!D29</f>
        <v>4</v>
      </c>
    </row>
    <row r="30" spans="1:26" ht="13.2" thickBot="1">
      <c r="A30" s="24" t="s">
        <v>106</v>
      </c>
      <c r="B30" s="164">
        <f>TTT!D30</f>
        <v>3</v>
      </c>
      <c r="C30" s="333"/>
      <c r="D30" s="25">
        <f>Lothar!D30</f>
        <v>4</v>
      </c>
      <c r="E30" s="333"/>
      <c r="F30" s="164">
        <f>Freaky!D30</f>
        <v>4</v>
      </c>
      <c r="G30" s="333"/>
      <c r="H30" s="164">
        <f>Selfkant!D30</f>
        <v>5</v>
      </c>
      <c r="I30" s="333"/>
      <c r="J30" s="164">
        <f>Majella!D30</f>
        <v>4</v>
      </c>
      <c r="K30" s="333"/>
      <c r="L30" s="164">
        <f>Lange!D30</f>
        <v>4</v>
      </c>
      <c r="M30" s="333"/>
      <c r="N30" s="183">
        <f>Vod!D30</f>
        <v>3</v>
      </c>
      <c r="O30" s="333"/>
      <c r="P30" s="164">
        <f>Brits!D30</f>
        <v>2</v>
      </c>
      <c r="Q30" s="333"/>
      <c r="R30" s="164">
        <f>Bangkok!D30</f>
        <v>0</v>
      </c>
      <c r="T30" s="164">
        <f>Kol!D30</f>
        <v>0</v>
      </c>
      <c r="U30" s="333"/>
      <c r="V30" s="164">
        <f>IJff!D30</f>
        <v>5</v>
      </c>
      <c r="X30" s="164">
        <f>Gran!D30</f>
        <v>5</v>
      </c>
      <c r="Z30" s="164">
        <f>Kolbrelli!D30</f>
        <v>7</v>
      </c>
    </row>
    <row r="31" spans="1:26">
      <c r="C31" s="19"/>
      <c r="D31" s="18"/>
      <c r="E31" s="19"/>
      <c r="G31" s="19"/>
      <c r="I31" s="19"/>
      <c r="K31" s="19"/>
      <c r="L31" s="20"/>
      <c r="M31" s="19"/>
      <c r="O31" s="19"/>
      <c r="Q31" s="19"/>
      <c r="U31" s="19"/>
    </row>
    <row r="32" spans="1:26">
      <c r="C32" s="19"/>
      <c r="D32" s="18"/>
      <c r="E32" s="19"/>
      <c r="G32" s="19"/>
      <c r="I32" s="19"/>
      <c r="K32" s="19"/>
      <c r="L32" s="20"/>
      <c r="M32" s="19"/>
      <c r="O32" s="19"/>
      <c r="Q32" s="19"/>
      <c r="U32" s="19"/>
    </row>
    <row r="34" spans="3:21">
      <c r="C34" s="19"/>
      <c r="E34" s="19"/>
      <c r="G34" s="19"/>
      <c r="I34" s="19"/>
      <c r="K34" s="19"/>
      <c r="M34" s="19"/>
      <c r="O34" s="19"/>
      <c r="Q34" s="19"/>
      <c r="U34" s="19"/>
    </row>
  </sheetData>
  <phoneticPr fontId="0" type="noConversion"/>
  <pageMargins left="0.75" right="0.75" top="1" bottom="1" header="0.5" footer="0.5"/>
  <pageSetup paperSize="9" orientation="portrait" r:id="rId1"/>
  <headerFooter alignWithMargins="0"/>
  <ignoredErrors>
    <ignoredError sqref="G4:G20 E4:E20 K4:K20 O4:O20 Q4:Q2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tabColor indexed="12"/>
  </sheetPr>
  <dimension ref="B1:AF30"/>
  <sheetViews>
    <sheetView showZeros="0" workbookViewId="0">
      <selection activeCell="AB22" sqref="AB22"/>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304</v>
      </c>
      <c r="D1" s="220"/>
    </row>
    <row r="2" spans="2:28">
      <c r="B2" s="146"/>
      <c r="C2" s="250"/>
      <c r="D2" s="147"/>
      <c r="H2" s="112"/>
    </row>
    <row r="3" spans="2:28" s="110" customFormat="1" ht="14.4" thickBot="1">
      <c r="B3" s="251"/>
      <c r="C3" s="252" t="s">
        <v>219</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183</v>
      </c>
      <c r="C4" s="292" t="s">
        <v>52</v>
      </c>
      <c r="D4" s="223" t="s">
        <v>106</v>
      </c>
      <c r="E4" s="98">
        <f t="shared" ref="E4:T13" si="0">INDEX(scorematrix,MATCH($C4,renners,0),MATCH(E$3,etappes,0))</f>
        <v>19</v>
      </c>
      <c r="F4" s="98">
        <f t="shared" si="0"/>
        <v>2</v>
      </c>
      <c r="G4" s="98">
        <f t="shared" si="0"/>
        <v>0</v>
      </c>
      <c r="H4" s="98">
        <f t="shared" si="0"/>
        <v>0</v>
      </c>
      <c r="I4" s="98">
        <f t="shared" si="0"/>
        <v>0</v>
      </c>
      <c r="J4" s="98">
        <f t="shared" si="0"/>
        <v>0</v>
      </c>
      <c r="K4" s="98">
        <f t="shared" si="0"/>
        <v>0</v>
      </c>
      <c r="L4" s="98">
        <f t="shared" si="0"/>
        <v>0</v>
      </c>
      <c r="M4" s="98">
        <f t="shared" si="0"/>
        <v>0</v>
      </c>
      <c r="N4" s="98">
        <f t="shared" si="0"/>
        <v>0</v>
      </c>
      <c r="O4" s="98">
        <f t="shared" si="0"/>
        <v>0</v>
      </c>
      <c r="P4" s="98">
        <f t="shared" si="0"/>
        <v>0</v>
      </c>
      <c r="Q4" s="98">
        <f t="shared" si="0"/>
        <v>0</v>
      </c>
      <c r="R4" s="98">
        <f t="shared" si="0"/>
        <v>7</v>
      </c>
      <c r="S4" s="98">
        <f t="shared" si="0"/>
        <v>0</v>
      </c>
      <c r="T4" s="98">
        <f t="shared" si="0"/>
        <v>0</v>
      </c>
      <c r="U4" s="98">
        <f t="shared" ref="F4:Y18" si="1">INDEX(scorematrix,MATCH($C4,renners,0),MATCH(U$3,etappes,0))</f>
        <v>0</v>
      </c>
      <c r="V4" s="98">
        <f t="shared" si="1"/>
        <v>0</v>
      </c>
      <c r="W4" s="98">
        <f t="shared" si="1"/>
        <v>0</v>
      </c>
      <c r="X4" s="98">
        <f t="shared" si="1"/>
        <v>20</v>
      </c>
      <c r="Y4" s="98">
        <f t="shared" si="1"/>
        <v>0</v>
      </c>
      <c r="Z4" s="98">
        <f t="shared" ref="Z4:Z19" si="2">INDEX(scorematrix,MATCH($C4,renners,0),MATCH(Z$3,etappes,0))</f>
        <v>0</v>
      </c>
      <c r="AA4" s="153">
        <f t="shared" ref="AA4:AA21" si="3">SUM(E4:Z4)</f>
        <v>48</v>
      </c>
      <c r="AB4" s="94" t="str">
        <f t="shared" ref="AB4:AB20" si="4">C4</f>
        <v>Mollema</v>
      </c>
    </row>
    <row r="5" spans="2:28">
      <c r="B5" s="294" t="s">
        <v>158</v>
      </c>
      <c r="C5" s="292" t="s">
        <v>156</v>
      </c>
      <c r="D5" s="223" t="s">
        <v>106</v>
      </c>
      <c r="E5" s="98">
        <f t="shared" si="0"/>
        <v>43</v>
      </c>
      <c r="F5" s="98">
        <f t="shared" si="1"/>
        <v>45</v>
      </c>
      <c r="G5" s="98">
        <f t="shared" si="1"/>
        <v>45</v>
      </c>
      <c r="H5" s="98">
        <f t="shared" si="1"/>
        <v>54</v>
      </c>
      <c r="I5" s="98">
        <f t="shared" si="1"/>
        <v>29</v>
      </c>
      <c r="J5" s="98">
        <f t="shared" si="1"/>
        <v>8</v>
      </c>
      <c r="K5" s="98">
        <f t="shared" si="1"/>
        <v>5</v>
      </c>
      <c r="L5" s="98">
        <f t="shared" si="1"/>
        <v>40</v>
      </c>
      <c r="M5" s="98">
        <f t="shared" si="1"/>
        <v>5</v>
      </c>
      <c r="N5" s="98">
        <f t="shared" si="1"/>
        <v>5</v>
      </c>
      <c r="O5" s="98">
        <f t="shared" si="1"/>
        <v>5</v>
      </c>
      <c r="P5" s="98">
        <f t="shared" si="1"/>
        <v>5</v>
      </c>
      <c r="Q5" s="98">
        <f t="shared" si="1"/>
        <v>24</v>
      </c>
      <c r="R5" s="98">
        <f t="shared" si="1"/>
        <v>5</v>
      </c>
      <c r="S5" s="98">
        <f t="shared" si="1"/>
        <v>35</v>
      </c>
      <c r="T5" s="98">
        <f t="shared" si="1"/>
        <v>18</v>
      </c>
      <c r="U5" s="98">
        <f t="shared" si="1"/>
        <v>5</v>
      </c>
      <c r="V5" s="98">
        <f t="shared" si="1"/>
        <v>32</v>
      </c>
      <c r="W5" s="98">
        <f t="shared" si="1"/>
        <v>6</v>
      </c>
      <c r="X5" s="98">
        <f t="shared" si="1"/>
        <v>41</v>
      </c>
      <c r="Y5" s="98">
        <f t="shared" si="1"/>
        <v>6</v>
      </c>
      <c r="Z5" s="98">
        <f t="shared" si="2"/>
        <v>11</v>
      </c>
      <c r="AA5" s="153">
        <f t="shared" si="3"/>
        <v>472</v>
      </c>
      <c r="AB5" s="94" t="str">
        <f t="shared" si="4"/>
        <v>van Aert</v>
      </c>
    </row>
    <row r="6" spans="2:28">
      <c r="B6" s="294" t="s">
        <v>257</v>
      </c>
      <c r="C6" s="292" t="s">
        <v>195</v>
      </c>
      <c r="D6" s="223" t="s">
        <v>106</v>
      </c>
      <c r="E6" s="98">
        <f t="shared" si="0"/>
        <v>29</v>
      </c>
      <c r="F6" s="98">
        <f t="shared" si="1"/>
        <v>12</v>
      </c>
      <c r="G6" s="98">
        <f t="shared" si="1"/>
        <v>6</v>
      </c>
      <c r="H6" s="98">
        <f t="shared" si="1"/>
        <v>6</v>
      </c>
      <c r="I6" s="98">
        <f t="shared" si="1"/>
        <v>0</v>
      </c>
      <c r="J6" s="98">
        <f t="shared" si="1"/>
        <v>0</v>
      </c>
      <c r="K6" s="98">
        <f t="shared" si="1"/>
        <v>0</v>
      </c>
      <c r="L6" s="98">
        <f t="shared" si="1"/>
        <v>0</v>
      </c>
      <c r="M6" s="98">
        <f t="shared" si="1"/>
        <v>0</v>
      </c>
      <c r="N6" s="98">
        <f t="shared" si="1"/>
        <v>0</v>
      </c>
      <c r="O6" s="98">
        <f t="shared" si="1"/>
        <v>0</v>
      </c>
      <c r="P6" s="339">
        <f t="shared" si="1"/>
        <v>0</v>
      </c>
      <c r="Q6" s="339">
        <f t="shared" si="1"/>
        <v>0</v>
      </c>
      <c r="R6" s="339">
        <f t="shared" si="1"/>
        <v>0</v>
      </c>
      <c r="S6" s="339">
        <f t="shared" si="1"/>
        <v>0</v>
      </c>
      <c r="T6" s="339">
        <f t="shared" si="1"/>
        <v>0</v>
      </c>
      <c r="U6" s="339">
        <f t="shared" si="1"/>
        <v>0</v>
      </c>
      <c r="V6" s="339">
        <f t="shared" si="1"/>
        <v>0</v>
      </c>
      <c r="W6" s="339">
        <f t="shared" si="1"/>
        <v>0</v>
      </c>
      <c r="X6" s="339">
        <f t="shared" si="1"/>
        <v>0</v>
      </c>
      <c r="Y6" s="339">
        <f t="shared" si="1"/>
        <v>0</v>
      </c>
      <c r="Z6" s="339">
        <f t="shared" si="2"/>
        <v>0</v>
      </c>
      <c r="AA6" s="153">
        <f t="shared" si="3"/>
        <v>53</v>
      </c>
      <c r="AB6" s="94" t="str">
        <f t="shared" si="4"/>
        <v>van der Poel</v>
      </c>
    </row>
    <row r="7" spans="2:28">
      <c r="B7" s="294" t="s">
        <v>227</v>
      </c>
      <c r="C7" s="292" t="s">
        <v>228</v>
      </c>
      <c r="D7" s="223" t="s">
        <v>160</v>
      </c>
      <c r="E7" s="98">
        <f t="shared" si="0"/>
        <v>23</v>
      </c>
      <c r="F7" s="98">
        <f t="shared" si="1"/>
        <v>4</v>
      </c>
      <c r="G7" s="98">
        <f t="shared" si="1"/>
        <v>5</v>
      </c>
      <c r="H7" s="98">
        <f t="shared" si="1"/>
        <v>5</v>
      </c>
      <c r="I7" s="98">
        <f t="shared" si="1"/>
        <v>13</v>
      </c>
      <c r="J7" s="98">
        <f t="shared" si="1"/>
        <v>27</v>
      </c>
      <c r="K7" s="98">
        <f t="shared" si="1"/>
        <v>42</v>
      </c>
      <c r="L7" s="98">
        <f t="shared" si="1"/>
        <v>30</v>
      </c>
      <c r="M7" s="98">
        <f t="shared" si="1"/>
        <v>29</v>
      </c>
      <c r="N7" s="98">
        <f t="shared" si="1"/>
        <v>8</v>
      </c>
      <c r="O7" s="98">
        <f t="shared" si="1"/>
        <v>48</v>
      </c>
      <c r="P7" s="98">
        <f t="shared" si="1"/>
        <v>33</v>
      </c>
      <c r="Q7" s="98">
        <f t="shared" si="1"/>
        <v>20</v>
      </c>
      <c r="R7" s="98">
        <f t="shared" si="1"/>
        <v>12</v>
      </c>
      <c r="S7" s="98">
        <f t="shared" si="1"/>
        <v>10</v>
      </c>
      <c r="T7" s="98">
        <f t="shared" si="1"/>
        <v>21</v>
      </c>
      <c r="U7" s="98">
        <f t="shared" si="1"/>
        <v>40</v>
      </c>
      <c r="V7" s="98">
        <f t="shared" si="1"/>
        <v>50</v>
      </c>
      <c r="W7" s="98">
        <f t="shared" si="1"/>
        <v>28</v>
      </c>
      <c r="X7" s="98">
        <f t="shared" si="1"/>
        <v>45</v>
      </c>
      <c r="Y7" s="98">
        <f t="shared" si="1"/>
        <v>15</v>
      </c>
      <c r="Z7" s="98">
        <f t="shared" si="2"/>
        <v>80</v>
      </c>
      <c r="AA7" s="153">
        <f t="shared" si="3"/>
        <v>588</v>
      </c>
      <c r="AB7" s="94" t="str">
        <f t="shared" si="4"/>
        <v>Vingegaard</v>
      </c>
    </row>
    <row r="8" spans="2:28">
      <c r="B8" s="294" t="s">
        <v>94</v>
      </c>
      <c r="C8" s="292" t="s">
        <v>75</v>
      </c>
      <c r="D8" s="223" t="s">
        <v>160</v>
      </c>
      <c r="E8" s="98">
        <f t="shared" si="0"/>
        <v>8</v>
      </c>
      <c r="F8" s="98">
        <f t="shared" si="1"/>
        <v>0</v>
      </c>
      <c r="G8" s="98">
        <f t="shared" si="1"/>
        <v>0</v>
      </c>
      <c r="H8" s="98">
        <f t="shared" si="1"/>
        <v>0</v>
      </c>
      <c r="I8" s="98">
        <f t="shared" si="1"/>
        <v>1</v>
      </c>
      <c r="J8" s="98">
        <f t="shared" si="1"/>
        <v>16</v>
      </c>
      <c r="K8" s="98">
        <f t="shared" si="1"/>
        <v>30</v>
      </c>
      <c r="L8" s="98">
        <f t="shared" si="1"/>
        <v>23</v>
      </c>
      <c r="M8" s="98">
        <f t="shared" si="1"/>
        <v>27</v>
      </c>
      <c r="N8" s="98">
        <f t="shared" si="1"/>
        <v>7</v>
      </c>
      <c r="O8" s="98">
        <f t="shared" si="1"/>
        <v>31</v>
      </c>
      <c r="P8" s="98">
        <f t="shared" si="1"/>
        <v>27</v>
      </c>
      <c r="Q8" s="98">
        <f t="shared" si="1"/>
        <v>8</v>
      </c>
      <c r="R8" s="98">
        <f t="shared" si="1"/>
        <v>8</v>
      </c>
      <c r="S8" s="98">
        <f t="shared" si="1"/>
        <v>8</v>
      </c>
      <c r="T8" s="98">
        <f t="shared" si="1"/>
        <v>17</v>
      </c>
      <c r="U8" s="98">
        <f t="shared" si="1"/>
        <v>32</v>
      </c>
      <c r="V8" s="98">
        <f t="shared" si="1"/>
        <v>32</v>
      </c>
      <c r="W8" s="98">
        <f t="shared" si="1"/>
        <v>20</v>
      </c>
      <c r="X8" s="98">
        <f t="shared" si="1"/>
        <v>8</v>
      </c>
      <c r="Y8" s="98">
        <f t="shared" si="1"/>
        <v>8</v>
      </c>
      <c r="Z8" s="98">
        <f t="shared" si="2"/>
        <v>52</v>
      </c>
      <c r="AA8" s="153">
        <f t="shared" si="3"/>
        <v>363</v>
      </c>
      <c r="AB8" s="94" t="str">
        <f t="shared" si="4"/>
        <v>Thomas</v>
      </c>
    </row>
    <row r="9" spans="2:28">
      <c r="B9" s="294" t="s">
        <v>153</v>
      </c>
      <c r="C9" s="292" t="s">
        <v>154</v>
      </c>
      <c r="D9" s="223" t="s">
        <v>160</v>
      </c>
      <c r="E9" s="98">
        <f t="shared" si="0"/>
        <v>0</v>
      </c>
      <c r="F9" s="98">
        <f t="shared" si="1"/>
        <v>0</v>
      </c>
      <c r="G9" s="98">
        <f t="shared" si="1"/>
        <v>0</v>
      </c>
      <c r="H9" s="98">
        <f t="shared" si="1"/>
        <v>0</v>
      </c>
      <c r="I9" s="98">
        <f t="shared" si="1"/>
        <v>0</v>
      </c>
      <c r="J9" s="98">
        <f t="shared" si="1"/>
        <v>15</v>
      </c>
      <c r="K9" s="98">
        <f t="shared" si="1"/>
        <v>21</v>
      </c>
      <c r="L9" s="98">
        <f t="shared" si="1"/>
        <v>12</v>
      </c>
      <c r="M9" s="98">
        <f t="shared" si="1"/>
        <v>20</v>
      </c>
      <c r="N9" s="98">
        <f t="shared" si="1"/>
        <v>2</v>
      </c>
      <c r="O9" s="98">
        <f t="shared" si="1"/>
        <v>12</v>
      </c>
      <c r="P9" s="98">
        <f t="shared" si="1"/>
        <v>20</v>
      </c>
      <c r="Q9" s="98">
        <f t="shared" si="1"/>
        <v>2</v>
      </c>
      <c r="R9" s="98">
        <f t="shared" si="1"/>
        <v>1</v>
      </c>
      <c r="S9" s="98">
        <f t="shared" si="1"/>
        <v>1</v>
      </c>
      <c r="T9" s="98">
        <f t="shared" si="1"/>
        <v>0</v>
      </c>
      <c r="U9" s="98">
        <f t="shared" si="1"/>
        <v>15</v>
      </c>
      <c r="V9" s="98">
        <f t="shared" si="1"/>
        <v>7</v>
      </c>
      <c r="W9" s="98">
        <f t="shared" si="1"/>
        <v>0</v>
      </c>
      <c r="X9" s="339">
        <f t="shared" si="1"/>
        <v>0</v>
      </c>
      <c r="Y9" s="339">
        <f t="shared" si="1"/>
        <v>0</v>
      </c>
      <c r="Z9" s="339">
        <f t="shared" si="2"/>
        <v>0</v>
      </c>
      <c r="AA9" s="153">
        <f t="shared" si="3"/>
        <v>128</v>
      </c>
      <c r="AB9" s="94" t="str">
        <f t="shared" si="4"/>
        <v>Mas</v>
      </c>
    </row>
    <row r="10" spans="2:28">
      <c r="B10" s="294" t="s">
        <v>251</v>
      </c>
      <c r="C10" s="292" t="s">
        <v>242</v>
      </c>
      <c r="D10" s="223" t="s">
        <v>160</v>
      </c>
      <c r="E10" s="98">
        <f t="shared" si="0"/>
        <v>0</v>
      </c>
      <c r="F10" s="98">
        <f t="shared" si="1"/>
        <v>0</v>
      </c>
      <c r="G10" s="98">
        <f t="shared" si="1"/>
        <v>8</v>
      </c>
      <c r="H10" s="98">
        <f t="shared" si="1"/>
        <v>6</v>
      </c>
      <c r="I10" s="98">
        <f t="shared" si="1"/>
        <v>8</v>
      </c>
      <c r="J10" s="98">
        <f t="shared" si="1"/>
        <v>14</v>
      </c>
      <c r="K10" s="98">
        <f t="shared" si="1"/>
        <v>0</v>
      </c>
      <c r="L10" s="98">
        <f t="shared" si="1"/>
        <v>20</v>
      </c>
      <c r="M10" s="98">
        <f t="shared" si="1"/>
        <v>0</v>
      </c>
      <c r="N10" s="98">
        <f t="shared" si="1"/>
        <v>0</v>
      </c>
      <c r="O10" s="98">
        <f t="shared" si="1"/>
        <v>17</v>
      </c>
      <c r="P10" s="98">
        <f t="shared" si="1"/>
        <v>9</v>
      </c>
      <c r="Q10" s="98">
        <f t="shared" si="1"/>
        <v>1</v>
      </c>
      <c r="R10" s="98">
        <f t="shared" si="1"/>
        <v>0</v>
      </c>
      <c r="S10" s="98">
        <f t="shared" si="1"/>
        <v>10</v>
      </c>
      <c r="T10" s="98">
        <f t="shared" si="1"/>
        <v>23</v>
      </c>
      <c r="U10" s="98">
        <f t="shared" si="1"/>
        <v>21</v>
      </c>
      <c r="V10" s="98">
        <f t="shared" si="1"/>
        <v>21</v>
      </c>
      <c r="W10" s="98">
        <f t="shared" si="1"/>
        <v>18</v>
      </c>
      <c r="X10" s="98">
        <f t="shared" si="1"/>
        <v>14</v>
      </c>
      <c r="Y10" s="98">
        <f t="shared" si="1"/>
        <v>6</v>
      </c>
      <c r="Z10" s="98">
        <f t="shared" si="2"/>
        <v>44</v>
      </c>
      <c r="AA10" s="153">
        <f t="shared" si="3"/>
        <v>240</v>
      </c>
      <c r="AB10" s="94" t="str">
        <f t="shared" si="4"/>
        <v>Vlasov</v>
      </c>
    </row>
    <row r="11" spans="2:28">
      <c r="B11" s="294" t="s">
        <v>250</v>
      </c>
      <c r="C11" s="292" t="s">
        <v>105</v>
      </c>
      <c r="D11" s="223" t="s">
        <v>160</v>
      </c>
      <c r="E11" s="98">
        <f t="shared" si="0"/>
        <v>0</v>
      </c>
      <c r="F11" s="98">
        <f t="shared" si="1"/>
        <v>0</v>
      </c>
      <c r="G11" s="98">
        <f t="shared" si="1"/>
        <v>0</v>
      </c>
      <c r="H11" s="98">
        <f t="shared" si="1"/>
        <v>0</v>
      </c>
      <c r="I11" s="98">
        <f t="shared" si="1"/>
        <v>0</v>
      </c>
      <c r="J11" s="98">
        <f t="shared" si="1"/>
        <v>18</v>
      </c>
      <c r="K11" s="98">
        <f t="shared" si="1"/>
        <v>23</v>
      </c>
      <c r="L11" s="98">
        <f t="shared" si="1"/>
        <v>11</v>
      </c>
      <c r="M11" s="98">
        <f t="shared" si="1"/>
        <v>19</v>
      </c>
      <c r="N11" s="98">
        <f t="shared" si="1"/>
        <v>4</v>
      </c>
      <c r="O11" s="98">
        <f t="shared" si="1"/>
        <v>35</v>
      </c>
      <c r="P11" s="98">
        <f t="shared" si="1"/>
        <v>22</v>
      </c>
      <c r="Q11" s="98">
        <f t="shared" si="1"/>
        <v>7</v>
      </c>
      <c r="R11" s="98">
        <f t="shared" si="1"/>
        <v>7</v>
      </c>
      <c r="S11" s="98">
        <f t="shared" si="1"/>
        <v>7</v>
      </c>
      <c r="T11" s="98">
        <f t="shared" si="1"/>
        <v>2</v>
      </c>
      <c r="U11" s="98">
        <f t="shared" si="1"/>
        <v>25</v>
      </c>
      <c r="V11" s="98">
        <f t="shared" si="1"/>
        <v>12</v>
      </c>
      <c r="W11" s="98">
        <f t="shared" si="1"/>
        <v>3</v>
      </c>
      <c r="X11" s="98">
        <f t="shared" si="1"/>
        <v>4</v>
      </c>
      <c r="Y11" s="98">
        <f t="shared" si="1"/>
        <v>4</v>
      </c>
      <c r="Z11" s="98">
        <f t="shared" si="2"/>
        <v>38</v>
      </c>
      <c r="AA11" s="153">
        <f t="shared" si="3"/>
        <v>241</v>
      </c>
      <c r="AB11" s="94" t="str">
        <f t="shared" si="4"/>
        <v>Bardet</v>
      </c>
    </row>
    <row r="12" spans="2:28">
      <c r="B12" s="294" t="s">
        <v>253</v>
      </c>
      <c r="C12" s="292" t="s">
        <v>221</v>
      </c>
      <c r="D12" s="223" t="s">
        <v>160</v>
      </c>
      <c r="E12" s="98">
        <f t="shared" si="0"/>
        <v>13</v>
      </c>
      <c r="F12" s="98">
        <f t="shared" si="1"/>
        <v>6</v>
      </c>
      <c r="G12" s="98">
        <f t="shared" si="1"/>
        <v>3</v>
      </c>
      <c r="H12" s="98">
        <f t="shared" si="1"/>
        <v>3</v>
      </c>
      <c r="I12" s="98">
        <f t="shared" si="1"/>
        <v>3</v>
      </c>
      <c r="J12" s="98">
        <f t="shared" si="1"/>
        <v>21</v>
      </c>
      <c r="K12" s="98">
        <f t="shared" si="1"/>
        <v>24</v>
      </c>
      <c r="L12" s="98">
        <f t="shared" si="1"/>
        <v>15</v>
      </c>
      <c r="M12" s="98">
        <f t="shared" si="1"/>
        <v>25</v>
      </c>
      <c r="N12" s="98">
        <f t="shared" si="1"/>
        <v>6</v>
      </c>
      <c r="O12" s="98">
        <f t="shared" si="1"/>
        <v>25</v>
      </c>
      <c r="P12" s="98">
        <f t="shared" si="1"/>
        <v>20</v>
      </c>
      <c r="Q12" s="98">
        <f t="shared" si="1"/>
        <v>6</v>
      </c>
      <c r="R12" s="98">
        <f t="shared" si="1"/>
        <v>6</v>
      </c>
      <c r="S12" s="98">
        <f t="shared" si="1"/>
        <v>6</v>
      </c>
      <c r="T12" s="98">
        <f t="shared" si="1"/>
        <v>5</v>
      </c>
      <c r="U12" s="98">
        <f t="shared" si="1"/>
        <v>2</v>
      </c>
      <c r="V12" s="98">
        <f t="shared" si="1"/>
        <v>13</v>
      </c>
      <c r="W12" s="98">
        <f t="shared" si="1"/>
        <v>1</v>
      </c>
      <c r="X12" s="98">
        <f t="shared" si="1"/>
        <v>1</v>
      </c>
      <c r="Y12" s="98">
        <f t="shared" si="1"/>
        <v>1</v>
      </c>
      <c r="Z12" s="98">
        <f t="shared" si="2"/>
        <v>32</v>
      </c>
      <c r="AA12" s="153">
        <f t="shared" si="3"/>
        <v>237</v>
      </c>
      <c r="AB12" s="94" t="str">
        <f t="shared" si="4"/>
        <v>Yates</v>
      </c>
    </row>
    <row r="13" spans="2:28">
      <c r="B13" s="294" t="s">
        <v>203</v>
      </c>
      <c r="C13" s="292" t="s">
        <v>202</v>
      </c>
      <c r="D13" s="223" t="s">
        <v>10</v>
      </c>
      <c r="E13" s="98">
        <f t="shared" si="0"/>
        <v>25</v>
      </c>
      <c r="F13" s="98">
        <f t="shared" si="1"/>
        <v>35</v>
      </c>
      <c r="G13" s="98">
        <f t="shared" si="1"/>
        <v>21</v>
      </c>
      <c r="H13" s="98">
        <f t="shared" si="1"/>
        <v>21</v>
      </c>
      <c r="I13" s="98">
        <f t="shared" si="1"/>
        <v>5</v>
      </c>
      <c r="J13" s="98">
        <f t="shared" si="1"/>
        <v>0</v>
      </c>
      <c r="K13" s="98">
        <f t="shared" si="1"/>
        <v>0</v>
      </c>
      <c r="L13" s="98">
        <f t="shared" si="1"/>
        <v>0</v>
      </c>
      <c r="M13" s="98">
        <f t="shared" si="1"/>
        <v>0</v>
      </c>
      <c r="N13" s="98">
        <f t="shared" si="1"/>
        <v>0</v>
      </c>
      <c r="O13" s="98">
        <f t="shared" si="1"/>
        <v>0</v>
      </c>
      <c r="P13" s="98">
        <f t="shared" si="1"/>
        <v>0</v>
      </c>
      <c r="Q13" s="98">
        <f t="shared" si="1"/>
        <v>37</v>
      </c>
      <c r="R13" s="98">
        <f t="shared" si="1"/>
        <v>2</v>
      </c>
      <c r="S13" s="98">
        <f t="shared" si="1"/>
        <v>28</v>
      </c>
      <c r="T13" s="98">
        <f t="shared" si="1"/>
        <v>2</v>
      </c>
      <c r="U13" s="98">
        <f t="shared" si="1"/>
        <v>2</v>
      </c>
      <c r="V13" s="98">
        <f t="shared" si="1"/>
        <v>2</v>
      </c>
      <c r="W13" s="98">
        <f t="shared" si="1"/>
        <v>1</v>
      </c>
      <c r="X13" s="98">
        <f t="shared" si="1"/>
        <v>1</v>
      </c>
      <c r="Y13" s="98">
        <f t="shared" si="1"/>
        <v>0</v>
      </c>
      <c r="Z13" s="98">
        <f t="shared" si="2"/>
        <v>0</v>
      </c>
      <c r="AA13" s="153">
        <f t="shared" si="3"/>
        <v>182</v>
      </c>
      <c r="AB13" s="94" t="str">
        <f t="shared" si="4"/>
        <v>Pedersen</v>
      </c>
    </row>
    <row r="14" spans="2:28">
      <c r="B14" s="294" t="s">
        <v>252</v>
      </c>
      <c r="C14" s="292" t="s">
        <v>130</v>
      </c>
      <c r="D14" s="223" t="s">
        <v>10</v>
      </c>
      <c r="E14" s="98">
        <f t="shared" ref="E14:T20" si="5">INDEX(scorematrix,MATCH($C14,renners,0),MATCH(E$3,etappes,0))</f>
        <v>0</v>
      </c>
      <c r="F14" s="98">
        <f t="shared" si="5"/>
        <v>18</v>
      </c>
      <c r="G14" s="98">
        <f t="shared" si="5"/>
        <v>38</v>
      </c>
      <c r="H14" s="98">
        <f t="shared" si="5"/>
        <v>0</v>
      </c>
      <c r="I14" s="98">
        <f t="shared" si="5"/>
        <v>0</v>
      </c>
      <c r="J14" s="98">
        <f t="shared" si="5"/>
        <v>0</v>
      </c>
      <c r="K14" s="98">
        <f t="shared" si="5"/>
        <v>0</v>
      </c>
      <c r="L14" s="98">
        <f t="shared" si="5"/>
        <v>0</v>
      </c>
      <c r="M14" s="98">
        <f t="shared" si="5"/>
        <v>0</v>
      </c>
      <c r="N14" s="98">
        <f t="shared" si="5"/>
        <v>0</v>
      </c>
      <c r="O14" s="98">
        <f t="shared" si="5"/>
        <v>0</v>
      </c>
      <c r="P14" s="98">
        <f t="shared" si="5"/>
        <v>0</v>
      </c>
      <c r="Q14" s="98">
        <f t="shared" si="5"/>
        <v>0</v>
      </c>
      <c r="R14" s="98">
        <f t="shared" si="5"/>
        <v>0</v>
      </c>
      <c r="S14" s="98">
        <f t="shared" si="5"/>
        <v>20</v>
      </c>
      <c r="T14" s="98">
        <f t="shared" si="5"/>
        <v>0</v>
      </c>
      <c r="U14" s="98">
        <f t="shared" si="1"/>
        <v>0</v>
      </c>
      <c r="V14" s="98">
        <f t="shared" si="1"/>
        <v>0</v>
      </c>
      <c r="W14" s="98">
        <f t="shared" si="1"/>
        <v>19</v>
      </c>
      <c r="X14" s="98">
        <f t="shared" si="1"/>
        <v>0</v>
      </c>
      <c r="Y14" s="98">
        <f t="shared" si="1"/>
        <v>30</v>
      </c>
      <c r="Z14" s="98">
        <f t="shared" si="2"/>
        <v>0</v>
      </c>
      <c r="AA14" s="153">
        <f t="shared" si="3"/>
        <v>125</v>
      </c>
      <c r="AB14" s="94" t="str">
        <f t="shared" si="4"/>
        <v>Groenewegen</v>
      </c>
    </row>
    <row r="15" spans="2:28">
      <c r="B15" s="294" t="s">
        <v>249</v>
      </c>
      <c r="C15" s="292" t="s">
        <v>239</v>
      </c>
      <c r="D15" s="223" t="s">
        <v>10</v>
      </c>
      <c r="E15" s="98">
        <f t="shared" si="5"/>
        <v>0</v>
      </c>
      <c r="F15" s="98">
        <f t="shared" si="1"/>
        <v>39</v>
      </c>
      <c r="G15" s="98">
        <f t="shared" si="1"/>
        <v>26</v>
      </c>
      <c r="H15" s="98">
        <f t="shared" si="1"/>
        <v>17</v>
      </c>
      <c r="I15" s="98">
        <f t="shared" si="1"/>
        <v>21</v>
      </c>
      <c r="J15" s="98">
        <f t="shared" si="1"/>
        <v>4</v>
      </c>
      <c r="K15" s="98">
        <f t="shared" si="1"/>
        <v>4</v>
      </c>
      <c r="L15" s="98">
        <f t="shared" si="1"/>
        <v>4</v>
      </c>
      <c r="M15" s="98">
        <f t="shared" si="1"/>
        <v>4</v>
      </c>
      <c r="N15" s="98">
        <f t="shared" si="1"/>
        <v>4</v>
      </c>
      <c r="O15" s="98">
        <f t="shared" si="1"/>
        <v>4</v>
      </c>
      <c r="P15" s="98">
        <f t="shared" si="1"/>
        <v>3</v>
      </c>
      <c r="Q15" s="98">
        <f t="shared" si="1"/>
        <v>3</v>
      </c>
      <c r="R15" s="98">
        <f t="shared" si="1"/>
        <v>3</v>
      </c>
      <c r="S15" s="98">
        <f t="shared" si="1"/>
        <v>1</v>
      </c>
      <c r="T15" s="98">
        <f t="shared" si="1"/>
        <v>1</v>
      </c>
      <c r="U15" s="98">
        <f t="shared" si="1"/>
        <v>1</v>
      </c>
      <c r="V15" s="98">
        <f t="shared" si="1"/>
        <v>1</v>
      </c>
      <c r="W15" s="98">
        <f t="shared" si="1"/>
        <v>0</v>
      </c>
      <c r="X15" s="98">
        <f t="shared" si="1"/>
        <v>0</v>
      </c>
      <c r="Y15" s="98">
        <f t="shared" si="1"/>
        <v>14</v>
      </c>
      <c r="Z15" s="98">
        <f t="shared" si="2"/>
        <v>1</v>
      </c>
      <c r="AA15" s="153">
        <f t="shared" si="3"/>
        <v>155</v>
      </c>
      <c r="AB15" s="94" t="str">
        <f t="shared" si="4"/>
        <v>Jakobsen</v>
      </c>
    </row>
    <row r="16" spans="2:28">
      <c r="B16" s="294" t="s">
        <v>172</v>
      </c>
      <c r="C16" s="292" t="s">
        <v>233</v>
      </c>
      <c r="D16" s="223" t="s">
        <v>10</v>
      </c>
      <c r="E16" s="98">
        <f t="shared" si="5"/>
        <v>0</v>
      </c>
      <c r="F16" s="98">
        <f t="shared" si="1"/>
        <v>22</v>
      </c>
      <c r="G16" s="98">
        <f t="shared" si="1"/>
        <v>26</v>
      </c>
      <c r="H16" s="98">
        <f t="shared" si="1"/>
        <v>31</v>
      </c>
      <c r="I16" s="98">
        <f t="shared" si="1"/>
        <v>22</v>
      </c>
      <c r="J16" s="98">
        <f t="shared" si="1"/>
        <v>6</v>
      </c>
      <c r="K16" s="98">
        <f t="shared" si="1"/>
        <v>2</v>
      </c>
      <c r="L16" s="98">
        <f t="shared" si="1"/>
        <v>2</v>
      </c>
      <c r="M16" s="98">
        <f t="shared" si="1"/>
        <v>2</v>
      </c>
      <c r="N16" s="98">
        <f t="shared" si="1"/>
        <v>0</v>
      </c>
      <c r="O16" s="98">
        <f t="shared" si="1"/>
        <v>0</v>
      </c>
      <c r="P16" s="98">
        <f t="shared" si="1"/>
        <v>1</v>
      </c>
      <c r="Q16" s="98">
        <f t="shared" si="1"/>
        <v>0</v>
      </c>
      <c r="R16" s="98">
        <f t="shared" si="1"/>
        <v>0</v>
      </c>
      <c r="S16" s="98">
        <f t="shared" si="1"/>
        <v>35</v>
      </c>
      <c r="T16" s="98">
        <f t="shared" si="1"/>
        <v>3</v>
      </c>
      <c r="U16" s="98">
        <f t="shared" si="1"/>
        <v>3</v>
      </c>
      <c r="V16" s="98">
        <f t="shared" si="1"/>
        <v>3</v>
      </c>
      <c r="W16" s="98">
        <f t="shared" si="1"/>
        <v>34</v>
      </c>
      <c r="X16" s="98">
        <f t="shared" si="1"/>
        <v>3</v>
      </c>
      <c r="Y16" s="98">
        <f t="shared" si="1"/>
        <v>39</v>
      </c>
      <c r="Z16" s="98">
        <f t="shared" si="2"/>
        <v>7</v>
      </c>
      <c r="AA16" s="153">
        <f t="shared" si="3"/>
        <v>241</v>
      </c>
      <c r="AB16" s="94" t="str">
        <f t="shared" si="4"/>
        <v>Philipsen</v>
      </c>
    </row>
    <row r="17" spans="2:32">
      <c r="B17" s="294" t="s">
        <v>305</v>
      </c>
      <c r="C17" s="292" t="s">
        <v>91</v>
      </c>
      <c r="D17" s="223" t="s">
        <v>10</v>
      </c>
      <c r="E17" s="98">
        <f t="shared" si="5"/>
        <v>0</v>
      </c>
      <c r="F17" s="98">
        <f t="shared" si="1"/>
        <v>15</v>
      </c>
      <c r="G17" s="98">
        <f t="shared" si="1"/>
        <v>15</v>
      </c>
      <c r="H17" s="98">
        <f t="shared" si="1"/>
        <v>24</v>
      </c>
      <c r="I17" s="98">
        <f t="shared" si="1"/>
        <v>0</v>
      </c>
      <c r="J17" s="98">
        <f t="shared" si="1"/>
        <v>0</v>
      </c>
      <c r="K17" s="98">
        <f t="shared" si="1"/>
        <v>0</v>
      </c>
      <c r="L17" s="98">
        <f t="shared" si="1"/>
        <v>0</v>
      </c>
      <c r="M17" s="98">
        <f t="shared" si="1"/>
        <v>0</v>
      </c>
      <c r="N17" s="98">
        <f t="shared" si="1"/>
        <v>0</v>
      </c>
      <c r="O17" s="98">
        <f t="shared" si="1"/>
        <v>0</v>
      </c>
      <c r="P17" s="98">
        <f t="shared" si="1"/>
        <v>0</v>
      </c>
      <c r="Q17" s="98">
        <f t="shared" si="1"/>
        <v>12</v>
      </c>
      <c r="R17" s="98">
        <f t="shared" si="1"/>
        <v>0</v>
      </c>
      <c r="S17" s="98">
        <f t="shared" si="1"/>
        <v>13</v>
      </c>
      <c r="T17" s="98">
        <f t="shared" si="1"/>
        <v>0</v>
      </c>
      <c r="U17" s="98">
        <f t="shared" si="1"/>
        <v>0</v>
      </c>
      <c r="V17" s="98">
        <f t="shared" si="1"/>
        <v>0</v>
      </c>
      <c r="W17" s="98">
        <f t="shared" si="1"/>
        <v>11</v>
      </c>
      <c r="X17" s="98">
        <f t="shared" si="1"/>
        <v>0</v>
      </c>
      <c r="Y17" s="98">
        <f t="shared" si="1"/>
        <v>26</v>
      </c>
      <c r="Z17" s="98">
        <f t="shared" si="2"/>
        <v>0</v>
      </c>
      <c r="AA17" s="153">
        <f t="shared" si="3"/>
        <v>116</v>
      </c>
      <c r="AB17" s="94" t="str">
        <f t="shared" si="4"/>
        <v>Kristoff</v>
      </c>
    </row>
    <row r="18" spans="2:32">
      <c r="B18" s="294" t="s">
        <v>209</v>
      </c>
      <c r="C18" s="292" t="s">
        <v>200</v>
      </c>
      <c r="D18" s="223" t="s">
        <v>160</v>
      </c>
      <c r="E18" s="98">
        <f t="shared" si="5"/>
        <v>0</v>
      </c>
      <c r="F18" s="98">
        <f t="shared" si="1"/>
        <v>0</v>
      </c>
      <c r="G18" s="98">
        <f t="shared" si="1"/>
        <v>0</v>
      </c>
      <c r="H18" s="98">
        <f t="shared" si="1"/>
        <v>0</v>
      </c>
      <c r="I18" s="98">
        <f t="shared" si="1"/>
        <v>0</v>
      </c>
      <c r="J18" s="98">
        <f t="shared" si="1"/>
        <v>28</v>
      </c>
      <c r="K18" s="98">
        <f t="shared" ref="F18:Y20" si="6">INDEX(scorematrix,MATCH($C18,renners,0),MATCH(K$3,etappes,0))</f>
        <v>26</v>
      </c>
      <c r="L18" s="98">
        <f t="shared" si="6"/>
        <v>20</v>
      </c>
      <c r="M18" s="98">
        <f t="shared" si="6"/>
        <v>19</v>
      </c>
      <c r="N18" s="98">
        <f t="shared" si="6"/>
        <v>5</v>
      </c>
      <c r="O18" s="98">
        <f t="shared" si="6"/>
        <v>26</v>
      </c>
      <c r="P18" s="98">
        <f t="shared" si="6"/>
        <v>17</v>
      </c>
      <c r="Q18" s="98">
        <f t="shared" si="6"/>
        <v>4</v>
      </c>
      <c r="R18" s="98">
        <f t="shared" si="6"/>
        <v>3</v>
      </c>
      <c r="S18" s="98">
        <f t="shared" si="6"/>
        <v>3</v>
      </c>
      <c r="T18" s="98">
        <f t="shared" si="6"/>
        <v>14</v>
      </c>
      <c r="U18" s="98">
        <f t="shared" si="6"/>
        <v>25</v>
      </c>
      <c r="V18" s="98">
        <f t="shared" si="6"/>
        <v>29</v>
      </c>
      <c r="W18" s="98">
        <f t="shared" si="6"/>
        <v>17</v>
      </c>
      <c r="X18" s="98">
        <f t="shared" si="6"/>
        <v>7</v>
      </c>
      <c r="Y18" s="98">
        <f t="shared" si="6"/>
        <v>7</v>
      </c>
      <c r="Z18" s="98">
        <f t="shared" si="2"/>
        <v>48</v>
      </c>
      <c r="AA18" s="153">
        <f t="shared" si="3"/>
        <v>298</v>
      </c>
      <c r="AB18" s="94" t="str">
        <f t="shared" si="4"/>
        <v>Gaudu</v>
      </c>
    </row>
    <row r="19" spans="2:32">
      <c r="B19" s="294" t="s">
        <v>207</v>
      </c>
      <c r="C19" s="292" t="s">
        <v>282</v>
      </c>
      <c r="D19" s="223" t="s">
        <v>160</v>
      </c>
      <c r="E19" s="98">
        <f t="shared" si="5"/>
        <v>0</v>
      </c>
      <c r="F19" s="98">
        <f t="shared" si="6"/>
        <v>0</v>
      </c>
      <c r="G19" s="98">
        <f t="shared" si="6"/>
        <v>0</v>
      </c>
      <c r="H19" s="98">
        <f t="shared" si="6"/>
        <v>0</v>
      </c>
      <c r="I19" s="98">
        <f t="shared" si="6"/>
        <v>0</v>
      </c>
      <c r="J19" s="98">
        <f t="shared" si="6"/>
        <v>0</v>
      </c>
      <c r="K19" s="98">
        <f t="shared" si="6"/>
        <v>0</v>
      </c>
      <c r="L19" s="98">
        <f t="shared" si="6"/>
        <v>0</v>
      </c>
      <c r="M19" s="98">
        <f t="shared" si="6"/>
        <v>0</v>
      </c>
      <c r="N19" s="98">
        <f t="shared" si="6"/>
        <v>0</v>
      </c>
      <c r="O19" s="98">
        <f t="shared" si="6"/>
        <v>0</v>
      </c>
      <c r="P19" s="98">
        <f t="shared" si="6"/>
        <v>0</v>
      </c>
      <c r="Q19" s="98">
        <f t="shared" si="6"/>
        <v>0</v>
      </c>
      <c r="R19" s="340">
        <f t="shared" si="6"/>
        <v>0</v>
      </c>
      <c r="S19" s="340">
        <f t="shared" si="6"/>
        <v>0</v>
      </c>
      <c r="T19" s="340">
        <f t="shared" si="6"/>
        <v>22</v>
      </c>
      <c r="U19" s="340">
        <f t="shared" si="6"/>
        <v>0</v>
      </c>
      <c r="V19" s="340">
        <f t="shared" si="6"/>
        <v>0</v>
      </c>
      <c r="W19" s="340">
        <f t="shared" si="6"/>
        <v>0</v>
      </c>
      <c r="X19" s="340">
        <f t="shared" si="6"/>
        <v>0</v>
      </c>
      <c r="Y19" s="340">
        <f t="shared" si="6"/>
        <v>0</v>
      </c>
      <c r="Z19" s="340">
        <f t="shared" si="2"/>
        <v>0</v>
      </c>
      <c r="AA19" s="153">
        <f t="shared" si="3"/>
        <v>22</v>
      </c>
      <c r="AB19" s="94" t="str">
        <f t="shared" si="4"/>
        <v>Storer</v>
      </c>
    </row>
    <row r="20" spans="2:32" s="140" customFormat="1" ht="14.4" thickBot="1">
      <c r="B20" s="294" t="s">
        <v>259</v>
      </c>
      <c r="C20" s="292" t="s">
        <v>260</v>
      </c>
      <c r="D20" s="223" t="s">
        <v>106</v>
      </c>
      <c r="E20" s="98">
        <f t="shared" si="5"/>
        <v>33</v>
      </c>
      <c r="F20" s="98">
        <f t="shared" si="6"/>
        <v>7</v>
      </c>
      <c r="G20" s="98">
        <f t="shared" si="6"/>
        <v>0</v>
      </c>
      <c r="H20" s="98">
        <f t="shared" si="6"/>
        <v>0</v>
      </c>
      <c r="I20" s="98">
        <f t="shared" si="6"/>
        <v>0</v>
      </c>
      <c r="J20" s="98">
        <f t="shared" si="6"/>
        <v>0</v>
      </c>
      <c r="K20" s="98">
        <f t="shared" si="6"/>
        <v>0</v>
      </c>
      <c r="L20" s="98">
        <f t="shared" si="6"/>
        <v>0</v>
      </c>
      <c r="M20" s="98">
        <f t="shared" si="6"/>
        <v>0</v>
      </c>
      <c r="N20" s="98">
        <f t="shared" si="6"/>
        <v>0</v>
      </c>
      <c r="O20" s="98">
        <f t="shared" si="6"/>
        <v>0</v>
      </c>
      <c r="P20" s="98">
        <f t="shared" si="6"/>
        <v>0</v>
      </c>
      <c r="Q20" s="98">
        <f t="shared" si="6"/>
        <v>20</v>
      </c>
      <c r="R20" s="98">
        <f t="shared" si="6"/>
        <v>0</v>
      </c>
      <c r="S20" s="98">
        <f t="shared" si="6"/>
        <v>0</v>
      </c>
      <c r="T20" s="98">
        <f t="shared" si="6"/>
        <v>0</v>
      </c>
      <c r="U20" s="98">
        <f t="shared" si="6"/>
        <v>0</v>
      </c>
      <c r="V20" s="98">
        <f t="shared" si="6"/>
        <v>0</v>
      </c>
      <c r="W20" s="98">
        <f t="shared" si="6"/>
        <v>0</v>
      </c>
      <c r="X20" s="98">
        <f t="shared" si="6"/>
        <v>22</v>
      </c>
      <c r="Y20" s="98">
        <f t="shared" si="6"/>
        <v>0</v>
      </c>
      <c r="Z20" s="98">
        <f t="shared" ref="Z20" si="7">INDEX(scorematrix,MATCH($C20,renners,0),MATCH(Z$3,etappes,0))</f>
        <v>0</v>
      </c>
      <c r="AA20" s="153">
        <f t="shared" si="3"/>
        <v>82</v>
      </c>
      <c r="AB20" s="94" t="str">
        <f t="shared" si="4"/>
        <v>Ganna</v>
      </c>
    </row>
    <row r="21" spans="2:32" s="141" customFormat="1">
      <c r="B21" s="291"/>
      <c r="C21" s="288"/>
      <c r="D21" s="148"/>
      <c r="E21" s="150"/>
      <c r="F21" s="150"/>
      <c r="G21" s="150"/>
      <c r="H21" s="150"/>
      <c r="I21" s="150"/>
      <c r="J21" s="150"/>
      <c r="K21" s="150"/>
      <c r="L21" s="150"/>
      <c r="M21" s="150"/>
      <c r="N21" s="150"/>
      <c r="O21" s="150"/>
      <c r="P21" s="150">
        <f>P24-P6</f>
        <v>6</v>
      </c>
      <c r="Q21" s="150">
        <f t="shared" ref="Q21" si="8">Q24-Q6</f>
        <v>0</v>
      </c>
      <c r="R21" s="150">
        <f>R24-R6+R26-R19</f>
        <v>61</v>
      </c>
      <c r="S21" s="150">
        <f t="shared" ref="S21:W21" si="9">S24-S6+S26-S19</f>
        <v>0</v>
      </c>
      <c r="T21" s="150">
        <f t="shared" si="9"/>
        <v>-22</v>
      </c>
      <c r="U21" s="150">
        <f t="shared" si="9"/>
        <v>0</v>
      </c>
      <c r="V21" s="150">
        <f t="shared" si="9"/>
        <v>16</v>
      </c>
      <c r="W21" s="150">
        <f t="shared" si="9"/>
        <v>0</v>
      </c>
      <c r="X21" s="150">
        <f>X24-X6+X26-X19+X25</f>
        <v>0</v>
      </c>
      <c r="Y21" s="150">
        <f t="shared" ref="Y21:Z21" si="10">Y24-Y6+Y26-Y19+Y25</f>
        <v>18</v>
      </c>
      <c r="Z21" s="150">
        <f t="shared" si="10"/>
        <v>22</v>
      </c>
      <c r="AA21" s="193">
        <f t="shared" si="3"/>
        <v>101</v>
      </c>
      <c r="AF21" s="141" t="str">
        <f>PROPER(AD21)</f>
        <v/>
      </c>
    </row>
    <row r="22" spans="2:32" s="97" customFormat="1">
      <c r="B22" s="287"/>
      <c r="C22" s="289"/>
      <c r="D22" s="296"/>
      <c r="E22" s="309">
        <f t="shared" ref="E22:AA22" si="11">SUM(E4:E21)</f>
        <v>193</v>
      </c>
      <c r="F22" s="309">
        <f t="shared" si="11"/>
        <v>205</v>
      </c>
      <c r="G22" s="309">
        <f t="shared" si="11"/>
        <v>193</v>
      </c>
      <c r="H22" s="309">
        <f t="shared" si="11"/>
        <v>167</v>
      </c>
      <c r="I22" s="309">
        <f t="shared" si="11"/>
        <v>102</v>
      </c>
      <c r="J22" s="309">
        <f t="shared" si="11"/>
        <v>157</v>
      </c>
      <c r="K22" s="309">
        <f t="shared" si="11"/>
        <v>177</v>
      </c>
      <c r="L22" s="309">
        <f t="shared" si="11"/>
        <v>177</v>
      </c>
      <c r="M22" s="309">
        <f t="shared" si="11"/>
        <v>150</v>
      </c>
      <c r="N22" s="309">
        <f t="shared" si="11"/>
        <v>41</v>
      </c>
      <c r="O22" s="309">
        <f t="shared" si="11"/>
        <v>203</v>
      </c>
      <c r="P22" s="309">
        <f t="shared" si="11"/>
        <v>163</v>
      </c>
      <c r="Q22" s="309">
        <f t="shared" si="11"/>
        <v>144</v>
      </c>
      <c r="R22" s="309">
        <f t="shared" si="11"/>
        <v>115</v>
      </c>
      <c r="S22" s="309">
        <f t="shared" si="11"/>
        <v>177</v>
      </c>
      <c r="T22" s="309">
        <f t="shared" si="11"/>
        <v>106</v>
      </c>
      <c r="U22" s="309">
        <f t="shared" si="11"/>
        <v>171</v>
      </c>
      <c r="V22" s="309">
        <f t="shared" si="11"/>
        <v>218</v>
      </c>
      <c r="W22" s="309">
        <f t="shared" si="11"/>
        <v>158</v>
      </c>
      <c r="X22" s="309">
        <f t="shared" si="11"/>
        <v>166</v>
      </c>
      <c r="Y22" s="309">
        <f t="shared" si="11"/>
        <v>174</v>
      </c>
      <c r="Z22" s="309">
        <f t="shared" si="11"/>
        <v>335</v>
      </c>
      <c r="AA22" s="190">
        <f t="shared" si="11"/>
        <v>3692</v>
      </c>
      <c r="AF22" s="97" t="str">
        <f>PROPER(AD22)</f>
        <v/>
      </c>
    </row>
    <row r="23" spans="2:32" s="143" customFormat="1">
      <c r="B23" s="290" t="s">
        <v>210</v>
      </c>
      <c r="C23" s="290" t="s">
        <v>210</v>
      </c>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32" s="145" customFormat="1">
      <c r="B24" s="295" t="s">
        <v>331</v>
      </c>
      <c r="C24" s="293" t="s">
        <v>84</v>
      </c>
      <c r="D24" s="226"/>
      <c r="E24" s="160">
        <f t="shared" ref="E24:Z26" si="12">INDEX(scorematrix,MATCH($C24,renners,0),MATCH(E$3,etappes,0))</f>
        <v>0</v>
      </c>
      <c r="F24" s="160">
        <f t="shared" si="12"/>
        <v>0</v>
      </c>
      <c r="G24" s="160">
        <f t="shared" si="12"/>
        <v>0</v>
      </c>
      <c r="H24" s="160">
        <f t="shared" si="12"/>
        <v>0</v>
      </c>
      <c r="I24" s="160">
        <f t="shared" si="12"/>
        <v>0</v>
      </c>
      <c r="J24" s="160">
        <f t="shared" si="12"/>
        <v>0</v>
      </c>
      <c r="K24" s="160">
        <f t="shared" si="12"/>
        <v>0</v>
      </c>
      <c r="L24" s="160">
        <f t="shared" si="12"/>
        <v>0</v>
      </c>
      <c r="M24" s="160">
        <f t="shared" si="12"/>
        <v>27</v>
      </c>
      <c r="N24" s="160">
        <f t="shared" si="12"/>
        <v>3</v>
      </c>
      <c r="O24" s="160">
        <f t="shared" si="12"/>
        <v>0</v>
      </c>
      <c r="P24" s="338">
        <f t="shared" si="12"/>
        <v>6</v>
      </c>
      <c r="Q24" s="338">
        <f t="shared" si="12"/>
        <v>0</v>
      </c>
      <c r="R24" s="338">
        <f t="shared" si="12"/>
        <v>26</v>
      </c>
      <c r="S24" s="338">
        <f t="shared" si="12"/>
        <v>0</v>
      </c>
      <c r="T24" s="338">
        <f t="shared" si="12"/>
        <v>0</v>
      </c>
      <c r="U24" s="338">
        <f t="shared" si="12"/>
        <v>0</v>
      </c>
      <c r="V24" s="338">
        <f t="shared" si="12"/>
        <v>16</v>
      </c>
      <c r="W24" s="338">
        <f t="shared" si="12"/>
        <v>0</v>
      </c>
      <c r="X24" s="338">
        <f t="shared" si="12"/>
        <v>0</v>
      </c>
      <c r="Y24" s="338">
        <f t="shared" si="12"/>
        <v>0</v>
      </c>
      <c r="Z24" s="338">
        <f t="shared" si="12"/>
        <v>22</v>
      </c>
      <c r="AA24" s="245">
        <f>SUM(E24:Z24)</f>
        <v>100</v>
      </c>
    </row>
    <row r="25" spans="2:32" s="145" customFormat="1">
      <c r="B25" s="295" t="s">
        <v>150</v>
      </c>
      <c r="C25" s="293" t="s">
        <v>151</v>
      </c>
      <c r="D25" s="226"/>
      <c r="E25" s="160">
        <f t="shared" si="12"/>
        <v>0</v>
      </c>
      <c r="F25" s="160">
        <f t="shared" si="12"/>
        <v>13</v>
      </c>
      <c r="G25" s="160">
        <f t="shared" si="12"/>
        <v>17</v>
      </c>
      <c r="H25" s="160">
        <f t="shared" si="12"/>
        <v>0</v>
      </c>
      <c r="I25" s="160">
        <f t="shared" si="12"/>
        <v>0</v>
      </c>
      <c r="J25" s="160">
        <f t="shared" si="12"/>
        <v>0</v>
      </c>
      <c r="K25" s="160">
        <f t="shared" si="12"/>
        <v>0</v>
      </c>
      <c r="L25" s="160">
        <f t="shared" si="12"/>
        <v>0</v>
      </c>
      <c r="M25" s="160">
        <f t="shared" si="12"/>
        <v>0</v>
      </c>
      <c r="N25" s="160">
        <f t="shared" si="12"/>
        <v>0</v>
      </c>
      <c r="O25" s="160">
        <f t="shared" si="12"/>
        <v>0</v>
      </c>
      <c r="P25" s="160">
        <f t="shared" si="12"/>
        <v>0</v>
      </c>
      <c r="Q25" s="160">
        <f t="shared" si="12"/>
        <v>0</v>
      </c>
      <c r="R25" s="160">
        <f t="shared" si="12"/>
        <v>0</v>
      </c>
      <c r="S25" s="160">
        <f t="shared" si="12"/>
        <v>0</v>
      </c>
      <c r="T25" s="160">
        <f t="shared" si="12"/>
        <v>0</v>
      </c>
      <c r="U25" s="160">
        <f t="shared" si="12"/>
        <v>0</v>
      </c>
      <c r="V25" s="160">
        <f t="shared" si="12"/>
        <v>0</v>
      </c>
      <c r="W25" s="160">
        <f t="shared" si="12"/>
        <v>16</v>
      </c>
      <c r="X25" s="338">
        <f t="shared" si="12"/>
        <v>0</v>
      </c>
      <c r="Y25" s="338">
        <f t="shared" si="12"/>
        <v>18</v>
      </c>
      <c r="Z25" s="338">
        <f t="shared" si="12"/>
        <v>0</v>
      </c>
      <c r="AA25" s="245">
        <f>SUM(E25:Z25)</f>
        <v>64</v>
      </c>
    </row>
    <row r="26" spans="2:32" s="145" customFormat="1">
      <c r="B26" s="295" t="s">
        <v>207</v>
      </c>
      <c r="C26" s="293" t="s">
        <v>112</v>
      </c>
      <c r="D26" s="226"/>
      <c r="E26" s="160">
        <f t="shared" si="12"/>
        <v>9</v>
      </c>
      <c r="F26" s="160">
        <f t="shared" si="12"/>
        <v>0</v>
      </c>
      <c r="G26" s="160">
        <f t="shared" si="12"/>
        <v>0</v>
      </c>
      <c r="H26" s="160">
        <f t="shared" si="12"/>
        <v>17</v>
      </c>
      <c r="I26" s="160">
        <f t="shared" si="12"/>
        <v>0</v>
      </c>
      <c r="J26" s="160">
        <f t="shared" si="12"/>
        <v>30</v>
      </c>
      <c r="K26" s="160">
        <f t="shared" si="12"/>
        <v>0</v>
      </c>
      <c r="L26" s="160">
        <f t="shared" si="12"/>
        <v>30</v>
      </c>
      <c r="M26" s="160">
        <f t="shared" si="12"/>
        <v>0</v>
      </c>
      <c r="N26" s="160">
        <f t="shared" si="12"/>
        <v>0</v>
      </c>
      <c r="O26" s="160">
        <f t="shared" si="12"/>
        <v>0</v>
      </c>
      <c r="P26" s="160">
        <f t="shared" si="12"/>
        <v>0</v>
      </c>
      <c r="Q26" s="160">
        <f t="shared" si="12"/>
        <v>0</v>
      </c>
      <c r="R26" s="338">
        <f t="shared" si="12"/>
        <v>35</v>
      </c>
      <c r="S26" s="338">
        <f t="shared" si="12"/>
        <v>0</v>
      </c>
      <c r="T26" s="338">
        <f t="shared" si="12"/>
        <v>0</v>
      </c>
      <c r="U26" s="338">
        <f t="shared" si="12"/>
        <v>0</v>
      </c>
      <c r="V26" s="338">
        <f t="shared" si="12"/>
        <v>0</v>
      </c>
      <c r="W26" s="338">
        <f t="shared" si="12"/>
        <v>0</v>
      </c>
      <c r="X26" s="338">
        <f t="shared" si="12"/>
        <v>0</v>
      </c>
      <c r="Y26" s="338">
        <f t="shared" si="12"/>
        <v>0</v>
      </c>
      <c r="Z26" s="338">
        <f t="shared" si="12"/>
        <v>0</v>
      </c>
      <c r="AA26" s="245">
        <f>SUM(E26:Z26)</f>
        <v>121</v>
      </c>
    </row>
    <row r="28" spans="2:32">
      <c r="C28" s="246" t="s">
        <v>160</v>
      </c>
      <c r="D28" s="247">
        <f>COUNTIF($D$4:$D$21,C28)</f>
        <v>8</v>
      </c>
    </row>
    <row r="29" spans="2:32">
      <c r="C29" s="248" t="s">
        <v>10</v>
      </c>
      <c r="D29" s="247">
        <f>COUNTIF($D$4:$D$21,C29)</f>
        <v>5</v>
      </c>
    </row>
    <row r="30" spans="2:32">
      <c r="C30" s="248" t="s">
        <v>106</v>
      </c>
      <c r="D30" s="247">
        <f>COUNTIF($D$4:$D$21,C30)</f>
        <v>4</v>
      </c>
    </row>
  </sheetData>
  <sortState xmlns:xlrd2="http://schemas.microsoft.com/office/spreadsheetml/2017/richdata2" ref="A4:AF20">
    <sortCondition ref="D4:D20"/>
  </sortState>
  <phoneticPr fontId="0" type="noConversion"/>
  <dataValidations count="1">
    <dataValidation type="list" allowBlank="1" showInputMessage="1" showErrorMessage="1" prompt="selecteer type renner:" sqref="D24:D26 D4:D20" xr:uid="{00000000-0002-0000-0D00-000000000000}">
      <formula1>type_renner</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4">
    <tabColor indexed="12"/>
  </sheetPr>
  <dimension ref="B1:AB30"/>
  <sheetViews>
    <sheetView showZeros="0" workbookViewId="0">
      <selection activeCell="U26" sqref="U26"/>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184</v>
      </c>
      <c r="D1" s="220"/>
    </row>
    <row r="2" spans="2:28">
      <c r="B2" s="146"/>
      <c r="C2" s="250"/>
      <c r="D2" s="147"/>
      <c r="H2" s="112"/>
    </row>
    <row r="3" spans="2:28" s="110" customFormat="1" ht="14.4" thickBot="1">
      <c r="B3" s="251"/>
      <c r="C3" s="252" t="s">
        <v>185</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c r="C4" s="292" t="s">
        <v>130</v>
      </c>
      <c r="D4" s="223" t="s">
        <v>10</v>
      </c>
      <c r="E4" s="98">
        <f t="shared" ref="E4:T13" si="0">INDEX(scorematrix,MATCH($C4,renners,0),MATCH(E$3,etappes,0))</f>
        <v>0</v>
      </c>
      <c r="F4" s="98">
        <f t="shared" si="0"/>
        <v>18</v>
      </c>
      <c r="G4" s="98">
        <f t="shared" si="0"/>
        <v>38</v>
      </c>
      <c r="H4" s="98">
        <f t="shared" si="0"/>
        <v>0</v>
      </c>
      <c r="I4" s="98">
        <f t="shared" si="0"/>
        <v>0</v>
      </c>
      <c r="J4" s="98">
        <f t="shared" si="0"/>
        <v>0</v>
      </c>
      <c r="K4" s="98">
        <f t="shared" si="0"/>
        <v>0</v>
      </c>
      <c r="L4" s="98">
        <f t="shared" si="0"/>
        <v>0</v>
      </c>
      <c r="M4" s="98">
        <f t="shared" si="0"/>
        <v>0</v>
      </c>
      <c r="N4" s="98">
        <f t="shared" si="0"/>
        <v>0</v>
      </c>
      <c r="O4" s="98">
        <f t="shared" si="0"/>
        <v>0</v>
      </c>
      <c r="P4" s="98">
        <f t="shared" si="0"/>
        <v>0</v>
      </c>
      <c r="Q4" s="98">
        <f t="shared" si="0"/>
        <v>0</v>
      </c>
      <c r="R4" s="98">
        <f t="shared" si="0"/>
        <v>0</v>
      </c>
      <c r="S4" s="98">
        <f t="shared" si="0"/>
        <v>20</v>
      </c>
      <c r="T4" s="98">
        <f t="shared" si="0"/>
        <v>0</v>
      </c>
      <c r="U4" s="98">
        <f t="shared" ref="F4:Y18" si="1">INDEX(scorematrix,MATCH($C4,renners,0),MATCH(U$3,etappes,0))</f>
        <v>0</v>
      </c>
      <c r="V4" s="98">
        <f t="shared" si="1"/>
        <v>0</v>
      </c>
      <c r="W4" s="98">
        <f t="shared" si="1"/>
        <v>19</v>
      </c>
      <c r="X4" s="98">
        <f t="shared" si="1"/>
        <v>0</v>
      </c>
      <c r="Y4" s="98">
        <f t="shared" si="1"/>
        <v>30</v>
      </c>
      <c r="Z4" s="98">
        <f t="shared" ref="Z4:Z19" si="2">INDEX(scorematrix,MATCH($C4,renners,0),MATCH(Z$3,etappes,0))</f>
        <v>0</v>
      </c>
      <c r="AA4" s="153">
        <f t="shared" ref="AA4:AA21" si="3">SUM(E4:Z4)</f>
        <v>125</v>
      </c>
      <c r="AB4" s="94" t="str">
        <f t="shared" ref="AB4:AB20" si="4">C4</f>
        <v>Groenewegen</v>
      </c>
    </row>
    <row r="5" spans="2:28">
      <c r="B5" s="294"/>
      <c r="C5" s="292" t="s">
        <v>239</v>
      </c>
      <c r="D5" s="223" t="s">
        <v>10</v>
      </c>
      <c r="E5" s="98">
        <f t="shared" si="0"/>
        <v>0</v>
      </c>
      <c r="F5" s="98">
        <f t="shared" si="1"/>
        <v>39</v>
      </c>
      <c r="G5" s="98">
        <f t="shared" si="1"/>
        <v>26</v>
      </c>
      <c r="H5" s="98">
        <f t="shared" si="1"/>
        <v>17</v>
      </c>
      <c r="I5" s="98">
        <f t="shared" si="1"/>
        <v>21</v>
      </c>
      <c r="J5" s="98">
        <f t="shared" si="1"/>
        <v>4</v>
      </c>
      <c r="K5" s="98">
        <f t="shared" si="1"/>
        <v>4</v>
      </c>
      <c r="L5" s="98">
        <f t="shared" si="1"/>
        <v>4</v>
      </c>
      <c r="M5" s="98">
        <f t="shared" si="1"/>
        <v>4</v>
      </c>
      <c r="N5" s="98">
        <f t="shared" si="1"/>
        <v>4</v>
      </c>
      <c r="O5" s="98">
        <f t="shared" si="1"/>
        <v>4</v>
      </c>
      <c r="P5" s="98">
        <f t="shared" si="1"/>
        <v>3</v>
      </c>
      <c r="Q5" s="98">
        <f t="shared" si="1"/>
        <v>3</v>
      </c>
      <c r="R5" s="98">
        <f t="shared" si="1"/>
        <v>3</v>
      </c>
      <c r="S5" s="98">
        <f t="shared" si="1"/>
        <v>1</v>
      </c>
      <c r="T5" s="98">
        <f t="shared" si="1"/>
        <v>1</v>
      </c>
      <c r="U5" s="98">
        <f t="shared" si="1"/>
        <v>1</v>
      </c>
      <c r="V5" s="98">
        <f t="shared" si="1"/>
        <v>1</v>
      </c>
      <c r="W5" s="98">
        <f t="shared" si="1"/>
        <v>0</v>
      </c>
      <c r="X5" s="98">
        <f t="shared" si="1"/>
        <v>0</v>
      </c>
      <c r="Y5" s="98">
        <f t="shared" si="1"/>
        <v>14</v>
      </c>
      <c r="Z5" s="98">
        <f t="shared" si="2"/>
        <v>1</v>
      </c>
      <c r="AA5" s="153">
        <f t="shared" si="3"/>
        <v>155</v>
      </c>
      <c r="AB5" s="94" t="str">
        <f t="shared" si="4"/>
        <v>Jakobsen</v>
      </c>
    </row>
    <row r="6" spans="2:28">
      <c r="B6" s="294" t="s">
        <v>203</v>
      </c>
      <c r="C6" s="292" t="s">
        <v>202</v>
      </c>
      <c r="D6" s="223" t="s">
        <v>10</v>
      </c>
      <c r="E6" s="98">
        <f t="shared" si="0"/>
        <v>25</v>
      </c>
      <c r="F6" s="98">
        <f t="shared" si="1"/>
        <v>35</v>
      </c>
      <c r="G6" s="98">
        <f t="shared" si="1"/>
        <v>21</v>
      </c>
      <c r="H6" s="98">
        <f t="shared" si="1"/>
        <v>21</v>
      </c>
      <c r="I6" s="98">
        <f t="shared" si="1"/>
        <v>5</v>
      </c>
      <c r="J6" s="98">
        <f t="shared" si="1"/>
        <v>0</v>
      </c>
      <c r="K6" s="98">
        <f t="shared" si="1"/>
        <v>0</v>
      </c>
      <c r="L6" s="98">
        <f t="shared" si="1"/>
        <v>0</v>
      </c>
      <c r="M6" s="98">
        <f t="shared" si="1"/>
        <v>0</v>
      </c>
      <c r="N6" s="98">
        <f t="shared" si="1"/>
        <v>0</v>
      </c>
      <c r="O6" s="98">
        <f t="shared" si="1"/>
        <v>0</v>
      </c>
      <c r="P6" s="98">
        <f t="shared" si="1"/>
        <v>0</v>
      </c>
      <c r="Q6" s="98">
        <f t="shared" si="1"/>
        <v>37</v>
      </c>
      <c r="R6" s="98">
        <f t="shared" si="1"/>
        <v>2</v>
      </c>
      <c r="S6" s="98">
        <f t="shared" si="1"/>
        <v>28</v>
      </c>
      <c r="T6" s="98">
        <f t="shared" si="1"/>
        <v>2</v>
      </c>
      <c r="U6" s="98">
        <f t="shared" si="1"/>
        <v>2</v>
      </c>
      <c r="V6" s="98">
        <f t="shared" si="1"/>
        <v>2</v>
      </c>
      <c r="W6" s="98">
        <f t="shared" si="1"/>
        <v>1</v>
      </c>
      <c r="X6" s="98">
        <f t="shared" si="1"/>
        <v>1</v>
      </c>
      <c r="Y6" s="98">
        <f t="shared" si="1"/>
        <v>0</v>
      </c>
      <c r="Z6" s="98">
        <f t="shared" si="2"/>
        <v>0</v>
      </c>
      <c r="AA6" s="153">
        <f t="shared" si="3"/>
        <v>182</v>
      </c>
      <c r="AB6" s="94" t="str">
        <f t="shared" si="4"/>
        <v>Pedersen</v>
      </c>
    </row>
    <row r="7" spans="2:28">
      <c r="B7" s="294" t="s">
        <v>172</v>
      </c>
      <c r="C7" s="292" t="s">
        <v>233</v>
      </c>
      <c r="D7" s="223" t="s">
        <v>10</v>
      </c>
      <c r="E7" s="98">
        <f t="shared" si="0"/>
        <v>0</v>
      </c>
      <c r="F7" s="98">
        <f t="shared" si="1"/>
        <v>22</v>
      </c>
      <c r="G7" s="98">
        <f t="shared" si="1"/>
        <v>26</v>
      </c>
      <c r="H7" s="98">
        <f t="shared" si="1"/>
        <v>31</v>
      </c>
      <c r="I7" s="98">
        <f t="shared" si="1"/>
        <v>22</v>
      </c>
      <c r="J7" s="98">
        <f t="shared" si="1"/>
        <v>6</v>
      </c>
      <c r="K7" s="98">
        <f t="shared" si="1"/>
        <v>2</v>
      </c>
      <c r="L7" s="98">
        <f t="shared" si="1"/>
        <v>2</v>
      </c>
      <c r="M7" s="98">
        <f t="shared" si="1"/>
        <v>2</v>
      </c>
      <c r="N7" s="98">
        <f t="shared" si="1"/>
        <v>0</v>
      </c>
      <c r="O7" s="98">
        <f t="shared" si="1"/>
        <v>0</v>
      </c>
      <c r="P7" s="98">
        <f t="shared" si="1"/>
        <v>1</v>
      </c>
      <c r="Q7" s="98">
        <f t="shared" si="1"/>
        <v>0</v>
      </c>
      <c r="R7" s="98">
        <f t="shared" si="1"/>
        <v>0</v>
      </c>
      <c r="S7" s="98">
        <f t="shared" si="1"/>
        <v>35</v>
      </c>
      <c r="T7" s="98">
        <f t="shared" si="1"/>
        <v>3</v>
      </c>
      <c r="U7" s="98">
        <f t="shared" si="1"/>
        <v>3</v>
      </c>
      <c r="V7" s="98">
        <f t="shared" si="1"/>
        <v>3</v>
      </c>
      <c r="W7" s="98">
        <f t="shared" si="1"/>
        <v>34</v>
      </c>
      <c r="X7" s="98">
        <f t="shared" si="1"/>
        <v>3</v>
      </c>
      <c r="Y7" s="98">
        <f t="shared" si="1"/>
        <v>39</v>
      </c>
      <c r="Z7" s="98">
        <f t="shared" si="2"/>
        <v>7</v>
      </c>
      <c r="AA7" s="153">
        <f t="shared" si="3"/>
        <v>241</v>
      </c>
      <c r="AB7" s="94" t="str">
        <f t="shared" si="4"/>
        <v>Philipsen</v>
      </c>
    </row>
    <row r="8" spans="2:28">
      <c r="B8" s="294" t="s">
        <v>150</v>
      </c>
      <c r="C8" s="292" t="s">
        <v>151</v>
      </c>
      <c r="D8" s="223" t="s">
        <v>10</v>
      </c>
      <c r="E8" s="98">
        <f t="shared" si="0"/>
        <v>0</v>
      </c>
      <c r="F8" s="98">
        <f t="shared" si="1"/>
        <v>13</v>
      </c>
      <c r="G8" s="98">
        <f t="shared" si="1"/>
        <v>17</v>
      </c>
      <c r="H8" s="98">
        <f t="shared" si="1"/>
        <v>0</v>
      </c>
      <c r="I8" s="98">
        <f t="shared" si="1"/>
        <v>0</v>
      </c>
      <c r="J8" s="98">
        <f t="shared" si="1"/>
        <v>0</v>
      </c>
      <c r="K8" s="98">
        <f t="shared" si="1"/>
        <v>0</v>
      </c>
      <c r="L8" s="98">
        <f t="shared" si="1"/>
        <v>0</v>
      </c>
      <c r="M8" s="98">
        <f t="shared" si="1"/>
        <v>0</v>
      </c>
      <c r="N8" s="98">
        <f t="shared" si="1"/>
        <v>0</v>
      </c>
      <c r="O8" s="98">
        <f t="shared" si="1"/>
        <v>0</v>
      </c>
      <c r="P8" s="98">
        <f t="shared" si="1"/>
        <v>0</v>
      </c>
      <c r="Q8" s="98">
        <f t="shared" si="1"/>
        <v>0</v>
      </c>
      <c r="R8" s="98">
        <f t="shared" si="1"/>
        <v>0</v>
      </c>
      <c r="S8" s="98">
        <f t="shared" si="1"/>
        <v>0</v>
      </c>
      <c r="T8" s="98">
        <f t="shared" si="1"/>
        <v>0</v>
      </c>
      <c r="U8" s="98">
        <f t="shared" si="1"/>
        <v>0</v>
      </c>
      <c r="V8" s="98">
        <f t="shared" si="1"/>
        <v>0</v>
      </c>
      <c r="W8" s="98">
        <f t="shared" si="1"/>
        <v>16</v>
      </c>
      <c r="X8" s="98">
        <f t="shared" si="1"/>
        <v>0</v>
      </c>
      <c r="Y8" s="98">
        <f t="shared" si="1"/>
        <v>18</v>
      </c>
      <c r="Z8" s="98">
        <f t="shared" si="2"/>
        <v>0</v>
      </c>
      <c r="AA8" s="153">
        <f t="shared" si="3"/>
        <v>64</v>
      </c>
      <c r="AB8" s="94" t="str">
        <f t="shared" si="4"/>
        <v>Ewan</v>
      </c>
    </row>
    <row r="9" spans="2:28">
      <c r="B9" s="294"/>
      <c r="C9" s="292" t="s">
        <v>195</v>
      </c>
      <c r="D9" s="223" t="s">
        <v>106</v>
      </c>
      <c r="E9" s="98">
        <f t="shared" si="0"/>
        <v>29</v>
      </c>
      <c r="F9" s="98">
        <f t="shared" si="1"/>
        <v>12</v>
      </c>
      <c r="G9" s="98">
        <f t="shared" si="1"/>
        <v>6</v>
      </c>
      <c r="H9" s="98">
        <f t="shared" si="1"/>
        <v>6</v>
      </c>
      <c r="I9" s="98">
        <f t="shared" si="1"/>
        <v>0</v>
      </c>
      <c r="J9" s="98">
        <f t="shared" si="1"/>
        <v>0</v>
      </c>
      <c r="K9" s="98">
        <f t="shared" si="1"/>
        <v>0</v>
      </c>
      <c r="L9" s="98">
        <f t="shared" si="1"/>
        <v>0</v>
      </c>
      <c r="M9" s="98">
        <f t="shared" si="1"/>
        <v>0</v>
      </c>
      <c r="N9" s="98">
        <f t="shared" si="1"/>
        <v>0</v>
      </c>
      <c r="O9" s="98">
        <f t="shared" si="1"/>
        <v>0</v>
      </c>
      <c r="P9" s="98">
        <f t="shared" si="1"/>
        <v>0</v>
      </c>
      <c r="Q9" s="98">
        <f t="shared" si="1"/>
        <v>0</v>
      </c>
      <c r="R9" s="98">
        <f t="shared" si="1"/>
        <v>0</v>
      </c>
      <c r="S9" s="98">
        <f t="shared" si="1"/>
        <v>0</v>
      </c>
      <c r="T9" s="98">
        <f t="shared" si="1"/>
        <v>0</v>
      </c>
      <c r="U9" s="98">
        <f t="shared" si="1"/>
        <v>0</v>
      </c>
      <c r="V9" s="98">
        <f t="shared" si="1"/>
        <v>0</v>
      </c>
      <c r="W9" s="98">
        <f t="shared" si="1"/>
        <v>0</v>
      </c>
      <c r="X9" s="98">
        <f t="shared" si="1"/>
        <v>0</v>
      </c>
      <c r="Y9" s="98">
        <f t="shared" si="1"/>
        <v>0</v>
      </c>
      <c r="Z9" s="98">
        <f t="shared" si="2"/>
        <v>0</v>
      </c>
      <c r="AA9" s="153">
        <f t="shared" si="3"/>
        <v>53</v>
      </c>
      <c r="AB9" s="94" t="str">
        <f t="shared" si="4"/>
        <v>van der Poel</v>
      </c>
    </row>
    <row r="10" spans="2:28">
      <c r="B10" s="294"/>
      <c r="C10" s="292" t="s">
        <v>156</v>
      </c>
      <c r="D10" s="223" t="s">
        <v>106</v>
      </c>
      <c r="E10" s="98">
        <f t="shared" si="0"/>
        <v>43</v>
      </c>
      <c r="F10" s="98">
        <f t="shared" si="1"/>
        <v>45</v>
      </c>
      <c r="G10" s="98">
        <f t="shared" si="1"/>
        <v>45</v>
      </c>
      <c r="H10" s="98">
        <f t="shared" si="1"/>
        <v>54</v>
      </c>
      <c r="I10" s="98">
        <f t="shared" si="1"/>
        <v>29</v>
      </c>
      <c r="J10" s="98">
        <f t="shared" si="1"/>
        <v>8</v>
      </c>
      <c r="K10" s="98">
        <f t="shared" si="1"/>
        <v>5</v>
      </c>
      <c r="L10" s="98">
        <f t="shared" si="1"/>
        <v>40</v>
      </c>
      <c r="M10" s="98">
        <f t="shared" si="1"/>
        <v>5</v>
      </c>
      <c r="N10" s="98">
        <f t="shared" si="1"/>
        <v>5</v>
      </c>
      <c r="O10" s="98">
        <f t="shared" si="1"/>
        <v>5</v>
      </c>
      <c r="P10" s="98">
        <f t="shared" si="1"/>
        <v>5</v>
      </c>
      <c r="Q10" s="98">
        <f t="shared" si="1"/>
        <v>24</v>
      </c>
      <c r="R10" s="98">
        <f t="shared" si="1"/>
        <v>5</v>
      </c>
      <c r="S10" s="98">
        <f t="shared" si="1"/>
        <v>35</v>
      </c>
      <c r="T10" s="98">
        <f t="shared" si="1"/>
        <v>18</v>
      </c>
      <c r="U10" s="98">
        <f t="shared" si="1"/>
        <v>5</v>
      </c>
      <c r="V10" s="98">
        <f t="shared" si="1"/>
        <v>32</v>
      </c>
      <c r="W10" s="98">
        <f t="shared" si="1"/>
        <v>6</v>
      </c>
      <c r="X10" s="98">
        <f t="shared" si="1"/>
        <v>41</v>
      </c>
      <c r="Y10" s="98">
        <f t="shared" si="1"/>
        <v>6</v>
      </c>
      <c r="Z10" s="98">
        <f t="shared" si="2"/>
        <v>11</v>
      </c>
      <c r="AA10" s="153">
        <f t="shared" si="3"/>
        <v>472</v>
      </c>
      <c r="AB10" s="94" t="str">
        <f t="shared" si="4"/>
        <v>van Aert</v>
      </c>
    </row>
    <row r="11" spans="2:28">
      <c r="B11" s="294" t="s">
        <v>241</v>
      </c>
      <c r="C11" s="292" t="s">
        <v>240</v>
      </c>
      <c r="D11" s="223" t="s">
        <v>106</v>
      </c>
      <c r="E11" s="98">
        <f t="shared" si="0"/>
        <v>0</v>
      </c>
      <c r="F11" s="98">
        <f t="shared" si="1"/>
        <v>0</v>
      </c>
      <c r="G11" s="98">
        <f t="shared" si="1"/>
        <v>0</v>
      </c>
      <c r="H11" s="98">
        <f t="shared" si="1"/>
        <v>0</v>
      </c>
      <c r="I11" s="98">
        <f t="shared" si="1"/>
        <v>0</v>
      </c>
      <c r="J11" s="98">
        <f t="shared" si="1"/>
        <v>0</v>
      </c>
      <c r="K11" s="98">
        <f t="shared" si="1"/>
        <v>0</v>
      </c>
      <c r="L11" s="98">
        <f t="shared" si="1"/>
        <v>0</v>
      </c>
      <c r="M11" s="98">
        <f t="shared" si="1"/>
        <v>0</v>
      </c>
      <c r="N11" s="340">
        <f t="shared" si="1"/>
        <v>0</v>
      </c>
      <c r="O11" s="340">
        <f t="shared" si="1"/>
        <v>0</v>
      </c>
      <c r="P11" s="340">
        <f t="shared" si="1"/>
        <v>0</v>
      </c>
      <c r="Q11" s="340">
        <f t="shared" si="1"/>
        <v>0</v>
      </c>
      <c r="R11" s="340">
        <f t="shared" si="1"/>
        <v>0</v>
      </c>
      <c r="S11" s="340">
        <f t="shared" si="1"/>
        <v>0</v>
      </c>
      <c r="T11" s="340">
        <f t="shared" si="1"/>
        <v>0</v>
      </c>
      <c r="U11" s="340">
        <f t="shared" si="1"/>
        <v>0</v>
      </c>
      <c r="V11" s="340">
        <f t="shared" si="1"/>
        <v>0</v>
      </c>
      <c r="W11" s="340">
        <f t="shared" si="1"/>
        <v>0</v>
      </c>
      <c r="X11" s="340">
        <f t="shared" si="1"/>
        <v>0</v>
      </c>
      <c r="Y11" s="340">
        <f t="shared" si="1"/>
        <v>0</v>
      </c>
      <c r="Z11" s="340">
        <f t="shared" si="2"/>
        <v>0</v>
      </c>
      <c r="AA11" s="153">
        <f t="shared" si="3"/>
        <v>0</v>
      </c>
      <c r="AB11" s="94" t="str">
        <f t="shared" si="4"/>
        <v>Guerreiro</v>
      </c>
    </row>
    <row r="12" spans="2:28">
      <c r="B12" s="294"/>
      <c r="C12" s="292" t="s">
        <v>228</v>
      </c>
      <c r="D12" s="223" t="s">
        <v>160</v>
      </c>
      <c r="E12" s="98">
        <f t="shared" si="0"/>
        <v>23</v>
      </c>
      <c r="F12" s="98">
        <f t="shared" si="1"/>
        <v>4</v>
      </c>
      <c r="G12" s="98">
        <f t="shared" si="1"/>
        <v>5</v>
      </c>
      <c r="H12" s="98">
        <f t="shared" si="1"/>
        <v>5</v>
      </c>
      <c r="I12" s="98">
        <f t="shared" si="1"/>
        <v>13</v>
      </c>
      <c r="J12" s="98">
        <f t="shared" si="1"/>
        <v>27</v>
      </c>
      <c r="K12" s="98">
        <f t="shared" si="1"/>
        <v>42</v>
      </c>
      <c r="L12" s="98">
        <f t="shared" si="1"/>
        <v>30</v>
      </c>
      <c r="M12" s="98">
        <f t="shared" si="1"/>
        <v>29</v>
      </c>
      <c r="N12" s="98">
        <f t="shared" si="1"/>
        <v>8</v>
      </c>
      <c r="O12" s="98">
        <f t="shared" si="1"/>
        <v>48</v>
      </c>
      <c r="P12" s="98">
        <f t="shared" si="1"/>
        <v>33</v>
      </c>
      <c r="Q12" s="98">
        <f t="shared" si="1"/>
        <v>20</v>
      </c>
      <c r="R12" s="98">
        <f t="shared" si="1"/>
        <v>12</v>
      </c>
      <c r="S12" s="98">
        <f t="shared" si="1"/>
        <v>10</v>
      </c>
      <c r="T12" s="98">
        <f t="shared" si="1"/>
        <v>21</v>
      </c>
      <c r="U12" s="98">
        <f t="shared" si="1"/>
        <v>40</v>
      </c>
      <c r="V12" s="98">
        <f t="shared" si="1"/>
        <v>50</v>
      </c>
      <c r="W12" s="98">
        <f t="shared" si="1"/>
        <v>28</v>
      </c>
      <c r="X12" s="98">
        <f t="shared" si="1"/>
        <v>45</v>
      </c>
      <c r="Y12" s="98">
        <f t="shared" si="1"/>
        <v>15</v>
      </c>
      <c r="Z12" s="98">
        <f t="shared" si="2"/>
        <v>80</v>
      </c>
      <c r="AA12" s="153">
        <f t="shared" si="3"/>
        <v>588</v>
      </c>
      <c r="AB12" s="94" t="str">
        <f t="shared" si="4"/>
        <v>Vingegaard</v>
      </c>
    </row>
    <row r="13" spans="2:28">
      <c r="B13" s="294" t="s">
        <v>212</v>
      </c>
      <c r="C13" s="292" t="s">
        <v>213</v>
      </c>
      <c r="D13" s="223" t="s">
        <v>160</v>
      </c>
      <c r="E13" s="98">
        <f t="shared" si="0"/>
        <v>0</v>
      </c>
      <c r="F13" s="98">
        <f t="shared" si="1"/>
        <v>0</v>
      </c>
      <c r="G13" s="98">
        <f t="shared" si="1"/>
        <v>0</v>
      </c>
      <c r="H13" s="98">
        <f t="shared" si="1"/>
        <v>0</v>
      </c>
      <c r="I13" s="98">
        <f t="shared" si="1"/>
        <v>0</v>
      </c>
      <c r="J13" s="98">
        <f t="shared" si="1"/>
        <v>0</v>
      </c>
      <c r="K13" s="98">
        <f t="shared" si="1"/>
        <v>0</v>
      </c>
      <c r="L13" s="98">
        <f t="shared" si="1"/>
        <v>0</v>
      </c>
      <c r="M13" s="98">
        <f t="shared" si="1"/>
        <v>0</v>
      </c>
      <c r="N13" s="98">
        <f t="shared" si="1"/>
        <v>0</v>
      </c>
      <c r="O13" s="340">
        <f t="shared" si="1"/>
        <v>0</v>
      </c>
      <c r="P13" s="340">
        <f t="shared" si="1"/>
        <v>0</v>
      </c>
      <c r="Q13" s="340">
        <f t="shared" si="1"/>
        <v>0</v>
      </c>
      <c r="R13" s="340">
        <f t="shared" si="1"/>
        <v>0</v>
      </c>
      <c r="S13" s="340">
        <f t="shared" si="1"/>
        <v>0</v>
      </c>
      <c r="T13" s="340">
        <f t="shared" si="1"/>
        <v>0</v>
      </c>
      <c r="U13" s="340">
        <f t="shared" si="1"/>
        <v>0</v>
      </c>
      <c r="V13" s="340">
        <f t="shared" si="1"/>
        <v>0</v>
      </c>
      <c r="W13" s="340">
        <f t="shared" si="1"/>
        <v>0</v>
      </c>
      <c r="X13" s="340">
        <f t="shared" si="1"/>
        <v>0</v>
      </c>
      <c r="Y13" s="340">
        <f t="shared" si="1"/>
        <v>0</v>
      </c>
      <c r="Z13" s="340">
        <f t="shared" si="2"/>
        <v>0</v>
      </c>
      <c r="AA13" s="153">
        <f t="shared" si="3"/>
        <v>0</v>
      </c>
      <c r="AB13" s="94" t="str">
        <f t="shared" si="4"/>
        <v>O'Connor</v>
      </c>
    </row>
    <row r="14" spans="2:28">
      <c r="B14" s="294"/>
      <c r="C14" s="292" t="s">
        <v>242</v>
      </c>
      <c r="D14" s="223" t="s">
        <v>160</v>
      </c>
      <c r="E14" s="98">
        <f t="shared" ref="E14:T20" si="5">INDEX(scorematrix,MATCH($C14,renners,0),MATCH(E$3,etappes,0))</f>
        <v>0</v>
      </c>
      <c r="F14" s="98">
        <f t="shared" si="5"/>
        <v>0</v>
      </c>
      <c r="G14" s="98">
        <f t="shared" si="5"/>
        <v>8</v>
      </c>
      <c r="H14" s="98">
        <f t="shared" si="5"/>
        <v>6</v>
      </c>
      <c r="I14" s="98">
        <f t="shared" si="5"/>
        <v>8</v>
      </c>
      <c r="J14" s="98">
        <f t="shared" si="5"/>
        <v>14</v>
      </c>
      <c r="K14" s="98">
        <f t="shared" si="5"/>
        <v>0</v>
      </c>
      <c r="L14" s="98">
        <f t="shared" si="5"/>
        <v>20</v>
      </c>
      <c r="M14" s="98">
        <f t="shared" si="5"/>
        <v>0</v>
      </c>
      <c r="N14" s="98">
        <f t="shared" si="5"/>
        <v>0</v>
      </c>
      <c r="O14" s="98">
        <f t="shared" si="5"/>
        <v>17</v>
      </c>
      <c r="P14" s="98">
        <f t="shared" si="5"/>
        <v>9</v>
      </c>
      <c r="Q14" s="98">
        <f t="shared" si="5"/>
        <v>1</v>
      </c>
      <c r="R14" s="98">
        <f t="shared" si="5"/>
        <v>0</v>
      </c>
      <c r="S14" s="98">
        <f t="shared" si="5"/>
        <v>10</v>
      </c>
      <c r="T14" s="98">
        <f t="shared" si="5"/>
        <v>23</v>
      </c>
      <c r="U14" s="98">
        <f t="shared" si="1"/>
        <v>21</v>
      </c>
      <c r="V14" s="98">
        <f t="shared" si="1"/>
        <v>21</v>
      </c>
      <c r="W14" s="98">
        <f t="shared" si="1"/>
        <v>18</v>
      </c>
      <c r="X14" s="98">
        <f t="shared" si="1"/>
        <v>14</v>
      </c>
      <c r="Y14" s="98">
        <f t="shared" si="1"/>
        <v>6</v>
      </c>
      <c r="Z14" s="98">
        <f t="shared" si="2"/>
        <v>44</v>
      </c>
      <c r="AA14" s="153">
        <f t="shared" si="3"/>
        <v>240</v>
      </c>
      <c r="AB14" s="94" t="str">
        <f t="shared" si="4"/>
        <v>Vlasov</v>
      </c>
    </row>
    <row r="15" spans="2:28">
      <c r="B15" s="294" t="s">
        <v>170</v>
      </c>
      <c r="C15" s="292" t="s">
        <v>171</v>
      </c>
      <c r="D15" s="223" t="s">
        <v>160</v>
      </c>
      <c r="E15" s="98">
        <f t="shared" si="5"/>
        <v>0</v>
      </c>
      <c r="F15" s="98">
        <f t="shared" si="1"/>
        <v>0</v>
      </c>
      <c r="G15" s="98">
        <f t="shared" si="1"/>
        <v>0</v>
      </c>
      <c r="H15" s="98">
        <f t="shared" si="1"/>
        <v>0</v>
      </c>
      <c r="I15" s="98">
        <f t="shared" si="1"/>
        <v>0</v>
      </c>
      <c r="J15" s="98">
        <f t="shared" si="1"/>
        <v>21</v>
      </c>
      <c r="K15" s="98">
        <f t="shared" si="1"/>
        <v>16</v>
      </c>
      <c r="L15" s="98">
        <f t="shared" si="1"/>
        <v>1</v>
      </c>
      <c r="M15" s="98">
        <f t="shared" si="1"/>
        <v>0</v>
      </c>
      <c r="N15" s="98">
        <f t="shared" si="1"/>
        <v>0</v>
      </c>
      <c r="O15" s="98">
        <f t="shared" si="1"/>
        <v>0</v>
      </c>
      <c r="P15" s="98">
        <f t="shared" si="1"/>
        <v>0</v>
      </c>
      <c r="Q15" s="98">
        <f t="shared" si="1"/>
        <v>0</v>
      </c>
      <c r="R15" s="98">
        <f t="shared" si="1"/>
        <v>9</v>
      </c>
      <c r="S15" s="98">
        <f t="shared" si="1"/>
        <v>0</v>
      </c>
      <c r="T15" s="98">
        <f t="shared" si="1"/>
        <v>6</v>
      </c>
      <c r="U15" s="98">
        <f t="shared" si="1"/>
        <v>0</v>
      </c>
      <c r="V15" s="98">
        <f t="shared" si="1"/>
        <v>19</v>
      </c>
      <c r="W15" s="98">
        <f t="shared" si="1"/>
        <v>0</v>
      </c>
      <c r="X15" s="98">
        <f t="shared" si="1"/>
        <v>6</v>
      </c>
      <c r="Y15" s="98">
        <f t="shared" si="1"/>
        <v>0</v>
      </c>
      <c r="Z15" s="98">
        <f t="shared" si="2"/>
        <v>0</v>
      </c>
      <c r="AA15" s="153">
        <f t="shared" si="3"/>
        <v>78</v>
      </c>
      <c r="AB15" s="94" t="str">
        <f t="shared" si="4"/>
        <v>Martinez</v>
      </c>
    </row>
    <row r="16" spans="2:28">
      <c r="B16" s="294"/>
      <c r="C16" s="292" t="s">
        <v>105</v>
      </c>
      <c r="D16" s="223" t="s">
        <v>160</v>
      </c>
      <c r="E16" s="98">
        <f t="shared" si="5"/>
        <v>0</v>
      </c>
      <c r="F16" s="98">
        <f t="shared" si="1"/>
        <v>0</v>
      </c>
      <c r="G16" s="98">
        <f t="shared" si="1"/>
        <v>0</v>
      </c>
      <c r="H16" s="98">
        <f t="shared" si="1"/>
        <v>0</v>
      </c>
      <c r="I16" s="98">
        <f t="shared" si="1"/>
        <v>0</v>
      </c>
      <c r="J16" s="98">
        <f t="shared" si="1"/>
        <v>18</v>
      </c>
      <c r="K16" s="98">
        <f t="shared" si="1"/>
        <v>23</v>
      </c>
      <c r="L16" s="98">
        <f t="shared" si="1"/>
        <v>11</v>
      </c>
      <c r="M16" s="98">
        <f t="shared" si="1"/>
        <v>19</v>
      </c>
      <c r="N16" s="98">
        <f t="shared" si="1"/>
        <v>4</v>
      </c>
      <c r="O16" s="98">
        <f t="shared" si="1"/>
        <v>35</v>
      </c>
      <c r="P16" s="98">
        <f t="shared" si="1"/>
        <v>22</v>
      </c>
      <c r="Q16" s="98">
        <f t="shared" si="1"/>
        <v>7</v>
      </c>
      <c r="R16" s="98">
        <f t="shared" si="1"/>
        <v>7</v>
      </c>
      <c r="S16" s="98">
        <f t="shared" si="1"/>
        <v>7</v>
      </c>
      <c r="T16" s="98">
        <f t="shared" si="1"/>
        <v>2</v>
      </c>
      <c r="U16" s="98">
        <f t="shared" si="1"/>
        <v>25</v>
      </c>
      <c r="V16" s="98">
        <f t="shared" si="1"/>
        <v>12</v>
      </c>
      <c r="W16" s="98">
        <f t="shared" si="1"/>
        <v>3</v>
      </c>
      <c r="X16" s="98">
        <f t="shared" si="1"/>
        <v>4</v>
      </c>
      <c r="Y16" s="98">
        <f t="shared" si="1"/>
        <v>4</v>
      </c>
      <c r="Z16" s="98">
        <f t="shared" si="2"/>
        <v>38</v>
      </c>
      <c r="AA16" s="153">
        <f t="shared" si="3"/>
        <v>241</v>
      </c>
      <c r="AB16" s="94" t="str">
        <f t="shared" si="4"/>
        <v>Bardet</v>
      </c>
    </row>
    <row r="17" spans="2:28">
      <c r="B17" s="294"/>
      <c r="C17" s="292" t="s">
        <v>243</v>
      </c>
      <c r="D17" s="223" t="s">
        <v>160</v>
      </c>
      <c r="E17" s="98">
        <f t="shared" si="5"/>
        <v>0</v>
      </c>
      <c r="F17" s="98">
        <f t="shared" si="1"/>
        <v>0</v>
      </c>
      <c r="G17" s="98">
        <f t="shared" si="1"/>
        <v>0</v>
      </c>
      <c r="H17" s="98">
        <f t="shared" si="1"/>
        <v>0</v>
      </c>
      <c r="I17" s="98">
        <f t="shared" si="1"/>
        <v>0</v>
      </c>
      <c r="J17" s="98">
        <f t="shared" si="1"/>
        <v>0</v>
      </c>
      <c r="K17" s="98">
        <f t="shared" si="1"/>
        <v>9</v>
      </c>
      <c r="L17" s="98">
        <f t="shared" si="1"/>
        <v>7</v>
      </c>
      <c r="M17" s="98">
        <f t="shared" si="1"/>
        <v>15</v>
      </c>
      <c r="N17" s="98">
        <f t="shared" si="1"/>
        <v>0</v>
      </c>
      <c r="O17" s="98">
        <f t="shared" si="1"/>
        <v>0</v>
      </c>
      <c r="P17" s="98">
        <f t="shared" si="1"/>
        <v>0</v>
      </c>
      <c r="Q17" s="98">
        <f t="shared" si="1"/>
        <v>0</v>
      </c>
      <c r="R17" s="98">
        <f t="shared" si="1"/>
        <v>0</v>
      </c>
      <c r="S17" s="98">
        <f t="shared" si="1"/>
        <v>0</v>
      </c>
      <c r="T17" s="98">
        <f t="shared" si="1"/>
        <v>16</v>
      </c>
      <c r="U17" s="98">
        <f t="shared" si="1"/>
        <v>0</v>
      </c>
      <c r="V17" s="98">
        <f t="shared" si="1"/>
        <v>0</v>
      </c>
      <c r="W17" s="98">
        <f t="shared" si="1"/>
        <v>0</v>
      </c>
      <c r="X17" s="98">
        <f t="shared" si="1"/>
        <v>0</v>
      </c>
      <c r="Y17" s="98">
        <f t="shared" si="1"/>
        <v>0</v>
      </c>
      <c r="Z17" s="98">
        <f t="shared" si="2"/>
        <v>0</v>
      </c>
      <c r="AA17" s="153">
        <f t="shared" si="3"/>
        <v>47</v>
      </c>
      <c r="AB17" s="94" t="str">
        <f t="shared" si="4"/>
        <v>Caruso</v>
      </c>
    </row>
    <row r="18" spans="2:28">
      <c r="B18" s="294"/>
      <c r="C18" s="292" t="s">
        <v>198</v>
      </c>
      <c r="D18" s="223" t="s">
        <v>160</v>
      </c>
      <c r="E18" s="98">
        <f t="shared" si="5"/>
        <v>0</v>
      </c>
      <c r="F18" s="98">
        <f t="shared" si="1"/>
        <v>0</v>
      </c>
      <c r="G18" s="98">
        <f t="shared" si="1"/>
        <v>0</v>
      </c>
      <c r="H18" s="98">
        <f t="shared" si="1"/>
        <v>0</v>
      </c>
      <c r="I18" s="98">
        <f t="shared" si="1"/>
        <v>0</v>
      </c>
      <c r="J18" s="340">
        <f t="shared" si="1"/>
        <v>0</v>
      </c>
      <c r="K18" s="340">
        <f t="shared" ref="F18:Y20" si="6">INDEX(scorematrix,MATCH($C18,renners,0),MATCH(K$3,etappes,0))</f>
        <v>0</v>
      </c>
      <c r="L18" s="340">
        <f t="shared" si="6"/>
        <v>0</v>
      </c>
      <c r="M18" s="340">
        <f t="shared" si="6"/>
        <v>0</v>
      </c>
      <c r="N18" s="340">
        <f t="shared" si="6"/>
        <v>0</v>
      </c>
      <c r="O18" s="340">
        <f t="shared" si="6"/>
        <v>0</v>
      </c>
      <c r="P18" s="340">
        <f t="shared" si="6"/>
        <v>0</v>
      </c>
      <c r="Q18" s="340">
        <f t="shared" si="6"/>
        <v>0</v>
      </c>
      <c r="R18" s="340">
        <f t="shared" si="6"/>
        <v>0</v>
      </c>
      <c r="S18" s="340">
        <f t="shared" si="6"/>
        <v>0</v>
      </c>
      <c r="T18" s="340">
        <f t="shared" si="6"/>
        <v>0</v>
      </c>
      <c r="U18" s="340">
        <f t="shared" si="6"/>
        <v>0</v>
      </c>
      <c r="V18" s="340">
        <f t="shared" si="6"/>
        <v>0</v>
      </c>
      <c r="W18" s="340">
        <f t="shared" si="6"/>
        <v>0</v>
      </c>
      <c r="X18" s="340">
        <f t="shared" si="6"/>
        <v>0</v>
      </c>
      <c r="Y18" s="340">
        <f t="shared" si="6"/>
        <v>0</v>
      </c>
      <c r="Z18" s="340">
        <f t="shared" si="2"/>
        <v>0</v>
      </c>
      <c r="AA18" s="153">
        <f t="shared" si="3"/>
        <v>0</v>
      </c>
      <c r="AB18" s="94" t="str">
        <f t="shared" si="4"/>
        <v>Haig</v>
      </c>
    </row>
    <row r="19" spans="2:28">
      <c r="B19" s="294"/>
      <c r="C19" s="292" t="s">
        <v>200</v>
      </c>
      <c r="D19" s="223" t="s">
        <v>160</v>
      </c>
      <c r="E19" s="98">
        <f t="shared" si="5"/>
        <v>0</v>
      </c>
      <c r="F19" s="98">
        <f t="shared" si="6"/>
        <v>0</v>
      </c>
      <c r="G19" s="98">
        <f t="shared" si="6"/>
        <v>0</v>
      </c>
      <c r="H19" s="98">
        <f t="shared" si="6"/>
        <v>0</v>
      </c>
      <c r="I19" s="98">
        <f t="shared" si="6"/>
        <v>0</v>
      </c>
      <c r="J19" s="98">
        <f t="shared" si="6"/>
        <v>28</v>
      </c>
      <c r="K19" s="98">
        <f t="shared" si="6"/>
        <v>26</v>
      </c>
      <c r="L19" s="98">
        <f t="shared" si="6"/>
        <v>20</v>
      </c>
      <c r="M19" s="98">
        <f t="shared" si="6"/>
        <v>19</v>
      </c>
      <c r="N19" s="98">
        <f t="shared" si="6"/>
        <v>5</v>
      </c>
      <c r="O19" s="98">
        <f t="shared" si="6"/>
        <v>26</v>
      </c>
      <c r="P19" s="98">
        <f t="shared" si="6"/>
        <v>17</v>
      </c>
      <c r="Q19" s="98">
        <f t="shared" si="6"/>
        <v>4</v>
      </c>
      <c r="R19" s="98">
        <f t="shared" si="6"/>
        <v>3</v>
      </c>
      <c r="S19" s="98">
        <f t="shared" si="6"/>
        <v>3</v>
      </c>
      <c r="T19" s="98">
        <f t="shared" si="6"/>
        <v>14</v>
      </c>
      <c r="U19" s="98">
        <f t="shared" si="6"/>
        <v>25</v>
      </c>
      <c r="V19" s="98">
        <f t="shared" si="6"/>
        <v>29</v>
      </c>
      <c r="W19" s="98">
        <f t="shared" si="6"/>
        <v>17</v>
      </c>
      <c r="X19" s="98">
        <f t="shared" si="6"/>
        <v>7</v>
      </c>
      <c r="Y19" s="98">
        <f t="shared" si="6"/>
        <v>7</v>
      </c>
      <c r="Z19" s="98">
        <f t="shared" si="2"/>
        <v>48</v>
      </c>
      <c r="AA19" s="153">
        <f t="shared" si="3"/>
        <v>298</v>
      </c>
      <c r="AB19" s="94" t="str">
        <f t="shared" si="4"/>
        <v>Gaudu</v>
      </c>
    </row>
    <row r="20" spans="2:28" s="140" customFormat="1" ht="14.4" thickBot="1">
      <c r="B20" s="294" t="s">
        <v>94</v>
      </c>
      <c r="C20" s="292" t="s">
        <v>75</v>
      </c>
      <c r="D20" s="223" t="s">
        <v>160</v>
      </c>
      <c r="E20" s="98">
        <f t="shared" si="5"/>
        <v>8</v>
      </c>
      <c r="F20" s="98">
        <f t="shared" si="6"/>
        <v>0</v>
      </c>
      <c r="G20" s="98">
        <f t="shared" si="6"/>
        <v>0</v>
      </c>
      <c r="H20" s="98">
        <f t="shared" si="6"/>
        <v>0</v>
      </c>
      <c r="I20" s="98">
        <f t="shared" si="6"/>
        <v>1</v>
      </c>
      <c r="J20" s="98">
        <f t="shared" si="6"/>
        <v>16</v>
      </c>
      <c r="K20" s="98">
        <f t="shared" si="6"/>
        <v>30</v>
      </c>
      <c r="L20" s="98">
        <f t="shared" si="6"/>
        <v>23</v>
      </c>
      <c r="M20" s="98">
        <f t="shared" si="6"/>
        <v>27</v>
      </c>
      <c r="N20" s="98">
        <f t="shared" si="6"/>
        <v>7</v>
      </c>
      <c r="O20" s="98">
        <f t="shared" si="6"/>
        <v>31</v>
      </c>
      <c r="P20" s="98">
        <f t="shared" si="6"/>
        <v>27</v>
      </c>
      <c r="Q20" s="98">
        <f t="shared" si="6"/>
        <v>8</v>
      </c>
      <c r="R20" s="98">
        <f t="shared" si="6"/>
        <v>8</v>
      </c>
      <c r="S20" s="98">
        <f t="shared" si="6"/>
        <v>8</v>
      </c>
      <c r="T20" s="98">
        <f t="shared" si="6"/>
        <v>17</v>
      </c>
      <c r="U20" s="98">
        <f t="shared" si="6"/>
        <v>32</v>
      </c>
      <c r="V20" s="98">
        <f t="shared" si="6"/>
        <v>32</v>
      </c>
      <c r="W20" s="98">
        <f t="shared" si="6"/>
        <v>20</v>
      </c>
      <c r="X20" s="98">
        <f t="shared" si="6"/>
        <v>8</v>
      </c>
      <c r="Y20" s="98">
        <f t="shared" si="6"/>
        <v>8</v>
      </c>
      <c r="Z20" s="98">
        <f t="shared" ref="Z20" si="7">INDEX(scorematrix,MATCH($C20,renners,0),MATCH(Z$3,etappes,0))</f>
        <v>52</v>
      </c>
      <c r="AA20" s="153">
        <f t="shared" si="3"/>
        <v>363</v>
      </c>
      <c r="AB20" s="94" t="str">
        <f t="shared" si="4"/>
        <v>Thomas</v>
      </c>
    </row>
    <row r="21" spans="2:28" s="141" customFormat="1">
      <c r="B21" s="291"/>
      <c r="C21" s="288"/>
      <c r="D21" s="148"/>
      <c r="E21" s="150"/>
      <c r="F21" s="150"/>
      <c r="G21" s="150"/>
      <c r="H21" s="150"/>
      <c r="I21" s="150"/>
      <c r="J21" s="150">
        <f>-J18+J25</f>
        <v>15</v>
      </c>
      <c r="K21" s="150">
        <f t="shared" ref="K21:M21" si="8">-K18+K25</f>
        <v>21</v>
      </c>
      <c r="L21" s="150">
        <f t="shared" si="8"/>
        <v>12</v>
      </c>
      <c r="M21" s="150">
        <f t="shared" si="8"/>
        <v>20</v>
      </c>
      <c r="N21" s="150">
        <f>-N18+N25+N26-N11</f>
        <v>2</v>
      </c>
      <c r="O21" s="150">
        <f>-O18+O25+O26-O11+O24-O13</f>
        <v>12</v>
      </c>
      <c r="P21" s="150">
        <f t="shared" ref="P21:Z21" si="9">-P18+P25+P26-P11+P24-P13</f>
        <v>54</v>
      </c>
      <c r="Q21" s="150">
        <f t="shared" si="9"/>
        <v>18</v>
      </c>
      <c r="R21" s="150">
        <f t="shared" si="9"/>
        <v>25</v>
      </c>
      <c r="S21" s="150">
        <f t="shared" si="9"/>
        <v>22</v>
      </c>
      <c r="T21" s="150">
        <f t="shared" si="9"/>
        <v>8</v>
      </c>
      <c r="U21" s="150">
        <f t="shared" si="9"/>
        <v>37</v>
      </c>
      <c r="V21" s="150">
        <f t="shared" si="9"/>
        <v>27</v>
      </c>
      <c r="W21" s="150">
        <f t="shared" si="9"/>
        <v>16</v>
      </c>
      <c r="X21" s="150">
        <f t="shared" si="9"/>
        <v>3</v>
      </c>
      <c r="Y21" s="150">
        <f t="shared" si="9"/>
        <v>29</v>
      </c>
      <c r="Z21" s="150">
        <f t="shared" si="9"/>
        <v>36</v>
      </c>
      <c r="AA21" s="193">
        <f t="shared" si="3"/>
        <v>357</v>
      </c>
    </row>
    <row r="22" spans="2:28" s="97" customFormat="1">
      <c r="B22" s="287"/>
      <c r="C22" s="289"/>
      <c r="D22" s="296"/>
      <c r="E22" s="309">
        <f t="shared" ref="E22:AA22" si="10">SUM(E4:E21)</f>
        <v>128</v>
      </c>
      <c r="F22" s="309">
        <f t="shared" ref="F22" si="11">SUM(F4:F21)</f>
        <v>188</v>
      </c>
      <c r="G22" s="309">
        <f>SUM(G4:G21)</f>
        <v>192</v>
      </c>
      <c r="H22" s="309">
        <f t="shared" si="10"/>
        <v>140</v>
      </c>
      <c r="I22" s="309">
        <f t="shared" si="10"/>
        <v>99</v>
      </c>
      <c r="J22" s="309">
        <f t="shared" si="10"/>
        <v>157</v>
      </c>
      <c r="K22" s="309">
        <f t="shared" si="10"/>
        <v>178</v>
      </c>
      <c r="L22" s="309">
        <f t="shared" si="10"/>
        <v>170</v>
      </c>
      <c r="M22" s="309">
        <f t="shared" si="10"/>
        <v>140</v>
      </c>
      <c r="N22" s="309">
        <f t="shared" si="10"/>
        <v>35</v>
      </c>
      <c r="O22" s="309">
        <f t="shared" si="10"/>
        <v>178</v>
      </c>
      <c r="P22" s="309">
        <f t="shared" si="10"/>
        <v>171</v>
      </c>
      <c r="Q22" s="309">
        <f t="shared" si="10"/>
        <v>122</v>
      </c>
      <c r="R22" s="309">
        <f t="shared" si="10"/>
        <v>74</v>
      </c>
      <c r="S22" s="309">
        <f t="shared" si="10"/>
        <v>179</v>
      </c>
      <c r="T22" s="309">
        <f t="shared" si="10"/>
        <v>131</v>
      </c>
      <c r="U22" s="309">
        <f t="shared" si="10"/>
        <v>191</v>
      </c>
      <c r="V22" s="309">
        <f t="shared" si="10"/>
        <v>228</v>
      </c>
      <c r="W22" s="309">
        <f t="shared" si="10"/>
        <v>178</v>
      </c>
      <c r="X22" s="309">
        <f t="shared" si="10"/>
        <v>132</v>
      </c>
      <c r="Y22" s="309">
        <f t="shared" si="10"/>
        <v>176</v>
      </c>
      <c r="Z22" s="309">
        <f t="shared" si="10"/>
        <v>317</v>
      </c>
      <c r="AA22" s="190">
        <f t="shared" si="10"/>
        <v>3504</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c r="C24" s="293" t="s">
        <v>91</v>
      </c>
      <c r="D24" s="226"/>
      <c r="E24" s="160">
        <f t="shared" ref="E24:Z26" si="12">INDEX(scorematrix,MATCH($C24,renners,0),MATCH(E$3,etappes,0))</f>
        <v>0</v>
      </c>
      <c r="F24" s="160">
        <f t="shared" si="12"/>
        <v>15</v>
      </c>
      <c r="G24" s="160">
        <f t="shared" si="12"/>
        <v>15</v>
      </c>
      <c r="H24" s="160">
        <f t="shared" si="12"/>
        <v>24</v>
      </c>
      <c r="I24" s="160">
        <f t="shared" si="12"/>
        <v>0</v>
      </c>
      <c r="J24" s="160">
        <f t="shared" si="12"/>
        <v>0</v>
      </c>
      <c r="K24" s="160">
        <f t="shared" si="12"/>
        <v>0</v>
      </c>
      <c r="L24" s="160">
        <f t="shared" si="12"/>
        <v>0</v>
      </c>
      <c r="M24" s="160">
        <f t="shared" si="12"/>
        <v>0</v>
      </c>
      <c r="N24" s="160">
        <f t="shared" si="12"/>
        <v>0</v>
      </c>
      <c r="O24" s="338">
        <f t="shared" si="12"/>
        <v>0</v>
      </c>
      <c r="P24" s="338">
        <f t="shared" si="12"/>
        <v>0</v>
      </c>
      <c r="Q24" s="338">
        <f t="shared" si="12"/>
        <v>12</v>
      </c>
      <c r="R24" s="338">
        <f t="shared" si="12"/>
        <v>0</v>
      </c>
      <c r="S24" s="338">
        <f t="shared" si="12"/>
        <v>13</v>
      </c>
      <c r="T24" s="338">
        <f t="shared" si="12"/>
        <v>0</v>
      </c>
      <c r="U24" s="338">
        <f t="shared" si="12"/>
        <v>0</v>
      </c>
      <c r="V24" s="338">
        <f t="shared" si="12"/>
        <v>0</v>
      </c>
      <c r="W24" s="338">
        <f t="shared" si="12"/>
        <v>11</v>
      </c>
      <c r="X24" s="338">
        <f t="shared" si="12"/>
        <v>0</v>
      </c>
      <c r="Y24" s="338">
        <f t="shared" si="12"/>
        <v>26</v>
      </c>
      <c r="Z24" s="338">
        <f t="shared" si="12"/>
        <v>0</v>
      </c>
      <c r="AA24" s="245">
        <f>SUM(E24:Z24)</f>
        <v>116</v>
      </c>
    </row>
    <row r="25" spans="2:28" s="145" customFormat="1">
      <c r="B25" s="295" t="s">
        <v>244</v>
      </c>
      <c r="C25" s="293" t="s">
        <v>154</v>
      </c>
      <c r="D25" s="226"/>
      <c r="E25" s="160">
        <f t="shared" si="12"/>
        <v>0</v>
      </c>
      <c r="F25" s="160">
        <f t="shared" si="12"/>
        <v>0</v>
      </c>
      <c r="G25" s="160">
        <f t="shared" si="12"/>
        <v>0</v>
      </c>
      <c r="H25" s="160">
        <f t="shared" si="12"/>
        <v>0</v>
      </c>
      <c r="I25" s="160">
        <f t="shared" si="12"/>
        <v>0</v>
      </c>
      <c r="J25" s="338">
        <f t="shared" si="12"/>
        <v>15</v>
      </c>
      <c r="K25" s="338">
        <f t="shared" si="12"/>
        <v>21</v>
      </c>
      <c r="L25" s="338">
        <f t="shared" si="12"/>
        <v>12</v>
      </c>
      <c r="M25" s="338">
        <f t="shared" si="12"/>
        <v>20</v>
      </c>
      <c r="N25" s="338">
        <f t="shared" si="12"/>
        <v>2</v>
      </c>
      <c r="O25" s="338">
        <f t="shared" si="12"/>
        <v>12</v>
      </c>
      <c r="P25" s="338">
        <f t="shared" si="12"/>
        <v>20</v>
      </c>
      <c r="Q25" s="338">
        <f t="shared" si="12"/>
        <v>2</v>
      </c>
      <c r="R25" s="338">
        <f t="shared" si="12"/>
        <v>1</v>
      </c>
      <c r="S25" s="338">
        <f t="shared" si="12"/>
        <v>1</v>
      </c>
      <c r="T25" s="338">
        <f t="shared" si="12"/>
        <v>0</v>
      </c>
      <c r="U25" s="338">
        <f t="shared" si="12"/>
        <v>15</v>
      </c>
      <c r="V25" s="338">
        <f t="shared" si="12"/>
        <v>7</v>
      </c>
      <c r="W25" s="338">
        <f t="shared" si="12"/>
        <v>0</v>
      </c>
      <c r="X25" s="338">
        <f t="shared" si="12"/>
        <v>0</v>
      </c>
      <c r="Y25" s="338">
        <f t="shared" si="12"/>
        <v>0</v>
      </c>
      <c r="Z25" s="338">
        <f t="shared" si="12"/>
        <v>0</v>
      </c>
      <c r="AA25" s="245">
        <f>SUM(E25:Z25)</f>
        <v>128</v>
      </c>
    </row>
    <row r="26" spans="2:28" s="145" customFormat="1">
      <c r="B26" s="295" t="s">
        <v>246</v>
      </c>
      <c r="C26" s="293" t="s">
        <v>245</v>
      </c>
      <c r="D26" s="226"/>
      <c r="E26" s="160">
        <f t="shared" si="12"/>
        <v>0</v>
      </c>
      <c r="F26" s="160">
        <f t="shared" si="12"/>
        <v>0</v>
      </c>
      <c r="G26" s="160">
        <f t="shared" si="12"/>
        <v>0</v>
      </c>
      <c r="H26" s="160">
        <f t="shared" si="12"/>
        <v>0</v>
      </c>
      <c r="I26" s="160">
        <f t="shared" si="12"/>
        <v>0</v>
      </c>
      <c r="J26" s="160">
        <f t="shared" si="12"/>
        <v>0</v>
      </c>
      <c r="K26" s="160">
        <f t="shared" si="12"/>
        <v>10</v>
      </c>
      <c r="L26" s="160">
        <f t="shared" si="12"/>
        <v>0</v>
      </c>
      <c r="M26" s="160">
        <f t="shared" si="12"/>
        <v>0</v>
      </c>
      <c r="N26" s="338">
        <f t="shared" si="12"/>
        <v>0</v>
      </c>
      <c r="O26" s="338">
        <f t="shared" si="12"/>
        <v>0</v>
      </c>
      <c r="P26" s="338">
        <f t="shared" si="12"/>
        <v>34</v>
      </c>
      <c r="Q26" s="338">
        <f t="shared" si="12"/>
        <v>4</v>
      </c>
      <c r="R26" s="338">
        <f t="shared" si="12"/>
        <v>24</v>
      </c>
      <c r="S26" s="338">
        <f t="shared" si="12"/>
        <v>8</v>
      </c>
      <c r="T26" s="338">
        <f t="shared" si="12"/>
        <v>8</v>
      </c>
      <c r="U26" s="338">
        <f t="shared" si="12"/>
        <v>22</v>
      </c>
      <c r="V26" s="338">
        <f t="shared" si="12"/>
        <v>20</v>
      </c>
      <c r="W26" s="338">
        <f t="shared" si="12"/>
        <v>5</v>
      </c>
      <c r="X26" s="338">
        <f t="shared" si="12"/>
        <v>3</v>
      </c>
      <c r="Y26" s="338">
        <f t="shared" si="12"/>
        <v>3</v>
      </c>
      <c r="Z26" s="338">
        <f t="shared" si="12"/>
        <v>36</v>
      </c>
      <c r="AA26" s="245">
        <f>SUM(E26:Z26)</f>
        <v>177</v>
      </c>
    </row>
    <row r="28" spans="2:28">
      <c r="C28" s="246" t="s">
        <v>160</v>
      </c>
      <c r="D28" s="247">
        <f>COUNTIF($D$4:$D$21,C28)</f>
        <v>9</v>
      </c>
    </row>
    <row r="29" spans="2:28">
      <c r="C29" s="248" t="s">
        <v>10</v>
      </c>
      <c r="D29" s="247">
        <f>COUNTIF($D$4:$D$21,C29)</f>
        <v>5</v>
      </c>
    </row>
    <row r="30" spans="2:28">
      <c r="C30" s="248" t="s">
        <v>106</v>
      </c>
      <c r="D30" s="247">
        <f>COUNTIF($D$4:$D$21,C30)</f>
        <v>3</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B00-000000000000}">
      <formula1>type_renner</formula1>
    </dataValidation>
  </dataValidations>
  <pageMargins left="0.75" right="0.75" top="1" bottom="1"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1">
    <tabColor indexed="12"/>
  </sheetPr>
  <dimension ref="B1:AB30"/>
  <sheetViews>
    <sheetView showZeros="0" workbookViewId="0">
      <selection activeCell="AA21" sqref="AA21"/>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132</v>
      </c>
      <c r="D1" s="220"/>
    </row>
    <row r="2" spans="2:28">
      <c r="B2" s="146"/>
      <c r="C2" s="250"/>
      <c r="D2" s="147"/>
      <c r="H2" s="112"/>
    </row>
    <row r="3" spans="2:28" s="110" customFormat="1" ht="14.4" thickBot="1">
      <c r="B3" s="251"/>
      <c r="C3" s="252" t="s">
        <v>46</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158</v>
      </c>
      <c r="C4" s="292" t="s">
        <v>256</v>
      </c>
      <c r="D4" s="223" t="s">
        <v>106</v>
      </c>
      <c r="E4" s="98">
        <f t="shared" ref="E4:T13" si="0">INDEX(scorematrix,MATCH($C4,renners,0),MATCH(E$3,etappes,0))</f>
        <v>43</v>
      </c>
      <c r="F4" s="98">
        <f t="shared" si="0"/>
        <v>45</v>
      </c>
      <c r="G4" s="98">
        <f t="shared" si="0"/>
        <v>45</v>
      </c>
      <c r="H4" s="98">
        <f t="shared" si="0"/>
        <v>54</v>
      </c>
      <c r="I4" s="98">
        <f t="shared" si="0"/>
        <v>29</v>
      </c>
      <c r="J4" s="98">
        <f t="shared" si="0"/>
        <v>8</v>
      </c>
      <c r="K4" s="98">
        <f t="shared" si="0"/>
        <v>5</v>
      </c>
      <c r="L4" s="98">
        <f t="shared" si="0"/>
        <v>40</v>
      </c>
      <c r="M4" s="98">
        <f t="shared" si="0"/>
        <v>5</v>
      </c>
      <c r="N4" s="98">
        <f t="shared" si="0"/>
        <v>5</v>
      </c>
      <c r="O4" s="98">
        <f t="shared" si="0"/>
        <v>5</v>
      </c>
      <c r="P4" s="98">
        <f t="shared" si="0"/>
        <v>5</v>
      </c>
      <c r="Q4" s="98">
        <f t="shared" si="0"/>
        <v>24</v>
      </c>
      <c r="R4" s="98">
        <f t="shared" si="0"/>
        <v>5</v>
      </c>
      <c r="S4" s="98">
        <f t="shared" si="0"/>
        <v>35</v>
      </c>
      <c r="T4" s="98">
        <f t="shared" si="0"/>
        <v>18</v>
      </c>
      <c r="U4" s="98">
        <f t="shared" ref="F4:Y18" si="1">INDEX(scorematrix,MATCH($C4,renners,0),MATCH(U$3,etappes,0))</f>
        <v>5</v>
      </c>
      <c r="V4" s="98">
        <f t="shared" si="1"/>
        <v>32</v>
      </c>
      <c r="W4" s="98">
        <f t="shared" si="1"/>
        <v>6</v>
      </c>
      <c r="X4" s="98">
        <f t="shared" si="1"/>
        <v>41</v>
      </c>
      <c r="Y4" s="98">
        <f t="shared" si="1"/>
        <v>6</v>
      </c>
      <c r="Z4" s="98">
        <f t="shared" ref="Z4:Z19" si="2">INDEX(scorematrix,MATCH($C4,renners,0),MATCH(Z$3,etappes,0))</f>
        <v>11</v>
      </c>
      <c r="AA4" s="153">
        <f t="shared" ref="AA4:AA21" si="3">SUM(E4:Z4)</f>
        <v>472</v>
      </c>
      <c r="AB4" s="94" t="str">
        <f t="shared" ref="AB4:AB20" si="4">C4</f>
        <v>Van Aert</v>
      </c>
    </row>
    <row r="5" spans="2:28">
      <c r="B5" s="294" t="s">
        <v>227</v>
      </c>
      <c r="C5" s="292" t="s">
        <v>228</v>
      </c>
      <c r="D5" s="223" t="s">
        <v>160</v>
      </c>
      <c r="E5" s="98">
        <f t="shared" si="0"/>
        <v>23</v>
      </c>
      <c r="F5" s="98">
        <f t="shared" si="1"/>
        <v>4</v>
      </c>
      <c r="G5" s="98">
        <f t="shared" si="1"/>
        <v>5</v>
      </c>
      <c r="H5" s="98">
        <f t="shared" si="1"/>
        <v>5</v>
      </c>
      <c r="I5" s="98">
        <f t="shared" si="1"/>
        <v>13</v>
      </c>
      <c r="J5" s="98">
        <f t="shared" si="1"/>
        <v>27</v>
      </c>
      <c r="K5" s="98">
        <f t="shared" si="1"/>
        <v>42</v>
      </c>
      <c r="L5" s="98">
        <f t="shared" si="1"/>
        <v>30</v>
      </c>
      <c r="M5" s="98">
        <f t="shared" si="1"/>
        <v>29</v>
      </c>
      <c r="N5" s="98">
        <f t="shared" si="1"/>
        <v>8</v>
      </c>
      <c r="O5" s="98">
        <f t="shared" si="1"/>
        <v>48</v>
      </c>
      <c r="P5" s="98">
        <f t="shared" si="1"/>
        <v>33</v>
      </c>
      <c r="Q5" s="98">
        <f t="shared" si="1"/>
        <v>20</v>
      </c>
      <c r="R5" s="98">
        <f t="shared" si="1"/>
        <v>12</v>
      </c>
      <c r="S5" s="98">
        <f t="shared" si="1"/>
        <v>10</v>
      </c>
      <c r="T5" s="98">
        <f t="shared" si="1"/>
        <v>21</v>
      </c>
      <c r="U5" s="98">
        <f t="shared" si="1"/>
        <v>40</v>
      </c>
      <c r="V5" s="98">
        <f t="shared" si="1"/>
        <v>50</v>
      </c>
      <c r="W5" s="98">
        <f t="shared" si="1"/>
        <v>28</v>
      </c>
      <c r="X5" s="98">
        <f t="shared" si="1"/>
        <v>45</v>
      </c>
      <c r="Y5" s="98">
        <f t="shared" si="1"/>
        <v>15</v>
      </c>
      <c r="Z5" s="98">
        <f t="shared" si="2"/>
        <v>80</v>
      </c>
      <c r="AA5" s="153">
        <f t="shared" si="3"/>
        <v>588</v>
      </c>
      <c r="AB5" s="94" t="str">
        <f t="shared" si="4"/>
        <v>Vingegaard</v>
      </c>
    </row>
    <row r="6" spans="2:28">
      <c r="B6" s="294" t="s">
        <v>94</v>
      </c>
      <c r="C6" s="292" t="s">
        <v>75</v>
      </c>
      <c r="D6" s="223" t="s">
        <v>160</v>
      </c>
      <c r="E6" s="98">
        <f t="shared" si="0"/>
        <v>8</v>
      </c>
      <c r="F6" s="98">
        <f t="shared" si="1"/>
        <v>0</v>
      </c>
      <c r="G6" s="98">
        <f t="shared" si="1"/>
        <v>0</v>
      </c>
      <c r="H6" s="98">
        <f t="shared" si="1"/>
        <v>0</v>
      </c>
      <c r="I6" s="98">
        <f t="shared" si="1"/>
        <v>1</v>
      </c>
      <c r="J6" s="98">
        <f t="shared" si="1"/>
        <v>16</v>
      </c>
      <c r="K6" s="98">
        <f t="shared" si="1"/>
        <v>30</v>
      </c>
      <c r="L6" s="98">
        <f t="shared" si="1"/>
        <v>23</v>
      </c>
      <c r="M6" s="98">
        <f t="shared" si="1"/>
        <v>27</v>
      </c>
      <c r="N6" s="98">
        <f t="shared" si="1"/>
        <v>7</v>
      </c>
      <c r="O6" s="98">
        <f t="shared" si="1"/>
        <v>31</v>
      </c>
      <c r="P6" s="98">
        <f t="shared" si="1"/>
        <v>27</v>
      </c>
      <c r="Q6" s="98">
        <f t="shared" si="1"/>
        <v>8</v>
      </c>
      <c r="R6" s="98">
        <f t="shared" si="1"/>
        <v>8</v>
      </c>
      <c r="S6" s="98">
        <f t="shared" si="1"/>
        <v>8</v>
      </c>
      <c r="T6" s="98">
        <f t="shared" si="1"/>
        <v>17</v>
      </c>
      <c r="U6" s="98">
        <f t="shared" si="1"/>
        <v>32</v>
      </c>
      <c r="V6" s="98">
        <f t="shared" si="1"/>
        <v>32</v>
      </c>
      <c r="W6" s="98">
        <f t="shared" si="1"/>
        <v>20</v>
      </c>
      <c r="X6" s="98">
        <f t="shared" si="1"/>
        <v>8</v>
      </c>
      <c r="Y6" s="98">
        <f t="shared" si="1"/>
        <v>8</v>
      </c>
      <c r="Z6" s="98">
        <f t="shared" si="2"/>
        <v>52</v>
      </c>
      <c r="AA6" s="153">
        <f t="shared" si="3"/>
        <v>363</v>
      </c>
      <c r="AB6" s="94" t="str">
        <f t="shared" si="4"/>
        <v>Thomas</v>
      </c>
    </row>
    <row r="7" spans="2:28">
      <c r="B7" s="294" t="s">
        <v>136</v>
      </c>
      <c r="C7" s="292" t="s">
        <v>171</v>
      </c>
      <c r="D7" s="223" t="s">
        <v>160</v>
      </c>
      <c r="E7" s="98">
        <f t="shared" si="0"/>
        <v>0</v>
      </c>
      <c r="F7" s="98">
        <f t="shared" si="1"/>
        <v>0</v>
      </c>
      <c r="G7" s="98">
        <f t="shared" si="1"/>
        <v>0</v>
      </c>
      <c r="H7" s="98">
        <f t="shared" si="1"/>
        <v>0</v>
      </c>
      <c r="I7" s="98">
        <f t="shared" si="1"/>
        <v>0</v>
      </c>
      <c r="J7" s="98">
        <f t="shared" si="1"/>
        <v>21</v>
      </c>
      <c r="K7" s="98">
        <f t="shared" si="1"/>
        <v>16</v>
      </c>
      <c r="L7" s="98">
        <f t="shared" si="1"/>
        <v>1</v>
      </c>
      <c r="M7" s="98">
        <f t="shared" si="1"/>
        <v>0</v>
      </c>
      <c r="N7" s="98">
        <f t="shared" si="1"/>
        <v>0</v>
      </c>
      <c r="O7" s="98">
        <f t="shared" si="1"/>
        <v>0</v>
      </c>
      <c r="P7" s="98">
        <f t="shared" si="1"/>
        <v>0</v>
      </c>
      <c r="Q7" s="98">
        <f t="shared" si="1"/>
        <v>0</v>
      </c>
      <c r="R7" s="98">
        <f t="shared" si="1"/>
        <v>9</v>
      </c>
      <c r="S7" s="98">
        <f t="shared" si="1"/>
        <v>0</v>
      </c>
      <c r="T7" s="98">
        <f t="shared" si="1"/>
        <v>6</v>
      </c>
      <c r="U7" s="98">
        <f t="shared" si="1"/>
        <v>0</v>
      </c>
      <c r="V7" s="98">
        <f t="shared" si="1"/>
        <v>19</v>
      </c>
      <c r="W7" s="98">
        <f t="shared" si="1"/>
        <v>0</v>
      </c>
      <c r="X7" s="98">
        <f t="shared" si="1"/>
        <v>6</v>
      </c>
      <c r="Y7" s="98">
        <f t="shared" si="1"/>
        <v>0</v>
      </c>
      <c r="Z7" s="98">
        <f t="shared" si="2"/>
        <v>0</v>
      </c>
      <c r="AA7" s="153">
        <f t="shared" si="3"/>
        <v>78</v>
      </c>
      <c r="AB7" s="94" t="str">
        <f t="shared" si="4"/>
        <v>Martinez</v>
      </c>
    </row>
    <row r="8" spans="2:28">
      <c r="B8" s="294" t="s">
        <v>212</v>
      </c>
      <c r="C8" s="292" t="s">
        <v>213</v>
      </c>
      <c r="D8" s="223" t="s">
        <v>160</v>
      </c>
      <c r="E8" s="98">
        <f t="shared" si="0"/>
        <v>0</v>
      </c>
      <c r="F8" s="98">
        <f t="shared" si="1"/>
        <v>0</v>
      </c>
      <c r="G8" s="98">
        <f t="shared" si="1"/>
        <v>0</v>
      </c>
      <c r="H8" s="98">
        <f t="shared" si="1"/>
        <v>0</v>
      </c>
      <c r="I8" s="98">
        <f t="shared" si="1"/>
        <v>0</v>
      </c>
      <c r="J8" s="98">
        <f t="shared" si="1"/>
        <v>0</v>
      </c>
      <c r="K8" s="98">
        <f t="shared" si="1"/>
        <v>0</v>
      </c>
      <c r="L8" s="98">
        <f t="shared" si="1"/>
        <v>0</v>
      </c>
      <c r="M8" s="98">
        <f t="shared" si="1"/>
        <v>0</v>
      </c>
      <c r="N8" s="98">
        <f t="shared" si="1"/>
        <v>0</v>
      </c>
      <c r="O8" s="98">
        <f t="shared" si="1"/>
        <v>0</v>
      </c>
      <c r="P8" s="98">
        <f t="shared" si="1"/>
        <v>0</v>
      </c>
      <c r="Q8" s="98">
        <f t="shared" si="1"/>
        <v>0</v>
      </c>
      <c r="R8" s="98">
        <f t="shared" si="1"/>
        <v>0</v>
      </c>
      <c r="S8" s="98">
        <f t="shared" si="1"/>
        <v>0</v>
      </c>
      <c r="T8" s="98">
        <f t="shared" si="1"/>
        <v>0</v>
      </c>
      <c r="U8" s="98">
        <f t="shared" si="1"/>
        <v>0</v>
      </c>
      <c r="V8" s="98">
        <f t="shared" si="1"/>
        <v>0</v>
      </c>
      <c r="W8" s="98">
        <f t="shared" si="1"/>
        <v>0</v>
      </c>
      <c r="X8" s="98">
        <f t="shared" si="1"/>
        <v>0</v>
      </c>
      <c r="Y8" s="98">
        <f t="shared" si="1"/>
        <v>0</v>
      </c>
      <c r="Z8" s="98">
        <f t="shared" si="2"/>
        <v>0</v>
      </c>
      <c r="AA8" s="153">
        <f t="shared" si="3"/>
        <v>0</v>
      </c>
      <c r="AB8" s="94" t="str">
        <f t="shared" si="4"/>
        <v>O'Connor</v>
      </c>
    </row>
    <row r="9" spans="2:28">
      <c r="B9" s="294" t="s">
        <v>251</v>
      </c>
      <c r="C9" s="292" t="s">
        <v>242</v>
      </c>
      <c r="D9" s="223" t="s">
        <v>160</v>
      </c>
      <c r="E9" s="98">
        <f t="shared" si="0"/>
        <v>0</v>
      </c>
      <c r="F9" s="98">
        <f t="shared" si="1"/>
        <v>0</v>
      </c>
      <c r="G9" s="98">
        <f t="shared" si="1"/>
        <v>8</v>
      </c>
      <c r="H9" s="98">
        <f t="shared" si="1"/>
        <v>6</v>
      </c>
      <c r="I9" s="98">
        <f t="shared" si="1"/>
        <v>8</v>
      </c>
      <c r="J9" s="98">
        <f t="shared" si="1"/>
        <v>14</v>
      </c>
      <c r="K9" s="98">
        <f t="shared" si="1"/>
        <v>0</v>
      </c>
      <c r="L9" s="98">
        <f t="shared" si="1"/>
        <v>20</v>
      </c>
      <c r="M9" s="98">
        <f t="shared" si="1"/>
        <v>0</v>
      </c>
      <c r="N9" s="98">
        <f t="shared" si="1"/>
        <v>0</v>
      </c>
      <c r="O9" s="98">
        <f t="shared" si="1"/>
        <v>17</v>
      </c>
      <c r="P9" s="98">
        <f t="shared" si="1"/>
        <v>9</v>
      </c>
      <c r="Q9" s="98">
        <f t="shared" si="1"/>
        <v>1</v>
      </c>
      <c r="R9" s="98">
        <f t="shared" si="1"/>
        <v>0</v>
      </c>
      <c r="S9" s="98">
        <f t="shared" si="1"/>
        <v>10</v>
      </c>
      <c r="T9" s="98">
        <f t="shared" si="1"/>
        <v>23</v>
      </c>
      <c r="U9" s="98">
        <f t="shared" si="1"/>
        <v>21</v>
      </c>
      <c r="V9" s="98">
        <f t="shared" si="1"/>
        <v>21</v>
      </c>
      <c r="W9" s="98">
        <f t="shared" si="1"/>
        <v>18</v>
      </c>
      <c r="X9" s="98">
        <f t="shared" si="1"/>
        <v>14</v>
      </c>
      <c r="Y9" s="98">
        <f t="shared" si="1"/>
        <v>6</v>
      </c>
      <c r="Z9" s="98">
        <f t="shared" si="2"/>
        <v>44</v>
      </c>
      <c r="AA9" s="153">
        <f t="shared" si="3"/>
        <v>240</v>
      </c>
      <c r="AB9" s="94" t="str">
        <f t="shared" si="4"/>
        <v>Vlasov</v>
      </c>
    </row>
    <row r="10" spans="2:28">
      <c r="B10" s="294" t="s">
        <v>249</v>
      </c>
      <c r="C10" s="292" t="s">
        <v>239</v>
      </c>
      <c r="D10" s="223" t="s">
        <v>10</v>
      </c>
      <c r="E10" s="98">
        <f t="shared" si="0"/>
        <v>0</v>
      </c>
      <c r="F10" s="98">
        <f t="shared" si="1"/>
        <v>39</v>
      </c>
      <c r="G10" s="98">
        <f t="shared" si="1"/>
        <v>26</v>
      </c>
      <c r="H10" s="98">
        <f t="shared" si="1"/>
        <v>17</v>
      </c>
      <c r="I10" s="98">
        <f t="shared" si="1"/>
        <v>21</v>
      </c>
      <c r="J10" s="98">
        <f t="shared" si="1"/>
        <v>4</v>
      </c>
      <c r="K10" s="98">
        <f t="shared" si="1"/>
        <v>4</v>
      </c>
      <c r="L10" s="98">
        <f t="shared" si="1"/>
        <v>4</v>
      </c>
      <c r="M10" s="98">
        <f t="shared" si="1"/>
        <v>4</v>
      </c>
      <c r="N10" s="98">
        <f t="shared" si="1"/>
        <v>4</v>
      </c>
      <c r="O10" s="98">
        <f t="shared" si="1"/>
        <v>4</v>
      </c>
      <c r="P10" s="98">
        <f t="shared" si="1"/>
        <v>3</v>
      </c>
      <c r="Q10" s="98">
        <f t="shared" si="1"/>
        <v>3</v>
      </c>
      <c r="R10" s="98">
        <f t="shared" si="1"/>
        <v>3</v>
      </c>
      <c r="S10" s="98">
        <f t="shared" si="1"/>
        <v>1</v>
      </c>
      <c r="T10" s="98">
        <f t="shared" si="1"/>
        <v>1</v>
      </c>
      <c r="U10" s="98">
        <f t="shared" si="1"/>
        <v>1</v>
      </c>
      <c r="V10" s="98">
        <f t="shared" si="1"/>
        <v>1</v>
      </c>
      <c r="W10" s="98">
        <f t="shared" si="1"/>
        <v>0</v>
      </c>
      <c r="X10" s="98">
        <f t="shared" si="1"/>
        <v>0</v>
      </c>
      <c r="Y10" s="98">
        <f t="shared" si="1"/>
        <v>14</v>
      </c>
      <c r="Z10" s="98">
        <f t="shared" si="2"/>
        <v>1</v>
      </c>
      <c r="AA10" s="153">
        <f t="shared" si="3"/>
        <v>155</v>
      </c>
      <c r="AB10" s="94" t="str">
        <f t="shared" si="4"/>
        <v>Jakobsen</v>
      </c>
    </row>
    <row r="11" spans="2:28">
      <c r="B11" s="294" t="s">
        <v>153</v>
      </c>
      <c r="C11" s="292" t="s">
        <v>154</v>
      </c>
      <c r="D11" s="223" t="s">
        <v>160</v>
      </c>
      <c r="E11" s="98">
        <f t="shared" si="0"/>
        <v>0</v>
      </c>
      <c r="F11" s="98">
        <f t="shared" si="1"/>
        <v>0</v>
      </c>
      <c r="G11" s="98">
        <f t="shared" si="1"/>
        <v>0</v>
      </c>
      <c r="H11" s="98">
        <f t="shared" si="1"/>
        <v>0</v>
      </c>
      <c r="I11" s="98">
        <f t="shared" si="1"/>
        <v>0</v>
      </c>
      <c r="J11" s="98">
        <f t="shared" si="1"/>
        <v>15</v>
      </c>
      <c r="K11" s="98">
        <f t="shared" si="1"/>
        <v>21</v>
      </c>
      <c r="L11" s="98">
        <f t="shared" si="1"/>
        <v>12</v>
      </c>
      <c r="M11" s="98">
        <f t="shared" si="1"/>
        <v>20</v>
      </c>
      <c r="N11" s="98">
        <f t="shared" si="1"/>
        <v>2</v>
      </c>
      <c r="O11" s="98">
        <f t="shared" si="1"/>
        <v>12</v>
      </c>
      <c r="P11" s="98">
        <f t="shared" si="1"/>
        <v>20</v>
      </c>
      <c r="Q11" s="98">
        <f t="shared" si="1"/>
        <v>2</v>
      </c>
      <c r="R11" s="98">
        <f t="shared" si="1"/>
        <v>1</v>
      </c>
      <c r="S11" s="98">
        <f t="shared" si="1"/>
        <v>1</v>
      </c>
      <c r="T11" s="98">
        <f t="shared" si="1"/>
        <v>0</v>
      </c>
      <c r="U11" s="98">
        <f t="shared" si="1"/>
        <v>15</v>
      </c>
      <c r="V11" s="98">
        <f t="shared" si="1"/>
        <v>7</v>
      </c>
      <c r="W11" s="98">
        <f t="shared" si="1"/>
        <v>0</v>
      </c>
      <c r="X11" s="98">
        <f t="shared" si="1"/>
        <v>0</v>
      </c>
      <c r="Y11" s="98">
        <f t="shared" si="1"/>
        <v>0</v>
      </c>
      <c r="Z11" s="98">
        <f t="shared" si="2"/>
        <v>0</v>
      </c>
      <c r="AA11" s="153">
        <f t="shared" si="3"/>
        <v>128</v>
      </c>
      <c r="AB11" s="94" t="str">
        <f t="shared" si="4"/>
        <v>Mas</v>
      </c>
    </row>
    <row r="12" spans="2:28">
      <c r="B12" s="294" t="s">
        <v>143</v>
      </c>
      <c r="C12" s="292" t="s">
        <v>44</v>
      </c>
      <c r="D12" s="223" t="s">
        <v>160</v>
      </c>
      <c r="E12" s="98">
        <f t="shared" si="0"/>
        <v>0</v>
      </c>
      <c r="F12" s="98">
        <f t="shared" si="1"/>
        <v>0</v>
      </c>
      <c r="G12" s="98">
        <f t="shared" si="1"/>
        <v>0</v>
      </c>
      <c r="H12" s="98">
        <f t="shared" si="1"/>
        <v>0</v>
      </c>
      <c r="I12" s="98">
        <f t="shared" si="1"/>
        <v>0</v>
      </c>
      <c r="J12" s="98">
        <f t="shared" si="1"/>
        <v>7</v>
      </c>
      <c r="K12" s="98">
        <f t="shared" si="1"/>
        <v>13</v>
      </c>
      <c r="L12" s="98">
        <f t="shared" si="1"/>
        <v>13</v>
      </c>
      <c r="M12" s="98">
        <f t="shared" si="1"/>
        <v>0</v>
      </c>
      <c r="N12" s="98">
        <f t="shared" si="1"/>
        <v>0</v>
      </c>
      <c r="O12" s="98">
        <f t="shared" si="1"/>
        <v>0</v>
      </c>
      <c r="P12" s="98">
        <f t="shared" si="1"/>
        <v>0</v>
      </c>
      <c r="Q12" s="98">
        <f t="shared" si="1"/>
        <v>0</v>
      </c>
      <c r="R12" s="98">
        <f t="shared" si="1"/>
        <v>0</v>
      </c>
      <c r="S12" s="98">
        <f t="shared" si="1"/>
        <v>0</v>
      </c>
      <c r="T12" s="98">
        <f t="shared" si="1"/>
        <v>0</v>
      </c>
      <c r="U12" s="98">
        <f t="shared" si="1"/>
        <v>0</v>
      </c>
      <c r="V12" s="98">
        <f t="shared" si="1"/>
        <v>0</v>
      </c>
      <c r="W12" s="98">
        <f t="shared" si="1"/>
        <v>0</v>
      </c>
      <c r="X12" s="98">
        <f t="shared" si="1"/>
        <v>0</v>
      </c>
      <c r="Y12" s="98">
        <f t="shared" si="1"/>
        <v>0</v>
      </c>
      <c r="Z12" s="98">
        <f t="shared" si="2"/>
        <v>0</v>
      </c>
      <c r="AA12" s="153">
        <f t="shared" si="3"/>
        <v>33</v>
      </c>
      <c r="AB12" s="94" t="str">
        <f t="shared" si="4"/>
        <v>Martin</v>
      </c>
    </row>
    <row r="13" spans="2:28">
      <c r="B13" s="294" t="s">
        <v>283</v>
      </c>
      <c r="C13" s="292" t="s">
        <v>243</v>
      </c>
      <c r="D13" s="223" t="s">
        <v>160</v>
      </c>
      <c r="E13" s="98">
        <f t="shared" si="0"/>
        <v>0</v>
      </c>
      <c r="F13" s="98">
        <f t="shared" si="1"/>
        <v>0</v>
      </c>
      <c r="G13" s="98">
        <f t="shared" si="1"/>
        <v>0</v>
      </c>
      <c r="H13" s="98">
        <f t="shared" si="1"/>
        <v>0</v>
      </c>
      <c r="I13" s="98">
        <f t="shared" si="1"/>
        <v>0</v>
      </c>
      <c r="J13" s="98">
        <f t="shared" si="1"/>
        <v>0</v>
      </c>
      <c r="K13" s="98">
        <f t="shared" si="1"/>
        <v>9</v>
      </c>
      <c r="L13" s="98">
        <f t="shared" si="1"/>
        <v>7</v>
      </c>
      <c r="M13" s="98">
        <f t="shared" si="1"/>
        <v>15</v>
      </c>
      <c r="N13" s="98">
        <f t="shared" si="1"/>
        <v>0</v>
      </c>
      <c r="O13" s="98">
        <f t="shared" si="1"/>
        <v>0</v>
      </c>
      <c r="P13" s="98">
        <f t="shared" si="1"/>
        <v>0</v>
      </c>
      <c r="Q13" s="98">
        <f t="shared" si="1"/>
        <v>0</v>
      </c>
      <c r="R13" s="98">
        <f t="shared" si="1"/>
        <v>0</v>
      </c>
      <c r="S13" s="98">
        <f t="shared" si="1"/>
        <v>0</v>
      </c>
      <c r="T13" s="98">
        <f t="shared" si="1"/>
        <v>16</v>
      </c>
      <c r="U13" s="98">
        <f t="shared" si="1"/>
        <v>0</v>
      </c>
      <c r="V13" s="98">
        <f t="shared" si="1"/>
        <v>0</v>
      </c>
      <c r="W13" s="98">
        <f t="shared" si="1"/>
        <v>0</v>
      </c>
      <c r="X13" s="98">
        <f t="shared" si="1"/>
        <v>0</v>
      </c>
      <c r="Y13" s="98">
        <f t="shared" si="1"/>
        <v>0</v>
      </c>
      <c r="Z13" s="98">
        <f t="shared" si="2"/>
        <v>0</v>
      </c>
      <c r="AA13" s="153">
        <f t="shared" si="3"/>
        <v>47</v>
      </c>
      <c r="AB13" s="94" t="str">
        <f t="shared" si="4"/>
        <v>Caruso</v>
      </c>
    </row>
    <row r="14" spans="2:28">
      <c r="B14" s="294" t="s">
        <v>273</v>
      </c>
      <c r="C14" s="292" t="s">
        <v>231</v>
      </c>
      <c r="D14" s="223" t="s">
        <v>106</v>
      </c>
      <c r="E14" s="98">
        <f t="shared" ref="E14:T20" si="5">INDEX(scorematrix,MATCH($C14,renners,0),MATCH(E$3,etappes,0))</f>
        <v>12</v>
      </c>
      <c r="F14" s="98">
        <f t="shared" si="5"/>
        <v>0</v>
      </c>
      <c r="G14" s="98">
        <f t="shared" si="5"/>
        <v>2</v>
      </c>
      <c r="H14" s="98">
        <f t="shared" si="5"/>
        <v>2</v>
      </c>
      <c r="I14" s="98">
        <f t="shared" si="5"/>
        <v>0</v>
      </c>
      <c r="J14" s="98">
        <f t="shared" si="5"/>
        <v>0</v>
      </c>
      <c r="K14" s="98">
        <f t="shared" si="5"/>
        <v>0</v>
      </c>
      <c r="L14" s="98">
        <f t="shared" si="5"/>
        <v>0</v>
      </c>
      <c r="M14" s="98">
        <f t="shared" si="5"/>
        <v>0</v>
      </c>
      <c r="N14" s="98">
        <f t="shared" si="5"/>
        <v>0</v>
      </c>
      <c r="O14" s="98">
        <f t="shared" si="5"/>
        <v>0</v>
      </c>
      <c r="P14" s="98">
        <f t="shared" si="5"/>
        <v>0</v>
      </c>
      <c r="Q14" s="98">
        <f t="shared" si="5"/>
        <v>24</v>
      </c>
      <c r="R14" s="98">
        <f t="shared" si="5"/>
        <v>0</v>
      </c>
      <c r="S14" s="98">
        <f t="shared" si="5"/>
        <v>0</v>
      </c>
      <c r="T14" s="98">
        <f t="shared" si="5"/>
        <v>0</v>
      </c>
      <c r="U14" s="98">
        <f t="shared" si="1"/>
        <v>0</v>
      </c>
      <c r="V14" s="98">
        <f t="shared" si="1"/>
        <v>0</v>
      </c>
      <c r="W14" s="98">
        <f t="shared" si="1"/>
        <v>0</v>
      </c>
      <c r="X14" s="98">
        <f t="shared" si="1"/>
        <v>15</v>
      </c>
      <c r="Y14" s="98">
        <f t="shared" si="1"/>
        <v>10</v>
      </c>
      <c r="Z14" s="98">
        <f t="shared" si="2"/>
        <v>0</v>
      </c>
      <c r="AA14" s="153">
        <f t="shared" si="3"/>
        <v>65</v>
      </c>
      <c r="AB14" s="94" t="str">
        <f t="shared" si="4"/>
        <v>Küng</v>
      </c>
    </row>
    <row r="15" spans="2:28">
      <c r="B15" s="294" t="s">
        <v>257</v>
      </c>
      <c r="C15" s="292" t="s">
        <v>342</v>
      </c>
      <c r="D15" s="223" t="s">
        <v>106</v>
      </c>
      <c r="E15" s="98">
        <f t="shared" si="5"/>
        <v>29</v>
      </c>
      <c r="F15" s="98">
        <f t="shared" si="1"/>
        <v>12</v>
      </c>
      <c r="G15" s="98">
        <f t="shared" si="1"/>
        <v>6</v>
      </c>
      <c r="H15" s="98">
        <f t="shared" si="1"/>
        <v>6</v>
      </c>
      <c r="I15" s="98">
        <f t="shared" si="1"/>
        <v>0</v>
      </c>
      <c r="J15" s="98">
        <f t="shared" si="1"/>
        <v>0</v>
      </c>
      <c r="K15" s="340">
        <f t="shared" si="1"/>
        <v>0</v>
      </c>
      <c r="L15" s="340">
        <f t="shared" si="1"/>
        <v>0</v>
      </c>
      <c r="M15" s="340">
        <f t="shared" si="1"/>
        <v>0</v>
      </c>
      <c r="N15" s="340">
        <f t="shared" si="1"/>
        <v>0</v>
      </c>
      <c r="O15" s="340">
        <f t="shared" si="1"/>
        <v>0</v>
      </c>
      <c r="P15" s="340">
        <f t="shared" si="1"/>
        <v>0</v>
      </c>
      <c r="Q15" s="340">
        <f t="shared" si="1"/>
        <v>0</v>
      </c>
      <c r="R15" s="340">
        <f t="shared" si="1"/>
        <v>0</v>
      </c>
      <c r="S15" s="340">
        <f t="shared" si="1"/>
        <v>0</v>
      </c>
      <c r="T15" s="340">
        <f t="shared" si="1"/>
        <v>0</v>
      </c>
      <c r="U15" s="340">
        <f t="shared" si="1"/>
        <v>0</v>
      </c>
      <c r="V15" s="340">
        <f t="shared" si="1"/>
        <v>0</v>
      </c>
      <c r="W15" s="340">
        <f t="shared" si="1"/>
        <v>0</v>
      </c>
      <c r="X15" s="340">
        <f t="shared" si="1"/>
        <v>0</v>
      </c>
      <c r="Y15" s="340">
        <f t="shared" si="1"/>
        <v>0</v>
      </c>
      <c r="Z15" s="340">
        <f t="shared" si="2"/>
        <v>0</v>
      </c>
      <c r="AA15" s="153">
        <f t="shared" si="3"/>
        <v>53</v>
      </c>
      <c r="AB15" s="94" t="str">
        <f t="shared" si="4"/>
        <v>Van Der Poel</v>
      </c>
    </row>
    <row r="16" spans="2:28">
      <c r="B16" s="294" t="s">
        <v>172</v>
      </c>
      <c r="C16" s="292" t="s">
        <v>233</v>
      </c>
      <c r="D16" s="223" t="s">
        <v>10</v>
      </c>
      <c r="E16" s="98">
        <f t="shared" si="5"/>
        <v>0</v>
      </c>
      <c r="F16" s="98">
        <f t="shared" si="1"/>
        <v>22</v>
      </c>
      <c r="G16" s="98">
        <f t="shared" si="1"/>
        <v>26</v>
      </c>
      <c r="H16" s="98">
        <f t="shared" si="1"/>
        <v>31</v>
      </c>
      <c r="I16" s="98">
        <f t="shared" si="1"/>
        <v>22</v>
      </c>
      <c r="J16" s="98">
        <f t="shared" si="1"/>
        <v>6</v>
      </c>
      <c r="K16" s="98">
        <f t="shared" si="1"/>
        <v>2</v>
      </c>
      <c r="L16" s="98">
        <f t="shared" si="1"/>
        <v>2</v>
      </c>
      <c r="M16" s="98">
        <f t="shared" si="1"/>
        <v>2</v>
      </c>
      <c r="N16" s="98">
        <f t="shared" si="1"/>
        <v>0</v>
      </c>
      <c r="O16" s="98">
        <f t="shared" si="1"/>
        <v>0</v>
      </c>
      <c r="P16" s="98">
        <f t="shared" si="1"/>
        <v>1</v>
      </c>
      <c r="Q16" s="98">
        <f t="shared" si="1"/>
        <v>0</v>
      </c>
      <c r="R16" s="98">
        <f t="shared" si="1"/>
        <v>0</v>
      </c>
      <c r="S16" s="98">
        <f t="shared" si="1"/>
        <v>35</v>
      </c>
      <c r="T16" s="98">
        <f t="shared" si="1"/>
        <v>3</v>
      </c>
      <c r="U16" s="98">
        <f t="shared" si="1"/>
        <v>3</v>
      </c>
      <c r="V16" s="98">
        <f t="shared" si="1"/>
        <v>3</v>
      </c>
      <c r="W16" s="98">
        <f t="shared" si="1"/>
        <v>34</v>
      </c>
      <c r="X16" s="98">
        <f t="shared" si="1"/>
        <v>3</v>
      </c>
      <c r="Y16" s="98">
        <f t="shared" si="1"/>
        <v>39</v>
      </c>
      <c r="Z16" s="98">
        <f t="shared" si="2"/>
        <v>7</v>
      </c>
      <c r="AA16" s="153">
        <f t="shared" si="3"/>
        <v>241</v>
      </c>
      <c r="AB16" s="94" t="str">
        <f t="shared" si="4"/>
        <v>Philipsen</v>
      </c>
    </row>
    <row r="17" spans="2:28">
      <c r="B17" s="294" t="s">
        <v>133</v>
      </c>
      <c r="C17" s="292" t="s">
        <v>118</v>
      </c>
      <c r="D17" s="223" t="s">
        <v>160</v>
      </c>
      <c r="E17" s="98">
        <f t="shared" si="5"/>
        <v>0</v>
      </c>
      <c r="F17" s="98">
        <f t="shared" si="1"/>
        <v>0</v>
      </c>
      <c r="G17" s="98">
        <f t="shared" si="1"/>
        <v>0</v>
      </c>
      <c r="H17" s="98">
        <f t="shared" si="1"/>
        <v>0</v>
      </c>
      <c r="I17" s="98">
        <f t="shared" si="1"/>
        <v>0</v>
      </c>
      <c r="J17" s="98">
        <f t="shared" si="1"/>
        <v>8</v>
      </c>
      <c r="K17" s="98">
        <f t="shared" si="1"/>
        <v>14</v>
      </c>
      <c r="L17" s="98">
        <f t="shared" si="1"/>
        <v>0</v>
      </c>
      <c r="M17" s="98">
        <f t="shared" si="1"/>
        <v>0</v>
      </c>
      <c r="N17" s="98">
        <f t="shared" si="1"/>
        <v>0</v>
      </c>
      <c r="O17" s="98">
        <f t="shared" si="1"/>
        <v>0</v>
      </c>
      <c r="P17" s="98">
        <f t="shared" si="1"/>
        <v>0</v>
      </c>
      <c r="Q17" s="98">
        <f t="shared" si="1"/>
        <v>0</v>
      </c>
      <c r="R17" s="98">
        <f t="shared" si="1"/>
        <v>15</v>
      </c>
      <c r="S17" s="98">
        <f t="shared" si="1"/>
        <v>0</v>
      </c>
      <c r="T17" s="98">
        <f t="shared" si="1"/>
        <v>0</v>
      </c>
      <c r="U17" s="98">
        <f t="shared" si="1"/>
        <v>0</v>
      </c>
      <c r="V17" s="98">
        <f t="shared" si="1"/>
        <v>0</v>
      </c>
      <c r="W17" s="98">
        <f t="shared" si="1"/>
        <v>0</v>
      </c>
      <c r="X17" s="98">
        <f t="shared" si="1"/>
        <v>0</v>
      </c>
      <c r="Y17" s="98">
        <f t="shared" si="1"/>
        <v>0</v>
      </c>
      <c r="Z17" s="98">
        <f t="shared" si="2"/>
        <v>0</v>
      </c>
      <c r="AA17" s="153">
        <f t="shared" si="3"/>
        <v>37</v>
      </c>
      <c r="AB17" s="94" t="str">
        <f t="shared" si="4"/>
        <v>Uran</v>
      </c>
    </row>
    <row r="18" spans="2:28">
      <c r="B18" s="294" t="s">
        <v>203</v>
      </c>
      <c r="C18" s="292" t="s">
        <v>202</v>
      </c>
      <c r="D18" s="223" t="s">
        <v>10</v>
      </c>
      <c r="E18" s="98">
        <f t="shared" si="5"/>
        <v>25</v>
      </c>
      <c r="F18" s="98">
        <f t="shared" si="1"/>
        <v>35</v>
      </c>
      <c r="G18" s="98">
        <f t="shared" si="1"/>
        <v>21</v>
      </c>
      <c r="H18" s="98">
        <f t="shared" si="1"/>
        <v>21</v>
      </c>
      <c r="I18" s="98">
        <f t="shared" si="1"/>
        <v>5</v>
      </c>
      <c r="J18" s="98">
        <f t="shared" si="1"/>
        <v>0</v>
      </c>
      <c r="K18" s="98">
        <f t="shared" ref="F18:Y20" si="6">INDEX(scorematrix,MATCH($C18,renners,0),MATCH(K$3,etappes,0))</f>
        <v>0</v>
      </c>
      <c r="L18" s="98">
        <f t="shared" si="6"/>
        <v>0</v>
      </c>
      <c r="M18" s="98">
        <f t="shared" si="6"/>
        <v>0</v>
      </c>
      <c r="N18" s="98">
        <f t="shared" si="6"/>
        <v>0</v>
      </c>
      <c r="O18" s="98">
        <f t="shared" si="6"/>
        <v>0</v>
      </c>
      <c r="P18" s="98">
        <f t="shared" si="6"/>
        <v>0</v>
      </c>
      <c r="Q18" s="98">
        <f t="shared" si="6"/>
        <v>37</v>
      </c>
      <c r="R18" s="98">
        <f t="shared" si="6"/>
        <v>2</v>
      </c>
      <c r="S18" s="98">
        <f t="shared" si="6"/>
        <v>28</v>
      </c>
      <c r="T18" s="98">
        <f t="shared" si="6"/>
        <v>2</v>
      </c>
      <c r="U18" s="98">
        <f t="shared" si="6"/>
        <v>2</v>
      </c>
      <c r="V18" s="98">
        <f t="shared" si="6"/>
        <v>2</v>
      </c>
      <c r="W18" s="98">
        <f t="shared" si="6"/>
        <v>1</v>
      </c>
      <c r="X18" s="98">
        <f t="shared" si="6"/>
        <v>1</v>
      </c>
      <c r="Y18" s="98">
        <f t="shared" si="6"/>
        <v>0</v>
      </c>
      <c r="Z18" s="98">
        <f t="shared" si="2"/>
        <v>0</v>
      </c>
      <c r="AA18" s="153">
        <f t="shared" si="3"/>
        <v>182</v>
      </c>
      <c r="AB18" s="94" t="str">
        <f t="shared" si="4"/>
        <v>Pedersen</v>
      </c>
    </row>
    <row r="19" spans="2:28">
      <c r="B19" s="294" t="s">
        <v>207</v>
      </c>
      <c r="C19" s="292" t="s">
        <v>112</v>
      </c>
      <c r="D19" s="223" t="s">
        <v>10</v>
      </c>
      <c r="E19" s="98">
        <f t="shared" si="5"/>
        <v>9</v>
      </c>
      <c r="F19" s="98">
        <f t="shared" si="6"/>
        <v>0</v>
      </c>
      <c r="G19" s="98">
        <f t="shared" si="6"/>
        <v>0</v>
      </c>
      <c r="H19" s="98">
        <f t="shared" si="6"/>
        <v>17</v>
      </c>
      <c r="I19" s="98">
        <f t="shared" si="6"/>
        <v>0</v>
      </c>
      <c r="J19" s="98">
        <f t="shared" si="6"/>
        <v>30</v>
      </c>
      <c r="K19" s="98">
        <f t="shared" si="6"/>
        <v>0</v>
      </c>
      <c r="L19" s="98">
        <f t="shared" si="6"/>
        <v>30</v>
      </c>
      <c r="M19" s="98">
        <f t="shared" si="6"/>
        <v>0</v>
      </c>
      <c r="N19" s="98">
        <f t="shared" si="6"/>
        <v>0</v>
      </c>
      <c r="O19" s="98">
        <f t="shared" si="6"/>
        <v>0</v>
      </c>
      <c r="P19" s="98">
        <f t="shared" si="6"/>
        <v>0</v>
      </c>
      <c r="Q19" s="98">
        <f t="shared" si="6"/>
        <v>0</v>
      </c>
      <c r="R19" s="98">
        <f t="shared" si="6"/>
        <v>35</v>
      </c>
      <c r="S19" s="98">
        <f t="shared" si="6"/>
        <v>0</v>
      </c>
      <c r="T19" s="98">
        <f t="shared" si="6"/>
        <v>0</v>
      </c>
      <c r="U19" s="98">
        <f t="shared" si="6"/>
        <v>0</v>
      </c>
      <c r="V19" s="98">
        <f t="shared" si="6"/>
        <v>0</v>
      </c>
      <c r="W19" s="98">
        <f t="shared" si="6"/>
        <v>0</v>
      </c>
      <c r="X19" s="98">
        <f t="shared" si="6"/>
        <v>0</v>
      </c>
      <c r="Y19" s="98">
        <f t="shared" si="6"/>
        <v>0</v>
      </c>
      <c r="Z19" s="98">
        <f t="shared" si="2"/>
        <v>0</v>
      </c>
      <c r="AA19" s="153">
        <f t="shared" si="3"/>
        <v>121</v>
      </c>
      <c r="AB19" s="94" t="str">
        <f t="shared" si="4"/>
        <v>Matthews</v>
      </c>
    </row>
    <row r="20" spans="2:28" s="140" customFormat="1" ht="14.4" thickBot="1">
      <c r="B20" s="294" t="s">
        <v>252</v>
      </c>
      <c r="C20" s="292" t="s">
        <v>130</v>
      </c>
      <c r="D20" s="223" t="s">
        <v>10</v>
      </c>
      <c r="E20" s="98">
        <f t="shared" si="5"/>
        <v>0</v>
      </c>
      <c r="F20" s="98">
        <f t="shared" si="6"/>
        <v>18</v>
      </c>
      <c r="G20" s="98">
        <f t="shared" si="6"/>
        <v>38</v>
      </c>
      <c r="H20" s="98">
        <f t="shared" si="6"/>
        <v>0</v>
      </c>
      <c r="I20" s="98">
        <f t="shared" si="6"/>
        <v>0</v>
      </c>
      <c r="J20" s="340">
        <f t="shared" si="6"/>
        <v>0</v>
      </c>
      <c r="K20" s="340">
        <f t="shared" si="6"/>
        <v>0</v>
      </c>
      <c r="L20" s="340">
        <f t="shared" si="6"/>
        <v>0</v>
      </c>
      <c r="M20" s="340">
        <f t="shared" si="6"/>
        <v>0</v>
      </c>
      <c r="N20" s="340">
        <f t="shared" si="6"/>
        <v>0</v>
      </c>
      <c r="O20" s="340">
        <f t="shared" si="6"/>
        <v>0</v>
      </c>
      <c r="P20" s="340">
        <f t="shared" si="6"/>
        <v>0</v>
      </c>
      <c r="Q20" s="340">
        <f t="shared" si="6"/>
        <v>0</v>
      </c>
      <c r="R20" s="340">
        <f t="shared" si="6"/>
        <v>0</v>
      </c>
      <c r="S20" s="340">
        <f t="shared" si="6"/>
        <v>20</v>
      </c>
      <c r="T20" s="340">
        <f t="shared" si="6"/>
        <v>0</v>
      </c>
      <c r="U20" s="340">
        <f t="shared" si="6"/>
        <v>0</v>
      </c>
      <c r="V20" s="340">
        <f t="shared" si="6"/>
        <v>0</v>
      </c>
      <c r="W20" s="340">
        <f t="shared" si="6"/>
        <v>19</v>
      </c>
      <c r="X20" s="340">
        <f t="shared" si="6"/>
        <v>0</v>
      </c>
      <c r="Y20" s="340">
        <f t="shared" si="6"/>
        <v>30</v>
      </c>
      <c r="Z20" s="340">
        <f t="shared" ref="Z20" si="7">INDEX(scorematrix,MATCH($C20,renners,0),MATCH(Z$3,etappes,0))</f>
        <v>0</v>
      </c>
      <c r="AA20" s="153">
        <f t="shared" si="3"/>
        <v>125</v>
      </c>
      <c r="AB20" s="94" t="str">
        <f t="shared" si="4"/>
        <v>Groenewegen</v>
      </c>
    </row>
    <row r="21" spans="2:28" s="141" customFormat="1">
      <c r="B21" s="291"/>
      <c r="C21" s="288"/>
      <c r="D21" s="148"/>
      <c r="E21" s="150"/>
      <c r="F21" s="150"/>
      <c r="G21" s="150"/>
      <c r="H21" s="150"/>
      <c r="I21" s="150"/>
      <c r="J21" s="150">
        <f>-J20+J25</f>
        <v>28</v>
      </c>
      <c r="K21" s="150">
        <f>-K20+K25-K15+K26</f>
        <v>49</v>
      </c>
      <c r="L21" s="150">
        <f t="shared" ref="L21:Z21" si="8">-L20+L25-L15+L26</f>
        <v>31</v>
      </c>
      <c r="M21" s="150">
        <f t="shared" si="8"/>
        <v>38</v>
      </c>
      <c r="N21" s="150">
        <f t="shared" si="8"/>
        <v>9</v>
      </c>
      <c r="O21" s="150">
        <f t="shared" si="8"/>
        <v>61</v>
      </c>
      <c r="P21" s="150">
        <f t="shared" si="8"/>
        <v>39</v>
      </c>
      <c r="Q21" s="150">
        <f t="shared" si="8"/>
        <v>11</v>
      </c>
      <c r="R21" s="150">
        <f t="shared" si="8"/>
        <v>10</v>
      </c>
      <c r="S21" s="150">
        <f t="shared" si="8"/>
        <v>-10</v>
      </c>
      <c r="T21" s="150">
        <f t="shared" si="8"/>
        <v>16</v>
      </c>
      <c r="U21" s="150">
        <f t="shared" si="8"/>
        <v>50</v>
      </c>
      <c r="V21" s="150">
        <f t="shared" si="8"/>
        <v>41</v>
      </c>
      <c r="W21" s="150">
        <f t="shared" si="8"/>
        <v>1</v>
      </c>
      <c r="X21" s="150">
        <f t="shared" si="8"/>
        <v>11</v>
      </c>
      <c r="Y21" s="150">
        <f t="shared" si="8"/>
        <v>-19</v>
      </c>
      <c r="Z21" s="150">
        <f t="shared" si="8"/>
        <v>86</v>
      </c>
      <c r="AA21" s="193">
        <f t="shared" si="3"/>
        <v>452</v>
      </c>
    </row>
    <row r="22" spans="2:28" s="97" customFormat="1">
      <c r="B22" s="287"/>
      <c r="C22" s="289"/>
      <c r="D22" s="296"/>
      <c r="E22" s="309">
        <f t="shared" ref="E22:AA22" si="9">SUM(E4:E21)</f>
        <v>149</v>
      </c>
      <c r="F22" s="309">
        <f t="shared" ref="F22" si="10">SUM(F4:F21)</f>
        <v>175</v>
      </c>
      <c r="G22" s="309">
        <f>SUM(G4:G21)</f>
        <v>177</v>
      </c>
      <c r="H22" s="309">
        <f t="shared" si="9"/>
        <v>159</v>
      </c>
      <c r="I22" s="309">
        <f t="shared" si="9"/>
        <v>99</v>
      </c>
      <c r="J22" s="309">
        <f t="shared" si="9"/>
        <v>184</v>
      </c>
      <c r="K22" s="309">
        <f t="shared" si="9"/>
        <v>205</v>
      </c>
      <c r="L22" s="309">
        <f t="shared" si="9"/>
        <v>213</v>
      </c>
      <c r="M22" s="309">
        <f t="shared" si="9"/>
        <v>140</v>
      </c>
      <c r="N22" s="309">
        <f t="shared" si="9"/>
        <v>35</v>
      </c>
      <c r="O22" s="309">
        <f t="shared" si="9"/>
        <v>178</v>
      </c>
      <c r="P22" s="309">
        <f t="shared" si="9"/>
        <v>137</v>
      </c>
      <c r="Q22" s="309">
        <f t="shared" si="9"/>
        <v>130</v>
      </c>
      <c r="R22" s="309">
        <f t="shared" si="9"/>
        <v>100</v>
      </c>
      <c r="S22" s="309">
        <f t="shared" si="9"/>
        <v>138</v>
      </c>
      <c r="T22" s="309">
        <f t="shared" si="9"/>
        <v>123</v>
      </c>
      <c r="U22" s="309">
        <f t="shared" si="9"/>
        <v>169</v>
      </c>
      <c r="V22" s="309">
        <f t="shared" si="9"/>
        <v>208</v>
      </c>
      <c r="W22" s="309">
        <f t="shared" si="9"/>
        <v>127</v>
      </c>
      <c r="X22" s="309">
        <f t="shared" si="9"/>
        <v>144</v>
      </c>
      <c r="Y22" s="309">
        <f t="shared" si="9"/>
        <v>109</v>
      </c>
      <c r="Z22" s="309">
        <f t="shared" si="9"/>
        <v>281</v>
      </c>
      <c r="AA22" s="190">
        <f t="shared" si="9"/>
        <v>3380</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t="s">
        <v>199</v>
      </c>
      <c r="C24" s="293" t="s">
        <v>198</v>
      </c>
      <c r="D24" s="226"/>
      <c r="E24" s="160">
        <f t="shared" ref="E24:Z26" si="11">INDEX(scorematrix,MATCH($C24,renners,0),MATCH(E$3,etappes,0))</f>
        <v>0</v>
      </c>
      <c r="F24" s="160">
        <f t="shared" si="11"/>
        <v>0</v>
      </c>
      <c r="G24" s="160">
        <f t="shared" si="11"/>
        <v>0</v>
      </c>
      <c r="H24" s="160">
        <f t="shared" si="11"/>
        <v>0</v>
      </c>
      <c r="I24" s="160">
        <f t="shared" si="11"/>
        <v>0</v>
      </c>
      <c r="J24" s="341">
        <f t="shared" si="11"/>
        <v>0</v>
      </c>
      <c r="K24" s="341">
        <f t="shared" si="11"/>
        <v>0</v>
      </c>
      <c r="L24" s="341">
        <f t="shared" si="11"/>
        <v>0</v>
      </c>
      <c r="M24" s="341">
        <f t="shared" si="11"/>
        <v>0</v>
      </c>
      <c r="N24" s="341">
        <f t="shared" si="11"/>
        <v>0</v>
      </c>
      <c r="O24" s="341">
        <f t="shared" si="11"/>
        <v>0</v>
      </c>
      <c r="P24" s="341">
        <f t="shared" si="11"/>
        <v>0</v>
      </c>
      <c r="Q24" s="341">
        <f t="shared" si="11"/>
        <v>0</v>
      </c>
      <c r="R24" s="341">
        <f t="shared" si="11"/>
        <v>0</v>
      </c>
      <c r="S24" s="341">
        <f t="shared" si="11"/>
        <v>0</v>
      </c>
      <c r="T24" s="341">
        <f t="shared" si="11"/>
        <v>0</v>
      </c>
      <c r="U24" s="341">
        <f t="shared" si="11"/>
        <v>0</v>
      </c>
      <c r="V24" s="341">
        <f t="shared" si="11"/>
        <v>0</v>
      </c>
      <c r="W24" s="341">
        <f t="shared" si="11"/>
        <v>0</v>
      </c>
      <c r="X24" s="341">
        <f t="shared" si="11"/>
        <v>0</v>
      </c>
      <c r="Y24" s="341">
        <f t="shared" si="11"/>
        <v>0</v>
      </c>
      <c r="Z24" s="341">
        <f t="shared" si="11"/>
        <v>0</v>
      </c>
      <c r="AA24" s="245">
        <f>SUM(E24:Z24)</f>
        <v>0</v>
      </c>
    </row>
    <row r="25" spans="2:28" s="145" customFormat="1">
      <c r="B25" s="295" t="s">
        <v>209</v>
      </c>
      <c r="C25" s="293" t="s">
        <v>200</v>
      </c>
      <c r="D25" s="226"/>
      <c r="E25" s="160">
        <f t="shared" si="11"/>
        <v>0</v>
      </c>
      <c r="F25" s="160">
        <f t="shared" si="11"/>
        <v>0</v>
      </c>
      <c r="G25" s="160">
        <f t="shared" si="11"/>
        <v>0</v>
      </c>
      <c r="H25" s="160">
        <f t="shared" si="11"/>
        <v>0</v>
      </c>
      <c r="I25" s="160">
        <f t="shared" si="11"/>
        <v>0</v>
      </c>
      <c r="J25" s="338">
        <f t="shared" si="11"/>
        <v>28</v>
      </c>
      <c r="K25" s="338">
        <f t="shared" si="11"/>
        <v>26</v>
      </c>
      <c r="L25" s="338">
        <f t="shared" si="11"/>
        <v>20</v>
      </c>
      <c r="M25" s="338">
        <f t="shared" si="11"/>
        <v>19</v>
      </c>
      <c r="N25" s="338">
        <f t="shared" si="11"/>
        <v>5</v>
      </c>
      <c r="O25" s="338">
        <f t="shared" si="11"/>
        <v>26</v>
      </c>
      <c r="P25" s="338">
        <f t="shared" si="11"/>
        <v>17</v>
      </c>
      <c r="Q25" s="338">
        <f t="shared" si="11"/>
        <v>4</v>
      </c>
      <c r="R25" s="338">
        <f t="shared" si="11"/>
        <v>3</v>
      </c>
      <c r="S25" s="338">
        <f t="shared" si="11"/>
        <v>3</v>
      </c>
      <c r="T25" s="338">
        <f t="shared" si="11"/>
        <v>14</v>
      </c>
      <c r="U25" s="338">
        <f t="shared" si="11"/>
        <v>25</v>
      </c>
      <c r="V25" s="338">
        <f t="shared" si="11"/>
        <v>29</v>
      </c>
      <c r="W25" s="338">
        <f t="shared" si="11"/>
        <v>17</v>
      </c>
      <c r="X25" s="338">
        <f t="shared" si="11"/>
        <v>7</v>
      </c>
      <c r="Y25" s="338">
        <f t="shared" si="11"/>
        <v>7</v>
      </c>
      <c r="Z25" s="338">
        <f t="shared" si="11"/>
        <v>48</v>
      </c>
      <c r="AA25" s="245">
        <f>SUM(E25:Z25)</f>
        <v>298</v>
      </c>
    </row>
    <row r="26" spans="2:28" s="145" customFormat="1">
      <c r="B26" s="295" t="s">
        <v>250</v>
      </c>
      <c r="C26" s="293" t="s">
        <v>105</v>
      </c>
      <c r="D26" s="226"/>
      <c r="E26" s="160">
        <f t="shared" si="11"/>
        <v>0</v>
      </c>
      <c r="F26" s="160">
        <f t="shared" si="11"/>
        <v>0</v>
      </c>
      <c r="G26" s="160">
        <f t="shared" si="11"/>
        <v>0</v>
      </c>
      <c r="H26" s="160">
        <f t="shared" si="11"/>
        <v>0</v>
      </c>
      <c r="I26" s="160">
        <f t="shared" si="11"/>
        <v>0</v>
      </c>
      <c r="J26" s="160">
        <f t="shared" si="11"/>
        <v>18</v>
      </c>
      <c r="K26" s="338">
        <f t="shared" si="11"/>
        <v>23</v>
      </c>
      <c r="L26" s="338">
        <f t="shared" si="11"/>
        <v>11</v>
      </c>
      <c r="M26" s="338">
        <f t="shared" si="11"/>
        <v>19</v>
      </c>
      <c r="N26" s="338">
        <f t="shared" si="11"/>
        <v>4</v>
      </c>
      <c r="O26" s="338">
        <f t="shared" si="11"/>
        <v>35</v>
      </c>
      <c r="P26" s="338">
        <f t="shared" si="11"/>
        <v>22</v>
      </c>
      <c r="Q26" s="338">
        <f t="shared" si="11"/>
        <v>7</v>
      </c>
      <c r="R26" s="338">
        <f t="shared" si="11"/>
        <v>7</v>
      </c>
      <c r="S26" s="338">
        <f t="shared" si="11"/>
        <v>7</v>
      </c>
      <c r="T26" s="338">
        <f t="shared" si="11"/>
        <v>2</v>
      </c>
      <c r="U26" s="338">
        <f t="shared" si="11"/>
        <v>25</v>
      </c>
      <c r="V26" s="338">
        <f t="shared" si="11"/>
        <v>12</v>
      </c>
      <c r="W26" s="338">
        <f t="shared" si="11"/>
        <v>3</v>
      </c>
      <c r="X26" s="338">
        <f t="shared" si="11"/>
        <v>4</v>
      </c>
      <c r="Y26" s="338">
        <f t="shared" si="11"/>
        <v>4</v>
      </c>
      <c r="Z26" s="338">
        <f t="shared" si="11"/>
        <v>38</v>
      </c>
      <c r="AA26" s="245">
        <f>SUM(E26:Z26)</f>
        <v>241</v>
      </c>
    </row>
    <row r="28" spans="2:28">
      <c r="C28" s="246" t="s">
        <v>160</v>
      </c>
      <c r="D28" s="247">
        <f>COUNTIF($D$4:$D$21,C28)</f>
        <v>9</v>
      </c>
    </row>
    <row r="29" spans="2:28">
      <c r="C29" s="248" t="s">
        <v>10</v>
      </c>
      <c r="D29" s="247">
        <f>COUNTIF($D$4:$D$21,C29)</f>
        <v>5</v>
      </c>
    </row>
    <row r="30" spans="2:28">
      <c r="C30" s="248" t="s">
        <v>106</v>
      </c>
      <c r="D30" s="247">
        <f>COUNTIF($D$4:$D$21,C30)</f>
        <v>3</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24:D26 D4:D20" xr:uid="{00000000-0002-0000-1700-000000000000}">
      <formula1>type_renner</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3">
    <tabColor indexed="12"/>
  </sheetPr>
  <dimension ref="B1:AB30"/>
  <sheetViews>
    <sheetView showZeros="0" workbookViewId="0">
      <selection activeCell="R18" sqref="R18"/>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181</v>
      </c>
      <c r="D1" s="220"/>
    </row>
    <row r="2" spans="2:28">
      <c r="B2" s="146"/>
      <c r="C2" s="250"/>
      <c r="D2" s="147"/>
      <c r="H2" s="112"/>
    </row>
    <row r="3" spans="2:28" s="110" customFormat="1" ht="14.4" thickBot="1">
      <c r="B3" s="251"/>
      <c r="C3" s="252" t="s">
        <v>97</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217</v>
      </c>
      <c r="C4" s="292" t="s">
        <v>195</v>
      </c>
      <c r="D4" s="223" t="s">
        <v>106</v>
      </c>
      <c r="E4" s="98">
        <f t="shared" ref="E4:T12" si="0">INDEX(scorematrix,MATCH($C4,renners,0),MATCH(E$3,etappes,0))</f>
        <v>29</v>
      </c>
      <c r="F4" s="98">
        <f t="shared" si="0"/>
        <v>12</v>
      </c>
      <c r="G4" s="98">
        <f t="shared" si="0"/>
        <v>6</v>
      </c>
      <c r="H4" s="98">
        <f t="shared" si="0"/>
        <v>6</v>
      </c>
      <c r="I4" s="98">
        <f t="shared" si="0"/>
        <v>0</v>
      </c>
      <c r="J4" s="98">
        <f t="shared" si="0"/>
        <v>0</v>
      </c>
      <c r="K4" s="98">
        <f t="shared" si="0"/>
        <v>0</v>
      </c>
      <c r="L4" s="98">
        <f t="shared" si="0"/>
        <v>0</v>
      </c>
      <c r="M4" s="98">
        <f t="shared" si="0"/>
        <v>0</v>
      </c>
      <c r="N4" s="98">
        <f t="shared" si="0"/>
        <v>0</v>
      </c>
      <c r="O4" s="98">
        <f t="shared" si="0"/>
        <v>0</v>
      </c>
      <c r="P4" s="98">
        <f t="shared" si="0"/>
        <v>0</v>
      </c>
      <c r="Q4" s="98">
        <f t="shared" si="0"/>
        <v>0</v>
      </c>
      <c r="R4" s="98">
        <f t="shared" si="0"/>
        <v>0</v>
      </c>
      <c r="S4" s="98">
        <f t="shared" si="0"/>
        <v>0</v>
      </c>
      <c r="T4" s="98">
        <f t="shared" si="0"/>
        <v>0</v>
      </c>
      <c r="U4" s="98">
        <f t="shared" ref="F4:Y12" si="1">INDEX(scorematrix,MATCH($C4,renners,0),MATCH(U$3,etappes,0))</f>
        <v>0</v>
      </c>
      <c r="V4" s="98">
        <f t="shared" si="1"/>
        <v>0</v>
      </c>
      <c r="W4" s="98">
        <f t="shared" si="1"/>
        <v>0</v>
      </c>
      <c r="X4" s="98">
        <f t="shared" si="1"/>
        <v>0</v>
      </c>
      <c r="Y4" s="98">
        <f t="shared" si="1"/>
        <v>0</v>
      </c>
      <c r="Z4" s="98">
        <f t="shared" ref="Z4:Z19" si="2">INDEX(scorematrix,MATCH($C4,renners,0),MATCH(Z$3,etappes,0))</f>
        <v>0</v>
      </c>
      <c r="AA4" s="153">
        <f t="shared" ref="AA4:AA21" si="3">SUM(E4:Z4)</f>
        <v>53</v>
      </c>
      <c r="AB4" s="94" t="str">
        <f t="shared" ref="AB4:AB19" si="4">C4</f>
        <v>van der Poel</v>
      </c>
    </row>
    <row r="5" spans="2:28">
      <c r="B5" s="294" t="s">
        <v>158</v>
      </c>
      <c r="C5" s="292" t="s">
        <v>156</v>
      </c>
      <c r="D5" s="223" t="s">
        <v>106</v>
      </c>
      <c r="E5" s="98">
        <f t="shared" si="0"/>
        <v>43</v>
      </c>
      <c r="F5" s="98">
        <f t="shared" si="1"/>
        <v>45</v>
      </c>
      <c r="G5" s="98">
        <f t="shared" si="1"/>
        <v>45</v>
      </c>
      <c r="H5" s="98">
        <f t="shared" si="1"/>
        <v>54</v>
      </c>
      <c r="I5" s="98">
        <f t="shared" si="1"/>
        <v>29</v>
      </c>
      <c r="J5" s="98">
        <f t="shared" si="1"/>
        <v>8</v>
      </c>
      <c r="K5" s="98">
        <f t="shared" si="1"/>
        <v>5</v>
      </c>
      <c r="L5" s="98">
        <f t="shared" si="1"/>
        <v>40</v>
      </c>
      <c r="M5" s="98">
        <f t="shared" si="1"/>
        <v>5</v>
      </c>
      <c r="N5" s="98">
        <f t="shared" si="1"/>
        <v>5</v>
      </c>
      <c r="O5" s="98">
        <f t="shared" si="1"/>
        <v>5</v>
      </c>
      <c r="P5" s="98">
        <f t="shared" si="1"/>
        <v>5</v>
      </c>
      <c r="Q5" s="98">
        <f t="shared" si="1"/>
        <v>24</v>
      </c>
      <c r="R5" s="98">
        <f t="shared" si="1"/>
        <v>5</v>
      </c>
      <c r="S5" s="98">
        <f t="shared" si="1"/>
        <v>35</v>
      </c>
      <c r="T5" s="98">
        <f t="shared" si="1"/>
        <v>18</v>
      </c>
      <c r="U5" s="98">
        <f t="shared" si="1"/>
        <v>5</v>
      </c>
      <c r="V5" s="98">
        <f t="shared" si="1"/>
        <v>32</v>
      </c>
      <c r="W5" s="98">
        <f t="shared" si="1"/>
        <v>6</v>
      </c>
      <c r="X5" s="98">
        <f t="shared" si="1"/>
        <v>41</v>
      </c>
      <c r="Y5" s="98">
        <f t="shared" si="1"/>
        <v>6</v>
      </c>
      <c r="Z5" s="98">
        <f t="shared" si="2"/>
        <v>11</v>
      </c>
      <c r="AA5" s="153">
        <f t="shared" si="3"/>
        <v>472</v>
      </c>
      <c r="AB5" s="94" t="str">
        <f t="shared" si="4"/>
        <v>van Aert</v>
      </c>
    </row>
    <row r="6" spans="2:28">
      <c r="B6" s="294" t="s">
        <v>247</v>
      </c>
      <c r="C6" s="292" t="s">
        <v>248</v>
      </c>
      <c r="D6" s="223" t="s">
        <v>106</v>
      </c>
      <c r="E6" s="98">
        <f t="shared" si="0"/>
        <v>15</v>
      </c>
      <c r="F6" s="98">
        <f t="shared" si="1"/>
        <v>4</v>
      </c>
      <c r="G6" s="98">
        <f t="shared" si="1"/>
        <v>5</v>
      </c>
      <c r="H6" s="98">
        <f t="shared" si="1"/>
        <v>5</v>
      </c>
      <c r="I6" s="98">
        <f t="shared" si="1"/>
        <v>6</v>
      </c>
      <c r="J6" s="98">
        <f t="shared" si="1"/>
        <v>34</v>
      </c>
      <c r="K6" s="98">
        <f t="shared" si="1"/>
        <v>20</v>
      </c>
      <c r="L6" s="98">
        <f t="shared" si="1"/>
        <v>24</v>
      </c>
      <c r="M6" s="98">
        <f t="shared" si="1"/>
        <v>19</v>
      </c>
      <c r="N6" s="98">
        <f t="shared" si="1"/>
        <v>7</v>
      </c>
      <c r="O6" s="98">
        <f t="shared" si="1"/>
        <v>12</v>
      </c>
      <c r="P6" s="98">
        <f t="shared" si="1"/>
        <v>42</v>
      </c>
      <c r="Q6" s="98">
        <f t="shared" si="1"/>
        <v>7</v>
      </c>
      <c r="R6" s="98">
        <f t="shared" si="1"/>
        <v>6</v>
      </c>
      <c r="S6" s="98">
        <f t="shared" si="1"/>
        <v>6</v>
      </c>
      <c r="T6" s="98">
        <f t="shared" si="1"/>
        <v>5</v>
      </c>
      <c r="U6" s="98">
        <f t="shared" si="1"/>
        <v>4</v>
      </c>
      <c r="V6" s="98">
        <f t="shared" si="1"/>
        <v>4</v>
      </c>
      <c r="W6" s="98">
        <f t="shared" si="1"/>
        <v>4</v>
      </c>
      <c r="X6" s="98">
        <f t="shared" si="1"/>
        <v>4</v>
      </c>
      <c r="Y6" s="98">
        <f t="shared" si="1"/>
        <v>4</v>
      </c>
      <c r="Z6" s="98">
        <f t="shared" si="2"/>
        <v>18</v>
      </c>
      <c r="AA6" s="153">
        <f t="shared" si="3"/>
        <v>255</v>
      </c>
      <c r="AB6" s="94" t="str">
        <f t="shared" si="4"/>
        <v>Pidcock</v>
      </c>
    </row>
    <row r="7" spans="2:28">
      <c r="B7" s="294" t="s">
        <v>203</v>
      </c>
      <c r="C7" s="292" t="s">
        <v>202</v>
      </c>
      <c r="D7" s="223" t="s">
        <v>10</v>
      </c>
      <c r="E7" s="98">
        <f t="shared" si="0"/>
        <v>25</v>
      </c>
      <c r="F7" s="98">
        <f t="shared" si="1"/>
        <v>35</v>
      </c>
      <c r="G7" s="98">
        <f t="shared" si="1"/>
        <v>21</v>
      </c>
      <c r="H7" s="98">
        <f t="shared" si="1"/>
        <v>21</v>
      </c>
      <c r="I7" s="98">
        <f t="shared" si="1"/>
        <v>5</v>
      </c>
      <c r="J7" s="98">
        <f t="shared" si="1"/>
        <v>0</v>
      </c>
      <c r="K7" s="98">
        <f t="shared" si="1"/>
        <v>0</v>
      </c>
      <c r="L7" s="98">
        <f t="shared" si="1"/>
        <v>0</v>
      </c>
      <c r="M7" s="98">
        <f t="shared" si="1"/>
        <v>0</v>
      </c>
      <c r="N7" s="98">
        <f t="shared" si="1"/>
        <v>0</v>
      </c>
      <c r="O7" s="98">
        <f t="shared" si="1"/>
        <v>0</v>
      </c>
      <c r="P7" s="98">
        <f t="shared" si="1"/>
        <v>0</v>
      </c>
      <c r="Q7" s="98">
        <f t="shared" si="1"/>
        <v>37</v>
      </c>
      <c r="R7" s="98">
        <f t="shared" si="1"/>
        <v>2</v>
      </c>
      <c r="S7" s="98">
        <f t="shared" si="1"/>
        <v>28</v>
      </c>
      <c r="T7" s="98">
        <f t="shared" si="1"/>
        <v>2</v>
      </c>
      <c r="U7" s="98">
        <f t="shared" si="1"/>
        <v>2</v>
      </c>
      <c r="V7" s="98">
        <f t="shared" si="1"/>
        <v>2</v>
      </c>
      <c r="W7" s="98">
        <f t="shared" si="1"/>
        <v>1</v>
      </c>
      <c r="X7" s="98">
        <f t="shared" si="1"/>
        <v>1</v>
      </c>
      <c r="Y7" s="98">
        <f t="shared" si="1"/>
        <v>0</v>
      </c>
      <c r="Z7" s="98">
        <f t="shared" si="2"/>
        <v>0</v>
      </c>
      <c r="AA7" s="153">
        <f t="shared" si="3"/>
        <v>182</v>
      </c>
      <c r="AB7" s="94" t="str">
        <f t="shared" si="4"/>
        <v>Pedersen</v>
      </c>
    </row>
    <row r="8" spans="2:28">
      <c r="B8" s="294" t="s">
        <v>249</v>
      </c>
      <c r="C8" s="292" t="s">
        <v>239</v>
      </c>
      <c r="D8" s="223" t="s">
        <v>10</v>
      </c>
      <c r="E8" s="98">
        <f t="shared" si="0"/>
        <v>0</v>
      </c>
      <c r="F8" s="98">
        <f t="shared" si="1"/>
        <v>39</v>
      </c>
      <c r="G8" s="98">
        <f t="shared" si="1"/>
        <v>26</v>
      </c>
      <c r="H8" s="98">
        <f t="shared" si="1"/>
        <v>17</v>
      </c>
      <c r="I8" s="98">
        <f t="shared" si="1"/>
        <v>21</v>
      </c>
      <c r="J8" s="98">
        <f t="shared" si="1"/>
        <v>4</v>
      </c>
      <c r="K8" s="98">
        <f t="shared" si="1"/>
        <v>4</v>
      </c>
      <c r="L8" s="98">
        <f t="shared" si="1"/>
        <v>4</v>
      </c>
      <c r="M8" s="98">
        <f t="shared" si="1"/>
        <v>4</v>
      </c>
      <c r="N8" s="98">
        <f t="shared" si="1"/>
        <v>4</v>
      </c>
      <c r="O8" s="98">
        <f t="shared" si="1"/>
        <v>4</v>
      </c>
      <c r="P8" s="98">
        <f t="shared" si="1"/>
        <v>3</v>
      </c>
      <c r="Q8" s="98">
        <f t="shared" si="1"/>
        <v>3</v>
      </c>
      <c r="R8" s="98">
        <f t="shared" si="1"/>
        <v>3</v>
      </c>
      <c r="S8" s="98">
        <f t="shared" si="1"/>
        <v>1</v>
      </c>
      <c r="T8" s="98">
        <f t="shared" si="1"/>
        <v>1</v>
      </c>
      <c r="U8" s="98">
        <f t="shared" si="1"/>
        <v>1</v>
      </c>
      <c r="V8" s="98">
        <f t="shared" si="1"/>
        <v>1</v>
      </c>
      <c r="W8" s="98">
        <f t="shared" si="1"/>
        <v>0</v>
      </c>
      <c r="X8" s="98">
        <f t="shared" si="1"/>
        <v>0</v>
      </c>
      <c r="Y8" s="98">
        <f t="shared" si="1"/>
        <v>14</v>
      </c>
      <c r="Z8" s="98">
        <f t="shared" si="2"/>
        <v>1</v>
      </c>
      <c r="AA8" s="153">
        <f t="shared" si="3"/>
        <v>155</v>
      </c>
      <c r="AB8" s="94" t="str">
        <f t="shared" si="4"/>
        <v>Jakobsen</v>
      </c>
    </row>
    <row r="9" spans="2:28">
      <c r="B9" s="294" t="s">
        <v>150</v>
      </c>
      <c r="C9" s="292" t="s">
        <v>151</v>
      </c>
      <c r="D9" s="223" t="s">
        <v>10</v>
      </c>
      <c r="E9" s="98">
        <f t="shared" si="0"/>
        <v>0</v>
      </c>
      <c r="F9" s="98">
        <f t="shared" si="1"/>
        <v>13</v>
      </c>
      <c r="G9" s="98">
        <f t="shared" si="1"/>
        <v>17</v>
      </c>
      <c r="H9" s="98">
        <f t="shared" si="1"/>
        <v>0</v>
      </c>
      <c r="I9" s="98">
        <f t="shared" si="1"/>
        <v>0</v>
      </c>
      <c r="J9" s="98">
        <f t="shared" si="1"/>
        <v>0</v>
      </c>
      <c r="K9" s="98">
        <f t="shared" si="1"/>
        <v>0</v>
      </c>
      <c r="L9" s="98">
        <f t="shared" si="1"/>
        <v>0</v>
      </c>
      <c r="M9" s="98">
        <f t="shared" si="1"/>
        <v>0</v>
      </c>
      <c r="N9" s="98">
        <f t="shared" si="1"/>
        <v>0</v>
      </c>
      <c r="O9" s="98">
        <f t="shared" si="1"/>
        <v>0</v>
      </c>
      <c r="P9" s="98">
        <f t="shared" si="1"/>
        <v>0</v>
      </c>
      <c r="Q9" s="98">
        <f t="shared" si="1"/>
        <v>0</v>
      </c>
      <c r="R9" s="98">
        <f t="shared" si="1"/>
        <v>0</v>
      </c>
      <c r="S9" s="98">
        <f t="shared" si="1"/>
        <v>0</v>
      </c>
      <c r="T9" s="98">
        <f t="shared" si="1"/>
        <v>0</v>
      </c>
      <c r="U9" s="98">
        <f t="shared" si="1"/>
        <v>0</v>
      </c>
      <c r="V9" s="98">
        <f t="shared" si="1"/>
        <v>0</v>
      </c>
      <c r="W9" s="98">
        <f t="shared" si="1"/>
        <v>16</v>
      </c>
      <c r="X9" s="98">
        <f t="shared" si="1"/>
        <v>0</v>
      </c>
      <c r="Y9" s="98">
        <f t="shared" si="1"/>
        <v>18</v>
      </c>
      <c r="Z9" s="98">
        <f t="shared" si="2"/>
        <v>0</v>
      </c>
      <c r="AA9" s="153">
        <f t="shared" si="3"/>
        <v>64</v>
      </c>
      <c r="AB9" s="94" t="str">
        <f t="shared" si="4"/>
        <v>Ewan</v>
      </c>
    </row>
    <row r="10" spans="2:28">
      <c r="B10" s="294" t="s">
        <v>207</v>
      </c>
      <c r="C10" s="292" t="s">
        <v>112</v>
      </c>
      <c r="D10" s="223" t="s">
        <v>10</v>
      </c>
      <c r="E10" s="98">
        <f t="shared" si="0"/>
        <v>9</v>
      </c>
      <c r="F10" s="98">
        <f t="shared" si="1"/>
        <v>0</v>
      </c>
      <c r="G10" s="98">
        <f t="shared" si="1"/>
        <v>0</v>
      </c>
      <c r="H10" s="98">
        <f t="shared" si="1"/>
        <v>17</v>
      </c>
      <c r="I10" s="98">
        <f t="shared" si="1"/>
        <v>0</v>
      </c>
      <c r="J10" s="98">
        <f t="shared" si="1"/>
        <v>30</v>
      </c>
      <c r="K10" s="98">
        <f t="shared" si="1"/>
        <v>0</v>
      </c>
      <c r="L10" s="98">
        <f t="shared" si="1"/>
        <v>30</v>
      </c>
      <c r="M10" s="98">
        <f t="shared" si="1"/>
        <v>0</v>
      </c>
      <c r="N10" s="98">
        <f t="shared" si="1"/>
        <v>0</v>
      </c>
      <c r="O10" s="98">
        <f t="shared" si="1"/>
        <v>0</v>
      </c>
      <c r="P10" s="98">
        <f t="shared" si="1"/>
        <v>0</v>
      </c>
      <c r="Q10" s="98">
        <f t="shared" si="1"/>
        <v>0</v>
      </c>
      <c r="R10" s="98">
        <f t="shared" si="1"/>
        <v>35</v>
      </c>
      <c r="S10" s="98">
        <f t="shared" si="1"/>
        <v>0</v>
      </c>
      <c r="T10" s="98">
        <f t="shared" si="1"/>
        <v>0</v>
      </c>
      <c r="U10" s="98">
        <f t="shared" si="1"/>
        <v>0</v>
      </c>
      <c r="V10" s="98">
        <f t="shared" si="1"/>
        <v>0</v>
      </c>
      <c r="W10" s="98">
        <f t="shared" si="1"/>
        <v>0</v>
      </c>
      <c r="X10" s="98">
        <f t="shared" si="1"/>
        <v>0</v>
      </c>
      <c r="Y10" s="98">
        <f t="shared" si="1"/>
        <v>0</v>
      </c>
      <c r="Z10" s="98">
        <f t="shared" si="2"/>
        <v>0</v>
      </c>
      <c r="AA10" s="153">
        <f t="shared" si="3"/>
        <v>121</v>
      </c>
      <c r="AB10" s="94" t="str">
        <f t="shared" si="4"/>
        <v>Matthews</v>
      </c>
    </row>
    <row r="11" spans="2:28">
      <c r="B11" s="294" t="s">
        <v>183</v>
      </c>
      <c r="C11" s="292" t="s">
        <v>52</v>
      </c>
      <c r="D11" s="223" t="s">
        <v>106</v>
      </c>
      <c r="E11" s="98">
        <f t="shared" si="0"/>
        <v>19</v>
      </c>
      <c r="F11" s="98">
        <f t="shared" si="1"/>
        <v>2</v>
      </c>
      <c r="G11" s="98">
        <f t="shared" si="1"/>
        <v>0</v>
      </c>
      <c r="H11" s="98">
        <f t="shared" si="1"/>
        <v>0</v>
      </c>
      <c r="I11" s="98">
        <f t="shared" si="1"/>
        <v>0</v>
      </c>
      <c r="J11" s="98">
        <f t="shared" si="1"/>
        <v>0</v>
      </c>
      <c r="K11" s="98">
        <f t="shared" si="1"/>
        <v>0</v>
      </c>
      <c r="L11" s="98">
        <f t="shared" si="1"/>
        <v>0</v>
      </c>
      <c r="M11" s="98">
        <f t="shared" si="1"/>
        <v>0</v>
      </c>
      <c r="N11" s="98">
        <f t="shared" si="1"/>
        <v>0</v>
      </c>
      <c r="O11" s="98">
        <f t="shared" si="1"/>
        <v>0</v>
      </c>
      <c r="P11" s="98">
        <f t="shared" si="1"/>
        <v>0</v>
      </c>
      <c r="Q11" s="98">
        <f t="shared" si="1"/>
        <v>0</v>
      </c>
      <c r="R11" s="98">
        <f t="shared" si="1"/>
        <v>7</v>
      </c>
      <c r="S11" s="98">
        <f t="shared" si="1"/>
        <v>0</v>
      </c>
      <c r="T11" s="98">
        <f t="shared" si="1"/>
        <v>0</v>
      </c>
      <c r="U11" s="98">
        <f t="shared" si="1"/>
        <v>0</v>
      </c>
      <c r="V11" s="98">
        <f t="shared" si="1"/>
        <v>0</v>
      </c>
      <c r="W11" s="98">
        <f t="shared" si="1"/>
        <v>0</v>
      </c>
      <c r="X11" s="98">
        <f t="shared" si="1"/>
        <v>20</v>
      </c>
      <c r="Y11" s="98">
        <f t="shared" si="1"/>
        <v>0</v>
      </c>
      <c r="Z11" s="98">
        <f t="shared" si="2"/>
        <v>0</v>
      </c>
      <c r="AA11" s="153">
        <f t="shared" si="3"/>
        <v>48</v>
      </c>
      <c r="AB11" s="94" t="str">
        <f t="shared" si="4"/>
        <v>Mollema</v>
      </c>
    </row>
    <row r="12" spans="2:28">
      <c r="B12" s="294" t="s">
        <v>94</v>
      </c>
      <c r="C12" s="292" t="s">
        <v>75</v>
      </c>
      <c r="D12" s="223" t="s">
        <v>160</v>
      </c>
      <c r="E12" s="98">
        <f t="shared" si="0"/>
        <v>8</v>
      </c>
      <c r="F12" s="98">
        <f t="shared" si="1"/>
        <v>0</v>
      </c>
      <c r="G12" s="98">
        <f t="shared" si="1"/>
        <v>0</v>
      </c>
      <c r="H12" s="98">
        <f t="shared" si="1"/>
        <v>0</v>
      </c>
      <c r="I12" s="98">
        <f t="shared" si="1"/>
        <v>1</v>
      </c>
      <c r="J12" s="98">
        <f t="shared" si="1"/>
        <v>16</v>
      </c>
      <c r="K12" s="98">
        <f t="shared" si="1"/>
        <v>30</v>
      </c>
      <c r="L12" s="98">
        <f t="shared" si="1"/>
        <v>23</v>
      </c>
      <c r="M12" s="98">
        <f t="shared" si="1"/>
        <v>27</v>
      </c>
      <c r="N12" s="98">
        <f t="shared" si="1"/>
        <v>7</v>
      </c>
      <c r="O12" s="98">
        <f t="shared" si="1"/>
        <v>31</v>
      </c>
      <c r="P12" s="98">
        <f t="shared" si="1"/>
        <v>27</v>
      </c>
      <c r="Q12" s="98">
        <f t="shared" si="1"/>
        <v>8</v>
      </c>
      <c r="R12" s="98">
        <f t="shared" si="1"/>
        <v>8</v>
      </c>
      <c r="S12" s="98">
        <f t="shared" si="1"/>
        <v>8</v>
      </c>
      <c r="T12" s="98">
        <f t="shared" si="1"/>
        <v>17</v>
      </c>
      <c r="U12" s="98">
        <f t="shared" si="1"/>
        <v>32</v>
      </c>
      <c r="V12" s="98">
        <f t="shared" si="1"/>
        <v>32</v>
      </c>
      <c r="W12" s="98">
        <f t="shared" si="1"/>
        <v>20</v>
      </c>
      <c r="X12" s="98">
        <f t="shared" si="1"/>
        <v>8</v>
      </c>
      <c r="Y12" s="98">
        <f t="shared" si="1"/>
        <v>8</v>
      </c>
      <c r="Z12" s="98">
        <f t="shared" si="2"/>
        <v>52</v>
      </c>
      <c r="AA12" s="153">
        <f t="shared" si="3"/>
        <v>363</v>
      </c>
      <c r="AB12" s="94" t="str">
        <f t="shared" si="4"/>
        <v>Thomas</v>
      </c>
    </row>
    <row r="13" spans="2:28">
      <c r="B13" s="294" t="s">
        <v>212</v>
      </c>
      <c r="C13" s="292" t="s">
        <v>213</v>
      </c>
      <c r="D13" s="223" t="s">
        <v>160</v>
      </c>
      <c r="E13" s="98">
        <f t="shared" ref="E13:Y19" si="5">INDEX(scorematrix,MATCH($C13,renners,0),MATCH(E$3,etappes,0))</f>
        <v>0</v>
      </c>
      <c r="F13" s="98">
        <f t="shared" si="5"/>
        <v>0</v>
      </c>
      <c r="G13" s="98">
        <f t="shared" si="5"/>
        <v>0</v>
      </c>
      <c r="H13" s="98">
        <f t="shared" si="5"/>
        <v>0</v>
      </c>
      <c r="I13" s="98">
        <f t="shared" si="5"/>
        <v>0</v>
      </c>
      <c r="J13" s="98">
        <f t="shared" si="5"/>
        <v>0</v>
      </c>
      <c r="K13" s="98">
        <f t="shared" si="5"/>
        <v>0</v>
      </c>
      <c r="L13" s="98">
        <f t="shared" si="5"/>
        <v>0</v>
      </c>
      <c r="M13" s="98">
        <f t="shared" si="5"/>
        <v>0</v>
      </c>
      <c r="N13" s="98">
        <f t="shared" si="5"/>
        <v>0</v>
      </c>
      <c r="O13" s="341">
        <f t="shared" si="5"/>
        <v>0</v>
      </c>
      <c r="P13" s="341">
        <f t="shared" si="5"/>
        <v>0</v>
      </c>
      <c r="Q13" s="341">
        <f t="shared" si="5"/>
        <v>0</v>
      </c>
      <c r="R13" s="341">
        <f t="shared" si="5"/>
        <v>0</v>
      </c>
      <c r="S13" s="341">
        <f t="shared" si="5"/>
        <v>0</v>
      </c>
      <c r="T13" s="341">
        <f t="shared" si="5"/>
        <v>0</v>
      </c>
      <c r="U13" s="341">
        <f t="shared" si="5"/>
        <v>0</v>
      </c>
      <c r="V13" s="341">
        <f t="shared" si="5"/>
        <v>0</v>
      </c>
      <c r="W13" s="341">
        <f t="shared" si="5"/>
        <v>0</v>
      </c>
      <c r="X13" s="341">
        <f t="shared" si="5"/>
        <v>0</v>
      </c>
      <c r="Y13" s="341">
        <f t="shared" si="5"/>
        <v>0</v>
      </c>
      <c r="Z13" s="341">
        <f t="shared" si="2"/>
        <v>0</v>
      </c>
      <c r="AA13" s="153">
        <f>SUM(E13:Z13)</f>
        <v>0</v>
      </c>
      <c r="AB13" s="94" t="str">
        <f>C13</f>
        <v>O'Connor</v>
      </c>
    </row>
    <row r="14" spans="2:28">
      <c r="B14" s="294" t="s">
        <v>143</v>
      </c>
      <c r="C14" s="292" t="s">
        <v>44</v>
      </c>
      <c r="D14" s="223" t="s">
        <v>160</v>
      </c>
      <c r="E14" s="98">
        <f t="shared" ref="E14:T20" si="6">INDEX(scorematrix,MATCH($C14,renners,0),MATCH(E$3,etappes,0))</f>
        <v>0</v>
      </c>
      <c r="F14" s="98">
        <f t="shared" si="6"/>
        <v>0</v>
      </c>
      <c r="G14" s="98">
        <f t="shared" si="6"/>
        <v>0</v>
      </c>
      <c r="H14" s="98">
        <f t="shared" si="6"/>
        <v>0</v>
      </c>
      <c r="I14" s="98">
        <f t="shared" si="6"/>
        <v>0</v>
      </c>
      <c r="J14" s="98">
        <f t="shared" si="6"/>
        <v>7</v>
      </c>
      <c r="K14" s="98">
        <f t="shared" si="6"/>
        <v>13</v>
      </c>
      <c r="L14" s="98">
        <f t="shared" si="6"/>
        <v>13</v>
      </c>
      <c r="M14" s="98">
        <f t="shared" si="6"/>
        <v>0</v>
      </c>
      <c r="N14" s="341">
        <f t="shared" si="6"/>
        <v>0</v>
      </c>
      <c r="O14" s="341">
        <f t="shared" si="6"/>
        <v>0</v>
      </c>
      <c r="P14" s="341">
        <f t="shared" si="6"/>
        <v>0</v>
      </c>
      <c r="Q14" s="341">
        <f t="shared" si="6"/>
        <v>0</v>
      </c>
      <c r="R14" s="341">
        <f t="shared" si="6"/>
        <v>0</v>
      </c>
      <c r="S14" s="341">
        <f t="shared" si="6"/>
        <v>0</v>
      </c>
      <c r="T14" s="341">
        <f t="shared" si="6"/>
        <v>0</v>
      </c>
      <c r="U14" s="341">
        <f t="shared" si="5"/>
        <v>0</v>
      </c>
      <c r="V14" s="341">
        <f t="shared" si="5"/>
        <v>0</v>
      </c>
      <c r="W14" s="341">
        <f t="shared" si="5"/>
        <v>0</v>
      </c>
      <c r="X14" s="341">
        <f t="shared" si="5"/>
        <v>0</v>
      </c>
      <c r="Y14" s="341">
        <f t="shared" si="5"/>
        <v>0</v>
      </c>
      <c r="Z14" s="341">
        <f t="shared" si="2"/>
        <v>0</v>
      </c>
      <c r="AA14" s="153">
        <f t="shared" si="3"/>
        <v>33</v>
      </c>
      <c r="AB14" s="94" t="str">
        <f t="shared" si="4"/>
        <v>Martin</v>
      </c>
    </row>
    <row r="15" spans="2:28">
      <c r="B15" s="294" t="s">
        <v>133</v>
      </c>
      <c r="C15" s="292" t="s">
        <v>118</v>
      </c>
      <c r="D15" s="223" t="s">
        <v>160</v>
      </c>
      <c r="E15" s="98">
        <f t="shared" si="6"/>
        <v>0</v>
      </c>
      <c r="F15" s="98">
        <f t="shared" si="5"/>
        <v>0</v>
      </c>
      <c r="G15" s="98">
        <f t="shared" si="5"/>
        <v>0</v>
      </c>
      <c r="H15" s="98">
        <f t="shared" si="5"/>
        <v>0</v>
      </c>
      <c r="I15" s="98">
        <f t="shared" si="5"/>
        <v>0</v>
      </c>
      <c r="J15" s="98">
        <f t="shared" si="5"/>
        <v>8</v>
      </c>
      <c r="K15" s="98">
        <f t="shared" si="5"/>
        <v>14</v>
      </c>
      <c r="L15" s="98">
        <f t="shared" si="5"/>
        <v>0</v>
      </c>
      <c r="M15" s="98">
        <f t="shared" si="5"/>
        <v>0</v>
      </c>
      <c r="N15" s="98">
        <f t="shared" si="5"/>
        <v>0</v>
      </c>
      <c r="O15" s="98">
        <f t="shared" si="5"/>
        <v>0</v>
      </c>
      <c r="P15" s="98">
        <f t="shared" si="5"/>
        <v>0</v>
      </c>
      <c r="Q15" s="98">
        <f t="shared" si="5"/>
        <v>0</v>
      </c>
      <c r="R15" s="98">
        <f t="shared" si="5"/>
        <v>15</v>
      </c>
      <c r="S15" s="98">
        <f t="shared" si="5"/>
        <v>0</v>
      </c>
      <c r="T15" s="98">
        <f t="shared" si="5"/>
        <v>0</v>
      </c>
      <c r="U15" s="98">
        <f t="shared" si="5"/>
        <v>0</v>
      </c>
      <c r="V15" s="98">
        <f t="shared" si="5"/>
        <v>0</v>
      </c>
      <c r="W15" s="98">
        <f t="shared" si="5"/>
        <v>0</v>
      </c>
      <c r="X15" s="98">
        <f t="shared" si="5"/>
        <v>0</v>
      </c>
      <c r="Y15" s="98">
        <f t="shared" si="5"/>
        <v>0</v>
      </c>
      <c r="Z15" s="98">
        <f t="shared" si="2"/>
        <v>0</v>
      </c>
      <c r="AA15" s="153">
        <f t="shared" si="3"/>
        <v>37</v>
      </c>
      <c r="AB15" s="94" t="str">
        <f t="shared" si="4"/>
        <v>Uran</v>
      </c>
    </row>
    <row r="16" spans="2:28">
      <c r="B16" s="294" t="s">
        <v>250</v>
      </c>
      <c r="C16" s="292" t="s">
        <v>105</v>
      </c>
      <c r="D16" s="223" t="s">
        <v>160</v>
      </c>
      <c r="E16" s="98">
        <f t="shared" si="6"/>
        <v>0</v>
      </c>
      <c r="F16" s="98">
        <f t="shared" si="5"/>
        <v>0</v>
      </c>
      <c r="G16" s="98">
        <f t="shared" si="5"/>
        <v>0</v>
      </c>
      <c r="H16" s="98">
        <f t="shared" si="5"/>
        <v>0</v>
      </c>
      <c r="I16" s="98">
        <f t="shared" si="5"/>
        <v>0</v>
      </c>
      <c r="J16" s="98">
        <f t="shared" si="5"/>
        <v>18</v>
      </c>
      <c r="K16" s="98">
        <f t="shared" si="5"/>
        <v>23</v>
      </c>
      <c r="L16" s="98">
        <f t="shared" si="5"/>
        <v>11</v>
      </c>
      <c r="M16" s="98">
        <f t="shared" si="5"/>
        <v>19</v>
      </c>
      <c r="N16" s="98">
        <f t="shared" si="5"/>
        <v>4</v>
      </c>
      <c r="O16" s="98">
        <f t="shared" si="5"/>
        <v>35</v>
      </c>
      <c r="P16" s="98">
        <f t="shared" si="5"/>
        <v>22</v>
      </c>
      <c r="Q16" s="98">
        <f t="shared" si="5"/>
        <v>7</v>
      </c>
      <c r="R16" s="98">
        <f t="shared" si="5"/>
        <v>7</v>
      </c>
      <c r="S16" s="98">
        <f t="shared" si="5"/>
        <v>7</v>
      </c>
      <c r="T16" s="98">
        <f t="shared" si="5"/>
        <v>2</v>
      </c>
      <c r="U16" s="98">
        <f t="shared" si="5"/>
        <v>25</v>
      </c>
      <c r="V16" s="98">
        <f t="shared" si="5"/>
        <v>12</v>
      </c>
      <c r="W16" s="98">
        <f t="shared" si="5"/>
        <v>3</v>
      </c>
      <c r="X16" s="98">
        <f t="shared" si="5"/>
        <v>4</v>
      </c>
      <c r="Y16" s="98">
        <f t="shared" si="5"/>
        <v>4</v>
      </c>
      <c r="Z16" s="98">
        <f t="shared" si="2"/>
        <v>38</v>
      </c>
      <c r="AA16" s="153">
        <f t="shared" si="3"/>
        <v>241</v>
      </c>
      <c r="AB16" s="94" t="str">
        <f t="shared" si="4"/>
        <v>Bardet</v>
      </c>
    </row>
    <row r="17" spans="2:28">
      <c r="B17" s="294" t="s">
        <v>209</v>
      </c>
      <c r="C17" s="292" t="s">
        <v>200</v>
      </c>
      <c r="D17" s="223" t="s">
        <v>160</v>
      </c>
      <c r="E17" s="98">
        <f t="shared" si="6"/>
        <v>0</v>
      </c>
      <c r="F17" s="98">
        <f t="shared" si="5"/>
        <v>0</v>
      </c>
      <c r="G17" s="98">
        <f t="shared" si="5"/>
        <v>0</v>
      </c>
      <c r="H17" s="98">
        <f t="shared" si="5"/>
        <v>0</v>
      </c>
      <c r="I17" s="98">
        <f t="shared" si="5"/>
        <v>0</v>
      </c>
      <c r="J17" s="98">
        <f t="shared" si="5"/>
        <v>28</v>
      </c>
      <c r="K17" s="98">
        <f t="shared" si="5"/>
        <v>26</v>
      </c>
      <c r="L17" s="98">
        <f t="shared" si="5"/>
        <v>20</v>
      </c>
      <c r="M17" s="98">
        <f t="shared" si="5"/>
        <v>19</v>
      </c>
      <c r="N17" s="98">
        <f t="shared" si="5"/>
        <v>5</v>
      </c>
      <c r="O17" s="98">
        <f t="shared" si="5"/>
        <v>26</v>
      </c>
      <c r="P17" s="98">
        <f t="shared" si="5"/>
        <v>17</v>
      </c>
      <c r="Q17" s="98">
        <f t="shared" si="5"/>
        <v>4</v>
      </c>
      <c r="R17" s="98">
        <f t="shared" si="5"/>
        <v>3</v>
      </c>
      <c r="S17" s="98">
        <f t="shared" si="5"/>
        <v>3</v>
      </c>
      <c r="T17" s="98">
        <f t="shared" si="5"/>
        <v>14</v>
      </c>
      <c r="U17" s="98">
        <f t="shared" si="5"/>
        <v>25</v>
      </c>
      <c r="V17" s="98">
        <f t="shared" si="5"/>
        <v>29</v>
      </c>
      <c r="W17" s="98">
        <f t="shared" si="5"/>
        <v>17</v>
      </c>
      <c r="X17" s="98">
        <f t="shared" si="5"/>
        <v>7</v>
      </c>
      <c r="Y17" s="98">
        <f t="shared" si="5"/>
        <v>7</v>
      </c>
      <c r="Z17" s="98">
        <f t="shared" si="2"/>
        <v>48</v>
      </c>
      <c r="AA17" s="153">
        <f t="shared" si="3"/>
        <v>298</v>
      </c>
      <c r="AB17" s="94" t="str">
        <f t="shared" si="4"/>
        <v>Gaudu</v>
      </c>
    </row>
    <row r="18" spans="2:28">
      <c r="B18" s="294" t="s">
        <v>251</v>
      </c>
      <c r="C18" s="292" t="s">
        <v>242</v>
      </c>
      <c r="D18" s="223" t="s">
        <v>160</v>
      </c>
      <c r="E18" s="98">
        <f t="shared" si="6"/>
        <v>0</v>
      </c>
      <c r="F18" s="98">
        <f t="shared" si="5"/>
        <v>0</v>
      </c>
      <c r="G18" s="98">
        <f t="shared" si="5"/>
        <v>8</v>
      </c>
      <c r="H18" s="98">
        <f t="shared" si="5"/>
        <v>6</v>
      </c>
      <c r="I18" s="98">
        <f t="shared" si="5"/>
        <v>8</v>
      </c>
      <c r="J18" s="98">
        <f t="shared" si="5"/>
        <v>14</v>
      </c>
      <c r="K18" s="98">
        <f t="shared" si="5"/>
        <v>0</v>
      </c>
      <c r="L18" s="98">
        <f t="shared" si="5"/>
        <v>20</v>
      </c>
      <c r="M18" s="98">
        <f t="shared" si="5"/>
        <v>0</v>
      </c>
      <c r="N18" s="98">
        <f t="shared" si="5"/>
        <v>0</v>
      </c>
      <c r="O18" s="98">
        <f t="shared" si="5"/>
        <v>17</v>
      </c>
      <c r="P18" s="98">
        <f t="shared" si="5"/>
        <v>9</v>
      </c>
      <c r="Q18" s="98">
        <f t="shared" si="5"/>
        <v>1</v>
      </c>
      <c r="R18" s="98">
        <f t="shared" si="5"/>
        <v>0</v>
      </c>
      <c r="S18" s="98">
        <f t="shared" si="5"/>
        <v>10</v>
      </c>
      <c r="T18" s="98">
        <f t="shared" si="5"/>
        <v>23</v>
      </c>
      <c r="U18" s="98">
        <f t="shared" si="5"/>
        <v>21</v>
      </c>
      <c r="V18" s="98">
        <f t="shared" si="5"/>
        <v>21</v>
      </c>
      <c r="W18" s="98">
        <f t="shared" si="5"/>
        <v>18</v>
      </c>
      <c r="X18" s="98">
        <f t="shared" si="5"/>
        <v>14</v>
      </c>
      <c r="Y18" s="98">
        <f t="shared" si="5"/>
        <v>6</v>
      </c>
      <c r="Z18" s="98">
        <f t="shared" si="2"/>
        <v>44</v>
      </c>
      <c r="AA18" s="153">
        <f t="shared" si="3"/>
        <v>240</v>
      </c>
      <c r="AB18" s="94" t="str">
        <f t="shared" si="4"/>
        <v>Vlasov</v>
      </c>
    </row>
    <row r="19" spans="2:28">
      <c r="B19" s="294" t="s">
        <v>153</v>
      </c>
      <c r="C19" s="292" t="s">
        <v>154</v>
      </c>
      <c r="D19" s="223" t="s">
        <v>160</v>
      </c>
      <c r="E19" s="98">
        <f t="shared" si="6"/>
        <v>0</v>
      </c>
      <c r="F19" s="98">
        <f t="shared" si="5"/>
        <v>0</v>
      </c>
      <c r="G19" s="98">
        <f t="shared" si="5"/>
        <v>0</v>
      </c>
      <c r="H19" s="98">
        <f t="shared" si="5"/>
        <v>0</v>
      </c>
      <c r="I19" s="98">
        <f t="shared" si="5"/>
        <v>0</v>
      </c>
      <c r="J19" s="98">
        <f t="shared" si="5"/>
        <v>15</v>
      </c>
      <c r="K19" s="98">
        <f t="shared" si="5"/>
        <v>21</v>
      </c>
      <c r="L19" s="98">
        <f t="shared" si="5"/>
        <v>12</v>
      </c>
      <c r="M19" s="98">
        <f t="shared" si="5"/>
        <v>20</v>
      </c>
      <c r="N19" s="98">
        <f t="shared" si="5"/>
        <v>2</v>
      </c>
      <c r="O19" s="98">
        <f t="shared" si="5"/>
        <v>12</v>
      </c>
      <c r="P19" s="98">
        <f t="shared" si="5"/>
        <v>20</v>
      </c>
      <c r="Q19" s="98">
        <f t="shared" si="5"/>
        <v>2</v>
      </c>
      <c r="R19" s="98">
        <f t="shared" si="5"/>
        <v>1</v>
      </c>
      <c r="S19" s="98">
        <f t="shared" si="5"/>
        <v>1</v>
      </c>
      <c r="T19" s="98">
        <f t="shared" si="5"/>
        <v>0</v>
      </c>
      <c r="U19" s="98">
        <f t="shared" ref="F19:Y20" si="7">INDEX(scorematrix,MATCH($C19,renners,0),MATCH(U$3,etappes,0))</f>
        <v>15</v>
      </c>
      <c r="V19" s="98">
        <f t="shared" si="7"/>
        <v>7</v>
      </c>
      <c r="W19" s="98">
        <f t="shared" si="7"/>
        <v>0</v>
      </c>
      <c r="X19" s="98">
        <f t="shared" si="7"/>
        <v>0</v>
      </c>
      <c r="Y19" s="98">
        <f t="shared" si="7"/>
        <v>0</v>
      </c>
      <c r="Z19" s="98">
        <f t="shared" si="2"/>
        <v>0</v>
      </c>
      <c r="AA19" s="153">
        <f t="shared" si="3"/>
        <v>128</v>
      </c>
      <c r="AB19" s="94" t="str">
        <f t="shared" si="4"/>
        <v>Mas</v>
      </c>
    </row>
    <row r="20" spans="2:28" s="140" customFormat="1" ht="14.4" thickBot="1">
      <c r="B20" s="294" t="s">
        <v>227</v>
      </c>
      <c r="C20" s="292" t="s">
        <v>228</v>
      </c>
      <c r="D20" s="223" t="s">
        <v>160</v>
      </c>
      <c r="E20" s="98">
        <f t="shared" si="6"/>
        <v>23</v>
      </c>
      <c r="F20" s="98">
        <f t="shared" si="7"/>
        <v>4</v>
      </c>
      <c r="G20" s="98">
        <f t="shared" si="7"/>
        <v>5</v>
      </c>
      <c r="H20" s="98">
        <f t="shared" si="7"/>
        <v>5</v>
      </c>
      <c r="I20" s="98">
        <f t="shared" si="7"/>
        <v>13</v>
      </c>
      <c r="J20" s="98">
        <f t="shared" si="7"/>
        <v>27</v>
      </c>
      <c r="K20" s="98">
        <f t="shared" si="7"/>
        <v>42</v>
      </c>
      <c r="L20" s="98">
        <f t="shared" si="7"/>
        <v>30</v>
      </c>
      <c r="M20" s="98">
        <f t="shared" si="7"/>
        <v>29</v>
      </c>
      <c r="N20" s="98">
        <f t="shared" si="7"/>
        <v>8</v>
      </c>
      <c r="O20" s="98">
        <f t="shared" si="7"/>
        <v>48</v>
      </c>
      <c r="P20" s="98">
        <f t="shared" si="7"/>
        <v>33</v>
      </c>
      <c r="Q20" s="98">
        <f t="shared" si="7"/>
        <v>20</v>
      </c>
      <c r="R20" s="98">
        <f t="shared" si="7"/>
        <v>12</v>
      </c>
      <c r="S20" s="98">
        <f t="shared" si="7"/>
        <v>10</v>
      </c>
      <c r="T20" s="98">
        <f t="shared" si="7"/>
        <v>21</v>
      </c>
      <c r="U20" s="98">
        <f t="shared" si="7"/>
        <v>40</v>
      </c>
      <c r="V20" s="98">
        <f t="shared" si="7"/>
        <v>50</v>
      </c>
      <c r="W20" s="98">
        <f t="shared" si="7"/>
        <v>28</v>
      </c>
      <c r="X20" s="98">
        <f t="shared" si="7"/>
        <v>45</v>
      </c>
      <c r="Y20" s="98">
        <f t="shared" si="7"/>
        <v>15</v>
      </c>
      <c r="Z20" s="98">
        <f t="shared" ref="Z20" si="8">INDEX(scorematrix,MATCH($C20,renners,0),MATCH(Z$3,etappes,0))</f>
        <v>80</v>
      </c>
      <c r="AA20" s="153">
        <f t="shared" si="3"/>
        <v>588</v>
      </c>
      <c r="AB20" s="94" t="str">
        <f>C20</f>
        <v>Vingegaard</v>
      </c>
    </row>
    <row r="21" spans="2:28" s="141" customFormat="1">
      <c r="B21" s="291"/>
      <c r="C21" s="288"/>
      <c r="D21" s="148"/>
      <c r="E21" s="150"/>
      <c r="F21" s="150"/>
      <c r="G21" s="150"/>
      <c r="H21" s="150"/>
      <c r="I21" s="150"/>
      <c r="J21" s="150"/>
      <c r="K21" s="150"/>
      <c r="L21" s="150"/>
      <c r="M21" s="150"/>
      <c r="N21" s="150">
        <f>N26-N14</f>
        <v>0</v>
      </c>
      <c r="O21" s="150">
        <f>O26-O14+O24-O13</f>
        <v>0</v>
      </c>
      <c r="P21" s="150">
        <f t="shared" ref="P21:Z21" si="9">P26-P14+P24-P13</f>
        <v>0</v>
      </c>
      <c r="Q21" s="150">
        <f t="shared" si="9"/>
        <v>0</v>
      </c>
      <c r="R21" s="150">
        <f t="shared" si="9"/>
        <v>9</v>
      </c>
      <c r="S21" s="150">
        <f t="shared" si="9"/>
        <v>20</v>
      </c>
      <c r="T21" s="150">
        <f t="shared" si="9"/>
        <v>6</v>
      </c>
      <c r="U21" s="150">
        <f t="shared" si="9"/>
        <v>0</v>
      </c>
      <c r="V21" s="150">
        <f t="shared" si="9"/>
        <v>19</v>
      </c>
      <c r="W21" s="150">
        <f t="shared" si="9"/>
        <v>19</v>
      </c>
      <c r="X21" s="150">
        <f t="shared" si="9"/>
        <v>6</v>
      </c>
      <c r="Y21" s="150">
        <f t="shared" si="9"/>
        <v>30</v>
      </c>
      <c r="Z21" s="150">
        <f t="shared" si="9"/>
        <v>0</v>
      </c>
      <c r="AA21" s="193">
        <f t="shared" si="3"/>
        <v>109</v>
      </c>
    </row>
    <row r="22" spans="2:28" s="97" customFormat="1">
      <c r="B22" s="287"/>
      <c r="C22" s="289"/>
      <c r="D22" s="296"/>
      <c r="E22" s="309">
        <f t="shared" ref="E22:AA22" si="10">SUM(E4:E21)</f>
        <v>171</v>
      </c>
      <c r="F22" s="309">
        <f t="shared" ref="F22" si="11">SUM(F4:F21)</f>
        <v>154</v>
      </c>
      <c r="G22" s="309">
        <f>SUM(G4:G21)</f>
        <v>133</v>
      </c>
      <c r="H22" s="309">
        <f t="shared" si="10"/>
        <v>131</v>
      </c>
      <c r="I22" s="309">
        <f t="shared" si="10"/>
        <v>83</v>
      </c>
      <c r="J22" s="309">
        <f t="shared" si="10"/>
        <v>209</v>
      </c>
      <c r="K22" s="309">
        <f t="shared" si="10"/>
        <v>198</v>
      </c>
      <c r="L22" s="309">
        <f t="shared" si="10"/>
        <v>227</v>
      </c>
      <c r="M22" s="309">
        <f t="shared" si="10"/>
        <v>142</v>
      </c>
      <c r="N22" s="309">
        <f t="shared" si="10"/>
        <v>42</v>
      </c>
      <c r="O22" s="309">
        <f t="shared" si="10"/>
        <v>190</v>
      </c>
      <c r="P22" s="309">
        <f t="shared" si="10"/>
        <v>178</v>
      </c>
      <c r="Q22" s="309">
        <f t="shared" si="10"/>
        <v>113</v>
      </c>
      <c r="R22" s="309">
        <f t="shared" si="10"/>
        <v>113</v>
      </c>
      <c r="S22" s="309">
        <f t="shared" si="10"/>
        <v>129</v>
      </c>
      <c r="T22" s="309">
        <f t="shared" si="10"/>
        <v>109</v>
      </c>
      <c r="U22" s="309">
        <f t="shared" si="10"/>
        <v>170</v>
      </c>
      <c r="V22" s="309">
        <f t="shared" si="10"/>
        <v>209</v>
      </c>
      <c r="W22" s="309">
        <f t="shared" si="10"/>
        <v>132</v>
      </c>
      <c r="X22" s="309">
        <f t="shared" si="10"/>
        <v>150</v>
      </c>
      <c r="Y22" s="309">
        <f t="shared" si="10"/>
        <v>112</v>
      </c>
      <c r="Z22" s="309">
        <f t="shared" si="10"/>
        <v>292</v>
      </c>
      <c r="AA22" s="190">
        <f t="shared" si="10"/>
        <v>3387</v>
      </c>
    </row>
    <row r="23" spans="2:28" s="143" customFormat="1">
      <c r="B23" s="290"/>
      <c r="C23" s="290" t="s">
        <v>210</v>
      </c>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t="s">
        <v>252</v>
      </c>
      <c r="C24" s="293" t="s">
        <v>130</v>
      </c>
      <c r="D24" s="226" t="s">
        <v>10</v>
      </c>
      <c r="E24" s="160">
        <f t="shared" ref="E24:Z26" si="12">INDEX(scorematrix,MATCH($C24,renners,0),MATCH(E$3,etappes,0))</f>
        <v>0</v>
      </c>
      <c r="F24" s="160">
        <f t="shared" si="12"/>
        <v>18</v>
      </c>
      <c r="G24" s="160">
        <f t="shared" si="12"/>
        <v>38</v>
      </c>
      <c r="H24" s="160">
        <f t="shared" si="12"/>
        <v>0</v>
      </c>
      <c r="I24" s="160">
        <f t="shared" si="12"/>
        <v>0</v>
      </c>
      <c r="J24" s="160">
        <f t="shared" si="12"/>
        <v>0</v>
      </c>
      <c r="K24" s="160">
        <f t="shared" si="12"/>
        <v>0</v>
      </c>
      <c r="L24" s="160">
        <f t="shared" si="12"/>
        <v>0</v>
      </c>
      <c r="M24" s="160">
        <f t="shared" si="12"/>
        <v>0</v>
      </c>
      <c r="N24" s="160">
        <f t="shared" si="12"/>
        <v>0</v>
      </c>
      <c r="O24" s="338">
        <f t="shared" si="12"/>
        <v>0</v>
      </c>
      <c r="P24" s="338">
        <f t="shared" si="12"/>
        <v>0</v>
      </c>
      <c r="Q24" s="338">
        <f t="shared" si="12"/>
        <v>0</v>
      </c>
      <c r="R24" s="338">
        <f t="shared" si="12"/>
        <v>0</v>
      </c>
      <c r="S24" s="338">
        <f t="shared" si="12"/>
        <v>20</v>
      </c>
      <c r="T24" s="338">
        <f t="shared" si="12"/>
        <v>0</v>
      </c>
      <c r="U24" s="338">
        <f t="shared" si="12"/>
        <v>0</v>
      </c>
      <c r="V24" s="338">
        <f t="shared" si="12"/>
        <v>0</v>
      </c>
      <c r="W24" s="338">
        <f t="shared" si="12"/>
        <v>19</v>
      </c>
      <c r="X24" s="338">
        <f t="shared" si="12"/>
        <v>0</v>
      </c>
      <c r="Y24" s="338">
        <f t="shared" si="12"/>
        <v>30</v>
      </c>
      <c r="Z24" s="338">
        <f t="shared" si="12"/>
        <v>0</v>
      </c>
      <c r="AA24" s="245">
        <f>SUM(E24:Z24)</f>
        <v>125</v>
      </c>
    </row>
    <row r="25" spans="2:28" s="145" customFormat="1">
      <c r="B25" s="295" t="s">
        <v>199</v>
      </c>
      <c r="C25" s="293" t="s">
        <v>198</v>
      </c>
      <c r="D25" s="226" t="s">
        <v>160</v>
      </c>
      <c r="E25" s="160">
        <f t="shared" si="12"/>
        <v>0</v>
      </c>
      <c r="F25" s="160">
        <f t="shared" si="12"/>
        <v>0</v>
      </c>
      <c r="G25" s="160">
        <f t="shared" si="12"/>
        <v>0</v>
      </c>
      <c r="H25" s="160">
        <f t="shared" si="12"/>
        <v>0</v>
      </c>
      <c r="I25" s="160">
        <f t="shared" si="12"/>
        <v>0</v>
      </c>
      <c r="J25" s="341">
        <f t="shared" si="12"/>
        <v>0</v>
      </c>
      <c r="K25" s="341">
        <f t="shared" si="12"/>
        <v>0</v>
      </c>
      <c r="L25" s="341">
        <f t="shared" si="12"/>
        <v>0</v>
      </c>
      <c r="M25" s="341">
        <f t="shared" si="12"/>
        <v>0</v>
      </c>
      <c r="N25" s="341">
        <f t="shared" si="12"/>
        <v>0</v>
      </c>
      <c r="O25" s="341">
        <f t="shared" si="12"/>
        <v>0</v>
      </c>
      <c r="P25" s="341">
        <f t="shared" si="12"/>
        <v>0</v>
      </c>
      <c r="Q25" s="341">
        <f t="shared" si="12"/>
        <v>0</v>
      </c>
      <c r="R25" s="341">
        <f t="shared" si="12"/>
        <v>0</v>
      </c>
      <c r="S25" s="341">
        <f t="shared" si="12"/>
        <v>0</v>
      </c>
      <c r="T25" s="341">
        <f t="shared" si="12"/>
        <v>0</v>
      </c>
      <c r="U25" s="341">
        <f t="shared" si="12"/>
        <v>0</v>
      </c>
      <c r="V25" s="341">
        <f t="shared" si="12"/>
        <v>0</v>
      </c>
      <c r="W25" s="341">
        <f t="shared" si="12"/>
        <v>0</v>
      </c>
      <c r="X25" s="341">
        <f t="shared" si="12"/>
        <v>0</v>
      </c>
      <c r="Y25" s="341">
        <f t="shared" si="12"/>
        <v>0</v>
      </c>
      <c r="Z25" s="341">
        <f t="shared" si="12"/>
        <v>0</v>
      </c>
      <c r="AA25" s="245">
        <f>SUM(E25:Z25)</f>
        <v>0</v>
      </c>
    </row>
    <row r="26" spans="2:28" s="145" customFormat="1">
      <c r="B26" s="295" t="s">
        <v>170</v>
      </c>
      <c r="C26" s="293" t="s">
        <v>171</v>
      </c>
      <c r="D26" s="226" t="s">
        <v>160</v>
      </c>
      <c r="E26" s="160">
        <f t="shared" si="12"/>
        <v>0</v>
      </c>
      <c r="F26" s="160">
        <f t="shared" si="12"/>
        <v>0</v>
      </c>
      <c r="G26" s="160">
        <f t="shared" si="12"/>
        <v>0</v>
      </c>
      <c r="H26" s="160">
        <f t="shared" si="12"/>
        <v>0</v>
      </c>
      <c r="I26" s="160">
        <f t="shared" si="12"/>
        <v>0</v>
      </c>
      <c r="J26" s="160">
        <f t="shared" si="12"/>
        <v>21</v>
      </c>
      <c r="K26" s="160">
        <f t="shared" si="12"/>
        <v>16</v>
      </c>
      <c r="L26" s="160">
        <f t="shared" si="12"/>
        <v>1</v>
      </c>
      <c r="M26" s="160">
        <f t="shared" si="12"/>
        <v>0</v>
      </c>
      <c r="N26" s="338">
        <f t="shared" si="12"/>
        <v>0</v>
      </c>
      <c r="O26" s="338">
        <f t="shared" si="12"/>
        <v>0</v>
      </c>
      <c r="P26" s="338">
        <f t="shared" si="12"/>
        <v>0</v>
      </c>
      <c r="Q26" s="338">
        <f t="shared" si="12"/>
        <v>0</v>
      </c>
      <c r="R26" s="338">
        <f t="shared" si="12"/>
        <v>9</v>
      </c>
      <c r="S26" s="338">
        <f t="shared" si="12"/>
        <v>0</v>
      </c>
      <c r="T26" s="338">
        <f t="shared" si="12"/>
        <v>6</v>
      </c>
      <c r="U26" s="338">
        <f t="shared" si="12"/>
        <v>0</v>
      </c>
      <c r="V26" s="338">
        <f t="shared" si="12"/>
        <v>19</v>
      </c>
      <c r="W26" s="338">
        <f t="shared" si="12"/>
        <v>0</v>
      </c>
      <c r="X26" s="338">
        <f t="shared" si="12"/>
        <v>6</v>
      </c>
      <c r="Y26" s="338">
        <f t="shared" si="12"/>
        <v>0</v>
      </c>
      <c r="Z26" s="338">
        <f t="shared" si="12"/>
        <v>0</v>
      </c>
      <c r="AA26" s="245">
        <f>SUM(E26:Z26)</f>
        <v>78</v>
      </c>
    </row>
    <row r="28" spans="2:28">
      <c r="C28" s="246" t="s">
        <v>160</v>
      </c>
      <c r="D28" s="247">
        <f>COUNTIF($D$4:$D$21,C28)</f>
        <v>9</v>
      </c>
    </row>
    <row r="29" spans="2:28">
      <c r="C29" s="248" t="s">
        <v>10</v>
      </c>
      <c r="D29" s="247">
        <f>COUNTIF($D$4:$D$21,C29)</f>
        <v>4</v>
      </c>
    </row>
    <row r="30" spans="2:28">
      <c r="C30" s="248" t="s">
        <v>106</v>
      </c>
      <c r="D30" s="247">
        <f>COUNTIF($D$4:$D$21,C30)</f>
        <v>4</v>
      </c>
    </row>
  </sheetData>
  <sheetProtection selectLockedCells="1"/>
  <sortState xmlns:xlrd2="http://schemas.microsoft.com/office/spreadsheetml/2017/richdata2" ref="C4:D20">
    <sortCondition ref="D4:D20"/>
    <sortCondition ref="C4:C20"/>
  </sortState>
  <phoneticPr fontId="0" type="noConversion"/>
  <dataValidations count="1">
    <dataValidation type="list" allowBlank="1" showInputMessage="1" showErrorMessage="1" prompt="selecteer type renner:" sqref="D4:D19" xr:uid="{00000000-0002-0000-0800-000000000000}">
      <formula1>type_renner</formula1>
    </dataValidation>
  </dataValidations>
  <pageMargins left="0.75" right="0.75" top="1" bottom="1" header="0.5" footer="0.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indexed="12"/>
  </sheetPr>
  <dimension ref="B1:AB30"/>
  <sheetViews>
    <sheetView showZeros="0" workbookViewId="0">
      <selection activeCell="AA21" sqref="AA21"/>
    </sheetView>
  </sheetViews>
  <sheetFormatPr defaultColWidth="9.33203125" defaultRowHeight="13.8"/>
  <cols>
    <col min="1" max="1" width="2.6640625" style="94" customWidth="1"/>
    <col min="2" max="2" width="8.88671875" style="94" customWidth="1"/>
    <col min="3" max="4" width="13" style="94" customWidth="1"/>
    <col min="5" max="7" width="5" style="95" customWidth="1"/>
    <col min="8" max="8" width="5" style="124" customWidth="1"/>
    <col min="9" max="16" width="5" style="112" customWidth="1"/>
    <col min="17" max="17" width="5" style="110" customWidth="1"/>
    <col min="18" max="26" width="5" style="94" customWidth="1"/>
    <col min="27" max="27" width="5" style="97" customWidth="1"/>
    <col min="28" max="28" width="15" style="94" customWidth="1"/>
    <col min="29" max="16384" width="9.33203125" style="94"/>
  </cols>
  <sheetData>
    <row r="1" spans="2:28">
      <c r="B1" s="146"/>
      <c r="C1" s="249" t="s">
        <v>78</v>
      </c>
      <c r="D1" s="220"/>
    </row>
    <row r="2" spans="2:28">
      <c r="B2" s="146"/>
      <c r="C2" s="250"/>
      <c r="D2" s="147"/>
      <c r="H2" s="112"/>
    </row>
    <row r="3" spans="2:28" s="110" customFormat="1" ht="14.4" thickBot="1">
      <c r="B3" s="251"/>
      <c r="C3" s="252" t="s">
        <v>93</v>
      </c>
      <c r="D3" s="221"/>
      <c r="E3" s="96">
        <v>1</v>
      </c>
      <c r="F3" s="96">
        <v>2</v>
      </c>
      <c r="G3" s="96">
        <v>3</v>
      </c>
      <c r="H3" s="96">
        <v>4</v>
      </c>
      <c r="I3" s="96">
        <v>5</v>
      </c>
      <c r="J3" s="96">
        <v>6</v>
      </c>
      <c r="K3" s="96">
        <v>7</v>
      </c>
      <c r="L3" s="96">
        <v>8</v>
      </c>
      <c r="M3" s="96">
        <v>9</v>
      </c>
      <c r="N3" s="96">
        <v>10</v>
      </c>
      <c r="O3" s="96">
        <v>11</v>
      </c>
      <c r="P3" s="96">
        <v>12</v>
      </c>
      <c r="Q3" s="96">
        <v>13</v>
      </c>
      <c r="R3" s="96">
        <v>14</v>
      </c>
      <c r="S3" s="96">
        <v>15</v>
      </c>
      <c r="T3" s="96">
        <v>16</v>
      </c>
      <c r="U3" s="96">
        <v>17</v>
      </c>
      <c r="V3" s="96">
        <v>18</v>
      </c>
      <c r="W3" s="96">
        <v>19</v>
      </c>
      <c r="X3" s="96">
        <v>20</v>
      </c>
      <c r="Y3" s="96">
        <v>21</v>
      </c>
      <c r="Z3" s="96" t="s">
        <v>1</v>
      </c>
      <c r="AA3" s="130"/>
    </row>
    <row r="4" spans="2:28">
      <c r="B4" s="294" t="s">
        <v>227</v>
      </c>
      <c r="C4" s="292" t="s">
        <v>228</v>
      </c>
      <c r="D4" s="223" t="s">
        <v>160</v>
      </c>
      <c r="E4" s="98">
        <f t="shared" ref="E4:T13" si="0">INDEX(scorematrix,MATCH($C4,renners,0),MATCH(E$3,etappes,0))</f>
        <v>23</v>
      </c>
      <c r="F4" s="98">
        <f t="shared" si="0"/>
        <v>4</v>
      </c>
      <c r="G4" s="98">
        <f t="shared" si="0"/>
        <v>5</v>
      </c>
      <c r="H4" s="98">
        <f t="shared" si="0"/>
        <v>5</v>
      </c>
      <c r="I4" s="98">
        <f t="shared" si="0"/>
        <v>13</v>
      </c>
      <c r="J4" s="98">
        <f t="shared" si="0"/>
        <v>27</v>
      </c>
      <c r="K4" s="98">
        <f t="shared" si="0"/>
        <v>42</v>
      </c>
      <c r="L4" s="98">
        <f t="shared" si="0"/>
        <v>30</v>
      </c>
      <c r="M4" s="98">
        <f t="shared" si="0"/>
        <v>29</v>
      </c>
      <c r="N4" s="98">
        <f t="shared" si="0"/>
        <v>8</v>
      </c>
      <c r="O4" s="98">
        <f t="shared" si="0"/>
        <v>48</v>
      </c>
      <c r="P4" s="98">
        <f t="shared" si="0"/>
        <v>33</v>
      </c>
      <c r="Q4" s="98">
        <f t="shared" si="0"/>
        <v>20</v>
      </c>
      <c r="R4" s="98">
        <f t="shared" si="0"/>
        <v>12</v>
      </c>
      <c r="S4" s="98">
        <f t="shared" si="0"/>
        <v>10</v>
      </c>
      <c r="T4" s="98">
        <f t="shared" si="0"/>
        <v>21</v>
      </c>
      <c r="U4" s="98">
        <f t="shared" ref="F4:Y18" si="1">INDEX(scorematrix,MATCH($C4,renners,0),MATCH(U$3,etappes,0))</f>
        <v>40</v>
      </c>
      <c r="V4" s="98">
        <f t="shared" si="1"/>
        <v>50</v>
      </c>
      <c r="W4" s="98">
        <f t="shared" si="1"/>
        <v>28</v>
      </c>
      <c r="X4" s="98">
        <f t="shared" si="1"/>
        <v>45</v>
      </c>
      <c r="Y4" s="98">
        <f t="shared" si="1"/>
        <v>15</v>
      </c>
      <c r="Z4" s="98">
        <f t="shared" ref="Z4:Z19" si="2">INDEX(scorematrix,MATCH($C4,renners,0),MATCH(Z$3,etappes,0))</f>
        <v>80</v>
      </c>
      <c r="AA4" s="153">
        <f t="shared" ref="AA4:AA21" si="3">SUM(E4:Z4)</f>
        <v>588</v>
      </c>
      <c r="AB4" s="94" t="str">
        <f t="shared" ref="AB4:AB20" si="4">C4</f>
        <v>Vingegaard</v>
      </c>
    </row>
    <row r="5" spans="2:28">
      <c r="B5" s="294" t="s">
        <v>251</v>
      </c>
      <c r="C5" s="292" t="s">
        <v>242</v>
      </c>
      <c r="D5" s="223" t="s">
        <v>160</v>
      </c>
      <c r="E5" s="98">
        <f t="shared" si="0"/>
        <v>0</v>
      </c>
      <c r="F5" s="98">
        <f t="shared" si="1"/>
        <v>0</v>
      </c>
      <c r="G5" s="98">
        <f t="shared" si="1"/>
        <v>8</v>
      </c>
      <c r="H5" s="98">
        <f t="shared" si="1"/>
        <v>6</v>
      </c>
      <c r="I5" s="98">
        <f t="shared" si="1"/>
        <v>8</v>
      </c>
      <c r="J5" s="98">
        <f t="shared" si="1"/>
        <v>14</v>
      </c>
      <c r="K5" s="98">
        <f t="shared" si="1"/>
        <v>0</v>
      </c>
      <c r="L5" s="98">
        <f t="shared" si="1"/>
        <v>20</v>
      </c>
      <c r="M5" s="98">
        <f t="shared" si="1"/>
        <v>0</v>
      </c>
      <c r="N5" s="98">
        <f t="shared" si="1"/>
        <v>0</v>
      </c>
      <c r="O5" s="98">
        <f t="shared" si="1"/>
        <v>17</v>
      </c>
      <c r="P5" s="98">
        <f t="shared" si="1"/>
        <v>9</v>
      </c>
      <c r="Q5" s="98">
        <f t="shared" si="1"/>
        <v>1</v>
      </c>
      <c r="R5" s="98">
        <f t="shared" si="1"/>
        <v>0</v>
      </c>
      <c r="S5" s="98">
        <f t="shared" si="1"/>
        <v>10</v>
      </c>
      <c r="T5" s="98">
        <f t="shared" si="1"/>
        <v>23</v>
      </c>
      <c r="U5" s="98">
        <f t="shared" si="1"/>
        <v>21</v>
      </c>
      <c r="V5" s="98">
        <f t="shared" si="1"/>
        <v>21</v>
      </c>
      <c r="W5" s="98">
        <f t="shared" si="1"/>
        <v>18</v>
      </c>
      <c r="X5" s="98">
        <f t="shared" si="1"/>
        <v>14</v>
      </c>
      <c r="Y5" s="98">
        <f t="shared" si="1"/>
        <v>6</v>
      </c>
      <c r="Z5" s="98">
        <f t="shared" si="2"/>
        <v>44</v>
      </c>
      <c r="AA5" s="153">
        <f t="shared" si="3"/>
        <v>240</v>
      </c>
      <c r="AB5" s="94" t="str">
        <f t="shared" si="4"/>
        <v>Vlasov</v>
      </c>
    </row>
    <row r="6" spans="2:28">
      <c r="B6" s="294" t="s">
        <v>283</v>
      </c>
      <c r="C6" s="292" t="s">
        <v>243</v>
      </c>
      <c r="D6" s="223" t="s">
        <v>160</v>
      </c>
      <c r="E6" s="98">
        <f t="shared" si="0"/>
        <v>0</v>
      </c>
      <c r="F6" s="98">
        <f t="shared" si="1"/>
        <v>0</v>
      </c>
      <c r="G6" s="98">
        <f t="shared" si="1"/>
        <v>0</v>
      </c>
      <c r="H6" s="98">
        <f t="shared" si="1"/>
        <v>0</v>
      </c>
      <c r="I6" s="98">
        <f t="shared" si="1"/>
        <v>0</v>
      </c>
      <c r="J6" s="98">
        <f t="shared" si="1"/>
        <v>0</v>
      </c>
      <c r="K6" s="98">
        <f t="shared" si="1"/>
        <v>9</v>
      </c>
      <c r="L6" s="98">
        <f t="shared" si="1"/>
        <v>7</v>
      </c>
      <c r="M6" s="98">
        <f t="shared" si="1"/>
        <v>15</v>
      </c>
      <c r="N6" s="98">
        <f t="shared" si="1"/>
        <v>0</v>
      </c>
      <c r="O6" s="98">
        <f t="shared" si="1"/>
        <v>0</v>
      </c>
      <c r="P6" s="98">
        <f t="shared" si="1"/>
        <v>0</v>
      </c>
      <c r="Q6" s="98">
        <f t="shared" si="1"/>
        <v>0</v>
      </c>
      <c r="R6" s="98">
        <f t="shared" si="1"/>
        <v>0</v>
      </c>
      <c r="S6" s="98">
        <f t="shared" si="1"/>
        <v>0</v>
      </c>
      <c r="T6" s="98">
        <f t="shared" si="1"/>
        <v>16</v>
      </c>
      <c r="U6" s="98">
        <f t="shared" si="1"/>
        <v>0</v>
      </c>
      <c r="V6" s="98">
        <f t="shared" si="1"/>
        <v>0</v>
      </c>
      <c r="W6" s="98">
        <f t="shared" si="1"/>
        <v>0</v>
      </c>
      <c r="X6" s="98">
        <f t="shared" si="1"/>
        <v>0</v>
      </c>
      <c r="Y6" s="98">
        <f t="shared" si="1"/>
        <v>0</v>
      </c>
      <c r="Z6" s="98">
        <f t="shared" si="2"/>
        <v>0</v>
      </c>
      <c r="AA6" s="153">
        <f t="shared" si="3"/>
        <v>47</v>
      </c>
      <c r="AB6" s="94" t="str">
        <f t="shared" si="4"/>
        <v>Caruso</v>
      </c>
    </row>
    <row r="7" spans="2:28">
      <c r="B7" s="294" t="s">
        <v>212</v>
      </c>
      <c r="C7" s="292" t="s">
        <v>213</v>
      </c>
      <c r="D7" s="223" t="s">
        <v>160</v>
      </c>
      <c r="E7" s="98">
        <f t="shared" si="0"/>
        <v>0</v>
      </c>
      <c r="F7" s="98">
        <f t="shared" si="1"/>
        <v>0</v>
      </c>
      <c r="G7" s="98">
        <f t="shared" si="1"/>
        <v>0</v>
      </c>
      <c r="H7" s="98">
        <f t="shared" si="1"/>
        <v>0</v>
      </c>
      <c r="I7" s="98">
        <f t="shared" si="1"/>
        <v>0</v>
      </c>
      <c r="J7" s="98">
        <f t="shared" si="1"/>
        <v>0</v>
      </c>
      <c r="K7" s="98">
        <f t="shared" si="1"/>
        <v>0</v>
      </c>
      <c r="L7" s="98">
        <f t="shared" si="1"/>
        <v>0</v>
      </c>
      <c r="M7" s="98">
        <f t="shared" si="1"/>
        <v>0</v>
      </c>
      <c r="N7" s="340">
        <f t="shared" si="1"/>
        <v>0</v>
      </c>
      <c r="O7" s="340">
        <f t="shared" si="1"/>
        <v>0</v>
      </c>
      <c r="P7" s="340">
        <f t="shared" si="1"/>
        <v>0</v>
      </c>
      <c r="Q7" s="340">
        <f t="shared" si="1"/>
        <v>0</v>
      </c>
      <c r="R7" s="340">
        <f t="shared" si="1"/>
        <v>0</v>
      </c>
      <c r="S7" s="340">
        <f t="shared" si="1"/>
        <v>0</v>
      </c>
      <c r="T7" s="340">
        <f t="shared" si="1"/>
        <v>0</v>
      </c>
      <c r="U7" s="340">
        <f t="shared" si="1"/>
        <v>0</v>
      </c>
      <c r="V7" s="340">
        <f t="shared" si="1"/>
        <v>0</v>
      </c>
      <c r="W7" s="340">
        <f t="shared" si="1"/>
        <v>0</v>
      </c>
      <c r="X7" s="340">
        <f t="shared" si="1"/>
        <v>0</v>
      </c>
      <c r="Y7" s="340">
        <f t="shared" si="1"/>
        <v>0</v>
      </c>
      <c r="Z7" s="340">
        <f t="shared" si="2"/>
        <v>0</v>
      </c>
      <c r="AA7" s="153">
        <f t="shared" si="3"/>
        <v>0</v>
      </c>
      <c r="AB7" s="94" t="str">
        <f t="shared" si="4"/>
        <v>O'Connor</v>
      </c>
    </row>
    <row r="8" spans="2:28">
      <c r="B8" s="294" t="s">
        <v>94</v>
      </c>
      <c r="C8" s="292" t="s">
        <v>75</v>
      </c>
      <c r="D8" s="223" t="s">
        <v>160</v>
      </c>
      <c r="E8" s="98">
        <f t="shared" si="0"/>
        <v>8</v>
      </c>
      <c r="F8" s="98">
        <f t="shared" si="1"/>
        <v>0</v>
      </c>
      <c r="G8" s="98">
        <f t="shared" si="1"/>
        <v>0</v>
      </c>
      <c r="H8" s="98">
        <f t="shared" si="1"/>
        <v>0</v>
      </c>
      <c r="I8" s="98">
        <f t="shared" si="1"/>
        <v>1</v>
      </c>
      <c r="J8" s="98">
        <f t="shared" si="1"/>
        <v>16</v>
      </c>
      <c r="K8" s="98">
        <f t="shared" si="1"/>
        <v>30</v>
      </c>
      <c r="L8" s="98">
        <f t="shared" si="1"/>
        <v>23</v>
      </c>
      <c r="M8" s="98">
        <f t="shared" si="1"/>
        <v>27</v>
      </c>
      <c r="N8" s="98">
        <f t="shared" si="1"/>
        <v>7</v>
      </c>
      <c r="O8" s="98">
        <f t="shared" si="1"/>
        <v>31</v>
      </c>
      <c r="P8" s="98">
        <f t="shared" si="1"/>
        <v>27</v>
      </c>
      <c r="Q8" s="98">
        <f t="shared" si="1"/>
        <v>8</v>
      </c>
      <c r="R8" s="98">
        <f t="shared" si="1"/>
        <v>8</v>
      </c>
      <c r="S8" s="98">
        <f t="shared" si="1"/>
        <v>8</v>
      </c>
      <c r="T8" s="98">
        <f t="shared" si="1"/>
        <v>17</v>
      </c>
      <c r="U8" s="98">
        <f t="shared" si="1"/>
        <v>32</v>
      </c>
      <c r="V8" s="98">
        <f t="shared" si="1"/>
        <v>32</v>
      </c>
      <c r="W8" s="98">
        <f t="shared" si="1"/>
        <v>20</v>
      </c>
      <c r="X8" s="98">
        <f t="shared" si="1"/>
        <v>8</v>
      </c>
      <c r="Y8" s="98">
        <f t="shared" si="1"/>
        <v>8</v>
      </c>
      <c r="Z8" s="98">
        <f t="shared" si="2"/>
        <v>52</v>
      </c>
      <c r="AA8" s="153">
        <f t="shared" si="3"/>
        <v>363</v>
      </c>
      <c r="AB8" s="94" t="str">
        <f t="shared" si="4"/>
        <v>Thomas</v>
      </c>
    </row>
    <row r="9" spans="2:28">
      <c r="B9" s="294" t="s">
        <v>261</v>
      </c>
      <c r="C9" s="292" t="s">
        <v>231</v>
      </c>
      <c r="D9" s="223" t="s">
        <v>106</v>
      </c>
      <c r="E9" s="98">
        <f t="shared" si="0"/>
        <v>12</v>
      </c>
      <c r="F9" s="98">
        <f t="shared" si="1"/>
        <v>0</v>
      </c>
      <c r="G9" s="98">
        <f t="shared" si="1"/>
        <v>2</v>
      </c>
      <c r="H9" s="98">
        <f t="shared" si="1"/>
        <v>2</v>
      </c>
      <c r="I9" s="98">
        <f t="shared" si="1"/>
        <v>0</v>
      </c>
      <c r="J9" s="98">
        <f t="shared" si="1"/>
        <v>0</v>
      </c>
      <c r="K9" s="98">
        <f t="shared" si="1"/>
        <v>0</v>
      </c>
      <c r="L9" s="98">
        <f t="shared" si="1"/>
        <v>0</v>
      </c>
      <c r="M9" s="98">
        <f t="shared" si="1"/>
        <v>0</v>
      </c>
      <c r="N9" s="98">
        <f t="shared" si="1"/>
        <v>0</v>
      </c>
      <c r="O9" s="98">
        <f t="shared" si="1"/>
        <v>0</v>
      </c>
      <c r="P9" s="98">
        <f t="shared" si="1"/>
        <v>0</v>
      </c>
      <c r="Q9" s="98">
        <f t="shared" si="1"/>
        <v>24</v>
      </c>
      <c r="R9" s="98">
        <f t="shared" si="1"/>
        <v>0</v>
      </c>
      <c r="S9" s="98">
        <f t="shared" si="1"/>
        <v>0</v>
      </c>
      <c r="T9" s="98">
        <f t="shared" si="1"/>
        <v>0</v>
      </c>
      <c r="U9" s="98">
        <f t="shared" si="1"/>
        <v>0</v>
      </c>
      <c r="V9" s="98">
        <f t="shared" si="1"/>
        <v>0</v>
      </c>
      <c r="W9" s="98">
        <f t="shared" si="1"/>
        <v>0</v>
      </c>
      <c r="X9" s="98">
        <f t="shared" si="1"/>
        <v>15</v>
      </c>
      <c r="Y9" s="98">
        <f t="shared" si="1"/>
        <v>10</v>
      </c>
      <c r="Z9" s="98">
        <f t="shared" si="2"/>
        <v>0</v>
      </c>
      <c r="AA9" s="153">
        <f t="shared" si="3"/>
        <v>65</v>
      </c>
      <c r="AB9" s="94" t="str">
        <f t="shared" si="4"/>
        <v>Küng</v>
      </c>
    </row>
    <row r="10" spans="2:28">
      <c r="B10" s="294" t="s">
        <v>153</v>
      </c>
      <c r="C10" s="292" t="s">
        <v>154</v>
      </c>
      <c r="D10" s="223" t="s">
        <v>160</v>
      </c>
      <c r="E10" s="98">
        <f t="shared" si="0"/>
        <v>0</v>
      </c>
      <c r="F10" s="98">
        <f t="shared" si="1"/>
        <v>0</v>
      </c>
      <c r="G10" s="98">
        <f t="shared" si="1"/>
        <v>0</v>
      </c>
      <c r="H10" s="98">
        <f t="shared" si="1"/>
        <v>0</v>
      </c>
      <c r="I10" s="98">
        <f t="shared" si="1"/>
        <v>0</v>
      </c>
      <c r="J10" s="98">
        <f t="shared" si="1"/>
        <v>15</v>
      </c>
      <c r="K10" s="98">
        <f t="shared" si="1"/>
        <v>21</v>
      </c>
      <c r="L10" s="98">
        <f t="shared" si="1"/>
        <v>12</v>
      </c>
      <c r="M10" s="98">
        <f t="shared" si="1"/>
        <v>20</v>
      </c>
      <c r="N10" s="98">
        <f t="shared" si="1"/>
        <v>2</v>
      </c>
      <c r="O10" s="98">
        <f t="shared" si="1"/>
        <v>12</v>
      </c>
      <c r="P10" s="98">
        <f t="shared" si="1"/>
        <v>20</v>
      </c>
      <c r="Q10" s="98">
        <f t="shared" si="1"/>
        <v>2</v>
      </c>
      <c r="R10" s="98">
        <f t="shared" si="1"/>
        <v>1</v>
      </c>
      <c r="S10" s="98">
        <f t="shared" si="1"/>
        <v>1</v>
      </c>
      <c r="T10" s="98">
        <f t="shared" si="1"/>
        <v>0</v>
      </c>
      <c r="U10" s="98">
        <f t="shared" si="1"/>
        <v>15</v>
      </c>
      <c r="V10" s="98">
        <f t="shared" si="1"/>
        <v>7</v>
      </c>
      <c r="W10" s="98">
        <f t="shared" si="1"/>
        <v>0</v>
      </c>
      <c r="X10" s="98">
        <f t="shared" si="1"/>
        <v>0</v>
      </c>
      <c r="Y10" s="98">
        <f t="shared" si="1"/>
        <v>0</v>
      </c>
      <c r="Z10" s="98">
        <f t="shared" si="2"/>
        <v>0</v>
      </c>
      <c r="AA10" s="153">
        <f t="shared" si="3"/>
        <v>128</v>
      </c>
      <c r="AB10" s="94" t="str">
        <f t="shared" si="4"/>
        <v>Mas</v>
      </c>
    </row>
    <row r="11" spans="2:28">
      <c r="B11" s="294" t="s">
        <v>352</v>
      </c>
      <c r="C11" s="292" t="s">
        <v>353</v>
      </c>
      <c r="D11" s="223" t="s">
        <v>10</v>
      </c>
      <c r="E11" s="98">
        <f t="shared" si="0"/>
        <v>0</v>
      </c>
      <c r="F11" s="98">
        <f t="shared" si="1"/>
        <v>24</v>
      </c>
      <c r="G11" s="98">
        <f t="shared" si="1"/>
        <v>16</v>
      </c>
      <c r="H11" s="98">
        <f t="shared" si="1"/>
        <v>19</v>
      </c>
      <c r="I11" s="98">
        <f t="shared" si="1"/>
        <v>0</v>
      </c>
      <c r="J11" s="98">
        <f t="shared" si="1"/>
        <v>0</v>
      </c>
      <c r="K11" s="98">
        <f t="shared" si="1"/>
        <v>0</v>
      </c>
      <c r="L11" s="98">
        <f t="shared" si="1"/>
        <v>0</v>
      </c>
      <c r="M11" s="98">
        <f t="shared" si="1"/>
        <v>0</v>
      </c>
      <c r="N11" s="98">
        <f t="shared" si="1"/>
        <v>0</v>
      </c>
      <c r="O11" s="98">
        <f t="shared" si="1"/>
        <v>0</v>
      </c>
      <c r="P11" s="98">
        <f t="shared" si="1"/>
        <v>0</v>
      </c>
      <c r="Q11" s="98">
        <f t="shared" si="1"/>
        <v>0</v>
      </c>
      <c r="R11" s="98">
        <f t="shared" si="1"/>
        <v>0</v>
      </c>
      <c r="S11" s="98">
        <f t="shared" si="1"/>
        <v>22</v>
      </c>
      <c r="T11" s="98">
        <f t="shared" si="1"/>
        <v>0</v>
      </c>
      <c r="U11" s="98">
        <f t="shared" si="1"/>
        <v>0</v>
      </c>
      <c r="V11" s="98">
        <f t="shared" si="1"/>
        <v>0</v>
      </c>
      <c r="W11" s="98">
        <f t="shared" si="1"/>
        <v>0</v>
      </c>
      <c r="X11" s="98">
        <f t="shared" si="1"/>
        <v>0</v>
      </c>
      <c r="Y11" s="98">
        <f t="shared" si="1"/>
        <v>19</v>
      </c>
      <c r="Z11" s="98">
        <f t="shared" si="2"/>
        <v>0</v>
      </c>
      <c r="AA11" s="153">
        <f t="shared" si="3"/>
        <v>100</v>
      </c>
      <c r="AB11" s="94" t="str">
        <f t="shared" si="4"/>
        <v>Van Poppel</v>
      </c>
    </row>
    <row r="12" spans="2:28">
      <c r="B12" s="294" t="s">
        <v>158</v>
      </c>
      <c r="C12" s="292" t="s">
        <v>256</v>
      </c>
      <c r="D12" s="223" t="s">
        <v>106</v>
      </c>
      <c r="E12" s="98">
        <f t="shared" si="0"/>
        <v>43</v>
      </c>
      <c r="F12" s="98">
        <f t="shared" si="1"/>
        <v>45</v>
      </c>
      <c r="G12" s="98">
        <f t="shared" si="1"/>
        <v>45</v>
      </c>
      <c r="H12" s="98">
        <f t="shared" si="1"/>
        <v>54</v>
      </c>
      <c r="I12" s="98">
        <f t="shared" si="1"/>
        <v>29</v>
      </c>
      <c r="J12" s="98">
        <f t="shared" si="1"/>
        <v>8</v>
      </c>
      <c r="K12" s="98">
        <f t="shared" si="1"/>
        <v>5</v>
      </c>
      <c r="L12" s="98">
        <f t="shared" si="1"/>
        <v>40</v>
      </c>
      <c r="M12" s="98">
        <f t="shared" si="1"/>
        <v>5</v>
      </c>
      <c r="N12" s="98">
        <f t="shared" si="1"/>
        <v>5</v>
      </c>
      <c r="O12" s="98">
        <f t="shared" si="1"/>
        <v>5</v>
      </c>
      <c r="P12" s="98">
        <f t="shared" si="1"/>
        <v>5</v>
      </c>
      <c r="Q12" s="98">
        <f t="shared" si="1"/>
        <v>24</v>
      </c>
      <c r="R12" s="98">
        <f t="shared" si="1"/>
        <v>5</v>
      </c>
      <c r="S12" s="98">
        <f t="shared" si="1"/>
        <v>35</v>
      </c>
      <c r="T12" s="98">
        <f t="shared" si="1"/>
        <v>18</v>
      </c>
      <c r="U12" s="98">
        <f t="shared" si="1"/>
        <v>5</v>
      </c>
      <c r="V12" s="98">
        <f t="shared" si="1"/>
        <v>32</v>
      </c>
      <c r="W12" s="98">
        <f t="shared" si="1"/>
        <v>6</v>
      </c>
      <c r="X12" s="98">
        <f t="shared" si="1"/>
        <v>41</v>
      </c>
      <c r="Y12" s="98">
        <f t="shared" si="1"/>
        <v>6</v>
      </c>
      <c r="Z12" s="98">
        <f t="shared" si="2"/>
        <v>11</v>
      </c>
      <c r="AA12" s="153">
        <f t="shared" si="3"/>
        <v>472</v>
      </c>
      <c r="AB12" s="94" t="str">
        <f t="shared" si="4"/>
        <v>Van Aert</v>
      </c>
    </row>
    <row r="13" spans="2:28">
      <c r="B13" s="294" t="s">
        <v>217</v>
      </c>
      <c r="C13" s="292" t="s">
        <v>258</v>
      </c>
      <c r="D13" s="223" t="s">
        <v>106</v>
      </c>
      <c r="E13" s="98">
        <f t="shared" si="0"/>
        <v>29</v>
      </c>
      <c r="F13" s="98">
        <f t="shared" si="1"/>
        <v>12</v>
      </c>
      <c r="G13" s="98">
        <f t="shared" si="1"/>
        <v>6</v>
      </c>
      <c r="H13" s="98">
        <f t="shared" si="1"/>
        <v>6</v>
      </c>
      <c r="I13" s="98">
        <f t="shared" si="1"/>
        <v>0</v>
      </c>
      <c r="J13" s="98">
        <f t="shared" si="1"/>
        <v>0</v>
      </c>
      <c r="K13" s="98">
        <f t="shared" si="1"/>
        <v>0</v>
      </c>
      <c r="L13" s="98">
        <f t="shared" si="1"/>
        <v>0</v>
      </c>
      <c r="M13" s="98">
        <f t="shared" si="1"/>
        <v>0</v>
      </c>
      <c r="N13" s="98">
        <f t="shared" si="1"/>
        <v>0</v>
      </c>
      <c r="O13" s="98">
        <f t="shared" si="1"/>
        <v>0</v>
      </c>
      <c r="P13" s="98">
        <f t="shared" si="1"/>
        <v>0</v>
      </c>
      <c r="Q13" s="98">
        <f t="shared" si="1"/>
        <v>0</v>
      </c>
      <c r="R13" s="98">
        <f t="shared" si="1"/>
        <v>0</v>
      </c>
      <c r="S13" s="98">
        <f t="shared" si="1"/>
        <v>0</v>
      </c>
      <c r="T13" s="98">
        <f t="shared" si="1"/>
        <v>0</v>
      </c>
      <c r="U13" s="98">
        <f t="shared" si="1"/>
        <v>0</v>
      </c>
      <c r="V13" s="98">
        <f t="shared" si="1"/>
        <v>0</v>
      </c>
      <c r="W13" s="98">
        <f t="shared" si="1"/>
        <v>0</v>
      </c>
      <c r="X13" s="98">
        <f t="shared" si="1"/>
        <v>0</v>
      </c>
      <c r="Y13" s="98">
        <f t="shared" si="1"/>
        <v>0</v>
      </c>
      <c r="Z13" s="98">
        <f t="shared" si="2"/>
        <v>0</v>
      </c>
      <c r="AA13" s="153">
        <f t="shared" si="3"/>
        <v>53</v>
      </c>
      <c r="AB13" s="94" t="str">
        <f t="shared" si="4"/>
        <v>Van der Poel</v>
      </c>
    </row>
    <row r="14" spans="2:28">
      <c r="B14" s="294" t="s">
        <v>203</v>
      </c>
      <c r="C14" s="292" t="s">
        <v>202</v>
      </c>
      <c r="D14" s="223" t="s">
        <v>10</v>
      </c>
      <c r="E14" s="98">
        <f t="shared" ref="E14:T20" si="5">INDEX(scorematrix,MATCH($C14,renners,0),MATCH(E$3,etappes,0))</f>
        <v>25</v>
      </c>
      <c r="F14" s="98">
        <f t="shared" si="5"/>
        <v>35</v>
      </c>
      <c r="G14" s="98">
        <f t="shared" si="5"/>
        <v>21</v>
      </c>
      <c r="H14" s="98">
        <f t="shared" si="5"/>
        <v>21</v>
      </c>
      <c r="I14" s="98">
        <f t="shared" si="5"/>
        <v>5</v>
      </c>
      <c r="J14" s="98">
        <f t="shared" si="5"/>
        <v>0</v>
      </c>
      <c r="K14" s="98">
        <f t="shared" si="5"/>
        <v>0</v>
      </c>
      <c r="L14" s="98">
        <f t="shared" si="5"/>
        <v>0</v>
      </c>
      <c r="M14" s="98">
        <f t="shared" si="5"/>
        <v>0</v>
      </c>
      <c r="N14" s="98">
        <f t="shared" si="5"/>
        <v>0</v>
      </c>
      <c r="O14" s="98">
        <f t="shared" si="5"/>
        <v>0</v>
      </c>
      <c r="P14" s="98">
        <f t="shared" si="5"/>
        <v>0</v>
      </c>
      <c r="Q14" s="98">
        <f t="shared" si="5"/>
        <v>37</v>
      </c>
      <c r="R14" s="98">
        <f t="shared" si="5"/>
        <v>2</v>
      </c>
      <c r="S14" s="98">
        <f t="shared" si="5"/>
        <v>28</v>
      </c>
      <c r="T14" s="98">
        <f t="shared" si="5"/>
        <v>2</v>
      </c>
      <c r="U14" s="98">
        <f t="shared" si="1"/>
        <v>2</v>
      </c>
      <c r="V14" s="98">
        <f t="shared" si="1"/>
        <v>2</v>
      </c>
      <c r="W14" s="98">
        <f t="shared" si="1"/>
        <v>1</v>
      </c>
      <c r="X14" s="98">
        <f t="shared" si="1"/>
        <v>1</v>
      </c>
      <c r="Y14" s="98">
        <f t="shared" si="1"/>
        <v>0</v>
      </c>
      <c r="Z14" s="98">
        <f t="shared" si="2"/>
        <v>0</v>
      </c>
      <c r="AA14" s="153">
        <f t="shared" si="3"/>
        <v>182</v>
      </c>
      <c r="AB14" s="94" t="str">
        <f t="shared" si="4"/>
        <v>Pedersen</v>
      </c>
    </row>
    <row r="15" spans="2:28">
      <c r="B15" s="294" t="s">
        <v>254</v>
      </c>
      <c r="C15" s="292" t="s">
        <v>70</v>
      </c>
      <c r="D15" s="223" t="s">
        <v>10</v>
      </c>
      <c r="E15" s="98">
        <f t="shared" si="5"/>
        <v>0</v>
      </c>
      <c r="F15" s="98">
        <f t="shared" si="1"/>
        <v>22</v>
      </c>
      <c r="G15" s="98">
        <f t="shared" si="1"/>
        <v>26</v>
      </c>
      <c r="H15" s="98">
        <f t="shared" si="1"/>
        <v>25</v>
      </c>
      <c r="I15" s="98">
        <f t="shared" si="1"/>
        <v>2</v>
      </c>
      <c r="J15" s="98">
        <f t="shared" si="1"/>
        <v>1</v>
      </c>
      <c r="K15" s="98">
        <f t="shared" si="1"/>
        <v>0</v>
      </c>
      <c r="L15" s="98">
        <f t="shared" si="1"/>
        <v>0</v>
      </c>
      <c r="M15" s="98">
        <f t="shared" si="1"/>
        <v>0</v>
      </c>
      <c r="N15" s="98">
        <f t="shared" si="1"/>
        <v>0</v>
      </c>
      <c r="O15" s="98">
        <f t="shared" si="1"/>
        <v>0</v>
      </c>
      <c r="P15" s="98">
        <f t="shared" si="1"/>
        <v>0</v>
      </c>
      <c r="Q15" s="98">
        <f t="shared" si="1"/>
        <v>0</v>
      </c>
      <c r="R15" s="98">
        <f t="shared" si="1"/>
        <v>0</v>
      </c>
      <c r="S15" s="98">
        <f t="shared" si="1"/>
        <v>24</v>
      </c>
      <c r="T15" s="98">
        <f t="shared" si="1"/>
        <v>0</v>
      </c>
      <c r="U15" s="98">
        <f t="shared" si="1"/>
        <v>0</v>
      </c>
      <c r="V15" s="98">
        <f t="shared" si="1"/>
        <v>0</v>
      </c>
      <c r="W15" s="98">
        <f t="shared" si="1"/>
        <v>0</v>
      </c>
      <c r="X15" s="98">
        <f t="shared" si="1"/>
        <v>0</v>
      </c>
      <c r="Y15" s="98">
        <f t="shared" si="1"/>
        <v>22</v>
      </c>
      <c r="Z15" s="98">
        <f t="shared" si="2"/>
        <v>0</v>
      </c>
      <c r="AA15" s="153">
        <f t="shared" si="3"/>
        <v>122</v>
      </c>
      <c r="AB15" s="94" t="str">
        <f t="shared" si="4"/>
        <v>Sagan</v>
      </c>
    </row>
    <row r="16" spans="2:28">
      <c r="B16" s="294" t="s">
        <v>259</v>
      </c>
      <c r="C16" s="292" t="s">
        <v>260</v>
      </c>
      <c r="D16" s="223" t="s">
        <v>106</v>
      </c>
      <c r="E16" s="98">
        <f t="shared" si="5"/>
        <v>33</v>
      </c>
      <c r="F16" s="98">
        <f t="shared" si="1"/>
        <v>7</v>
      </c>
      <c r="G16" s="98">
        <f t="shared" si="1"/>
        <v>0</v>
      </c>
      <c r="H16" s="98">
        <f t="shared" si="1"/>
        <v>0</v>
      </c>
      <c r="I16" s="98">
        <f t="shared" si="1"/>
        <v>0</v>
      </c>
      <c r="J16" s="98">
        <f t="shared" si="1"/>
        <v>0</v>
      </c>
      <c r="K16" s="340">
        <f t="shared" si="1"/>
        <v>0</v>
      </c>
      <c r="L16" s="340">
        <f t="shared" si="1"/>
        <v>0</v>
      </c>
      <c r="M16" s="340">
        <f t="shared" si="1"/>
        <v>0</v>
      </c>
      <c r="N16" s="340">
        <f t="shared" si="1"/>
        <v>0</v>
      </c>
      <c r="O16" s="340">
        <f t="shared" si="1"/>
        <v>0</v>
      </c>
      <c r="P16" s="340">
        <f t="shared" si="1"/>
        <v>0</v>
      </c>
      <c r="Q16" s="340">
        <f t="shared" si="1"/>
        <v>20</v>
      </c>
      <c r="R16" s="340">
        <f t="shared" si="1"/>
        <v>0</v>
      </c>
      <c r="S16" s="340">
        <f t="shared" si="1"/>
        <v>0</v>
      </c>
      <c r="T16" s="340">
        <f t="shared" si="1"/>
        <v>0</v>
      </c>
      <c r="U16" s="340">
        <f t="shared" si="1"/>
        <v>0</v>
      </c>
      <c r="V16" s="340">
        <f t="shared" si="1"/>
        <v>0</v>
      </c>
      <c r="W16" s="340">
        <f t="shared" si="1"/>
        <v>0</v>
      </c>
      <c r="X16" s="340">
        <f t="shared" si="1"/>
        <v>22</v>
      </c>
      <c r="Y16" s="340">
        <f t="shared" si="1"/>
        <v>0</v>
      </c>
      <c r="Z16" s="340">
        <f t="shared" si="2"/>
        <v>0</v>
      </c>
      <c r="AA16" s="153">
        <f t="shared" si="3"/>
        <v>82</v>
      </c>
      <c r="AB16" s="94" t="str">
        <f t="shared" si="4"/>
        <v>Ganna</v>
      </c>
    </row>
    <row r="17" spans="2:28">
      <c r="B17" s="294" t="s">
        <v>249</v>
      </c>
      <c r="C17" s="292" t="s">
        <v>239</v>
      </c>
      <c r="D17" s="223" t="s">
        <v>10</v>
      </c>
      <c r="E17" s="98">
        <f t="shared" si="5"/>
        <v>0</v>
      </c>
      <c r="F17" s="98">
        <f t="shared" si="1"/>
        <v>39</v>
      </c>
      <c r="G17" s="98">
        <f t="shared" si="1"/>
        <v>26</v>
      </c>
      <c r="H17" s="98">
        <f t="shared" si="1"/>
        <v>17</v>
      </c>
      <c r="I17" s="98">
        <f t="shared" si="1"/>
        <v>21</v>
      </c>
      <c r="J17" s="98">
        <f t="shared" si="1"/>
        <v>4</v>
      </c>
      <c r="K17" s="98">
        <f t="shared" si="1"/>
        <v>4</v>
      </c>
      <c r="L17" s="98">
        <f t="shared" si="1"/>
        <v>4</v>
      </c>
      <c r="M17" s="98">
        <f t="shared" si="1"/>
        <v>4</v>
      </c>
      <c r="N17" s="98">
        <f t="shared" si="1"/>
        <v>4</v>
      </c>
      <c r="O17" s="98">
        <f t="shared" si="1"/>
        <v>4</v>
      </c>
      <c r="P17" s="98">
        <f t="shared" si="1"/>
        <v>3</v>
      </c>
      <c r="Q17" s="98">
        <f t="shared" si="1"/>
        <v>3</v>
      </c>
      <c r="R17" s="98">
        <f t="shared" si="1"/>
        <v>3</v>
      </c>
      <c r="S17" s="98">
        <f t="shared" si="1"/>
        <v>1</v>
      </c>
      <c r="T17" s="98">
        <f t="shared" si="1"/>
        <v>1</v>
      </c>
      <c r="U17" s="98">
        <f t="shared" si="1"/>
        <v>1</v>
      </c>
      <c r="V17" s="98">
        <f t="shared" si="1"/>
        <v>1</v>
      </c>
      <c r="W17" s="98">
        <f t="shared" si="1"/>
        <v>0</v>
      </c>
      <c r="X17" s="98">
        <f t="shared" si="1"/>
        <v>0</v>
      </c>
      <c r="Y17" s="98">
        <f t="shared" si="1"/>
        <v>14</v>
      </c>
      <c r="Z17" s="98">
        <f t="shared" si="2"/>
        <v>1</v>
      </c>
      <c r="AA17" s="153">
        <f t="shared" si="3"/>
        <v>155</v>
      </c>
      <c r="AB17" s="94" t="str">
        <f t="shared" si="4"/>
        <v>Jakobsen</v>
      </c>
    </row>
    <row r="18" spans="2:28">
      <c r="B18" s="294" t="s">
        <v>252</v>
      </c>
      <c r="C18" s="292" t="s">
        <v>130</v>
      </c>
      <c r="D18" s="223" t="s">
        <v>10</v>
      </c>
      <c r="E18" s="98">
        <f t="shared" si="5"/>
        <v>0</v>
      </c>
      <c r="F18" s="98">
        <f t="shared" si="1"/>
        <v>18</v>
      </c>
      <c r="G18" s="98">
        <f t="shared" si="1"/>
        <v>38</v>
      </c>
      <c r="H18" s="98">
        <f t="shared" si="1"/>
        <v>0</v>
      </c>
      <c r="I18" s="98">
        <f t="shared" si="1"/>
        <v>0</v>
      </c>
      <c r="J18" s="98">
        <f t="shared" si="1"/>
        <v>0</v>
      </c>
      <c r="K18" s="98">
        <f t="shared" ref="F18:Y20" si="6">INDEX(scorematrix,MATCH($C18,renners,0),MATCH(K$3,etappes,0))</f>
        <v>0</v>
      </c>
      <c r="L18" s="98">
        <f t="shared" si="6"/>
        <v>0</v>
      </c>
      <c r="M18" s="98">
        <f t="shared" si="6"/>
        <v>0</v>
      </c>
      <c r="N18" s="98">
        <f t="shared" si="6"/>
        <v>0</v>
      </c>
      <c r="O18" s="98">
        <f t="shared" si="6"/>
        <v>0</v>
      </c>
      <c r="P18" s="98">
        <f t="shared" si="6"/>
        <v>0</v>
      </c>
      <c r="Q18" s="98">
        <f t="shared" si="6"/>
        <v>0</v>
      </c>
      <c r="R18" s="98">
        <f t="shared" si="6"/>
        <v>0</v>
      </c>
      <c r="S18" s="98">
        <f t="shared" si="6"/>
        <v>20</v>
      </c>
      <c r="T18" s="98">
        <f t="shared" si="6"/>
        <v>0</v>
      </c>
      <c r="U18" s="98">
        <f t="shared" si="6"/>
        <v>0</v>
      </c>
      <c r="V18" s="98">
        <f t="shared" si="6"/>
        <v>0</v>
      </c>
      <c r="W18" s="98">
        <f t="shared" si="6"/>
        <v>19</v>
      </c>
      <c r="X18" s="98">
        <f t="shared" si="6"/>
        <v>0</v>
      </c>
      <c r="Y18" s="98">
        <f t="shared" si="6"/>
        <v>30</v>
      </c>
      <c r="Z18" s="98">
        <f t="shared" si="2"/>
        <v>0</v>
      </c>
      <c r="AA18" s="153">
        <f t="shared" si="3"/>
        <v>125</v>
      </c>
      <c r="AB18" s="94" t="str">
        <f t="shared" si="4"/>
        <v>Groenewegen</v>
      </c>
    </row>
    <row r="19" spans="2:28">
      <c r="B19" s="294" t="s">
        <v>150</v>
      </c>
      <c r="C19" s="292" t="s">
        <v>151</v>
      </c>
      <c r="D19" s="223" t="s">
        <v>10</v>
      </c>
      <c r="E19" s="98">
        <f t="shared" si="5"/>
        <v>0</v>
      </c>
      <c r="F19" s="98">
        <f t="shared" si="6"/>
        <v>13</v>
      </c>
      <c r="G19" s="98">
        <f t="shared" si="6"/>
        <v>17</v>
      </c>
      <c r="H19" s="98">
        <f t="shared" si="6"/>
        <v>0</v>
      </c>
      <c r="I19" s="98">
        <f t="shared" si="6"/>
        <v>0</v>
      </c>
      <c r="J19" s="340">
        <f t="shared" si="6"/>
        <v>0</v>
      </c>
      <c r="K19" s="340">
        <f t="shared" si="6"/>
        <v>0</v>
      </c>
      <c r="L19" s="340">
        <f t="shared" si="6"/>
        <v>0</v>
      </c>
      <c r="M19" s="340">
        <f t="shared" si="6"/>
        <v>0</v>
      </c>
      <c r="N19" s="340">
        <f t="shared" si="6"/>
        <v>0</v>
      </c>
      <c r="O19" s="340">
        <f t="shared" si="6"/>
        <v>0</v>
      </c>
      <c r="P19" s="340">
        <f t="shared" si="6"/>
        <v>0</v>
      </c>
      <c r="Q19" s="340">
        <f t="shared" si="6"/>
        <v>0</v>
      </c>
      <c r="R19" s="340">
        <f t="shared" si="6"/>
        <v>0</v>
      </c>
      <c r="S19" s="340">
        <f t="shared" si="6"/>
        <v>0</v>
      </c>
      <c r="T19" s="340">
        <f t="shared" si="6"/>
        <v>0</v>
      </c>
      <c r="U19" s="340">
        <f t="shared" si="6"/>
        <v>0</v>
      </c>
      <c r="V19" s="340">
        <f t="shared" si="6"/>
        <v>0</v>
      </c>
      <c r="W19" s="340">
        <f t="shared" si="6"/>
        <v>16</v>
      </c>
      <c r="X19" s="340">
        <f t="shared" si="6"/>
        <v>0</v>
      </c>
      <c r="Y19" s="340">
        <f t="shared" si="6"/>
        <v>18</v>
      </c>
      <c r="Z19" s="340">
        <f t="shared" si="2"/>
        <v>0</v>
      </c>
      <c r="AA19" s="153">
        <f t="shared" si="3"/>
        <v>64</v>
      </c>
      <c r="AB19" s="94" t="str">
        <f t="shared" si="4"/>
        <v>Ewan</v>
      </c>
    </row>
    <row r="20" spans="2:28" s="140" customFormat="1" ht="14.4" thickBot="1">
      <c r="B20" s="294" t="s">
        <v>172</v>
      </c>
      <c r="C20" s="292" t="s">
        <v>233</v>
      </c>
      <c r="D20" s="223" t="s">
        <v>10</v>
      </c>
      <c r="E20" s="98">
        <f t="shared" si="5"/>
        <v>0</v>
      </c>
      <c r="F20" s="98">
        <f t="shared" si="6"/>
        <v>22</v>
      </c>
      <c r="G20" s="98">
        <f t="shared" si="6"/>
        <v>26</v>
      </c>
      <c r="H20" s="98">
        <f t="shared" si="6"/>
        <v>31</v>
      </c>
      <c r="I20" s="98">
        <f t="shared" si="6"/>
        <v>22</v>
      </c>
      <c r="J20" s="98">
        <f t="shared" si="6"/>
        <v>6</v>
      </c>
      <c r="K20" s="98">
        <f t="shared" si="6"/>
        <v>2</v>
      </c>
      <c r="L20" s="98">
        <f t="shared" si="6"/>
        <v>2</v>
      </c>
      <c r="M20" s="98">
        <f t="shared" si="6"/>
        <v>2</v>
      </c>
      <c r="N20" s="98">
        <f t="shared" si="6"/>
        <v>0</v>
      </c>
      <c r="O20" s="98">
        <f t="shared" si="6"/>
        <v>0</v>
      </c>
      <c r="P20" s="98">
        <f t="shared" si="6"/>
        <v>1</v>
      </c>
      <c r="Q20" s="98">
        <f t="shared" si="6"/>
        <v>0</v>
      </c>
      <c r="R20" s="98">
        <f t="shared" si="6"/>
        <v>0</v>
      </c>
      <c r="S20" s="98">
        <f t="shared" si="6"/>
        <v>35</v>
      </c>
      <c r="T20" s="98">
        <f t="shared" si="6"/>
        <v>3</v>
      </c>
      <c r="U20" s="98">
        <f t="shared" si="6"/>
        <v>3</v>
      </c>
      <c r="V20" s="98">
        <f t="shared" si="6"/>
        <v>3</v>
      </c>
      <c r="W20" s="98">
        <f t="shared" si="6"/>
        <v>34</v>
      </c>
      <c r="X20" s="98">
        <f t="shared" si="6"/>
        <v>3</v>
      </c>
      <c r="Y20" s="98">
        <f t="shared" si="6"/>
        <v>39</v>
      </c>
      <c r="Z20" s="98">
        <f t="shared" ref="Z20" si="7">INDEX(scorematrix,MATCH($C20,renners,0),MATCH(Z$3,etappes,0))</f>
        <v>7</v>
      </c>
      <c r="AA20" s="153">
        <f t="shared" si="3"/>
        <v>241</v>
      </c>
      <c r="AB20" s="94" t="str">
        <f t="shared" si="4"/>
        <v>Philipsen</v>
      </c>
    </row>
    <row r="21" spans="2:28" s="141" customFormat="1">
      <c r="B21" s="291"/>
      <c r="C21" s="288"/>
      <c r="D21" s="148"/>
      <c r="E21" s="150"/>
      <c r="F21" s="150"/>
      <c r="G21" s="150"/>
      <c r="H21" s="150"/>
      <c r="I21" s="150"/>
      <c r="J21" s="150">
        <f>-J19+J25</f>
        <v>21</v>
      </c>
      <c r="K21" s="150">
        <f>-K19+K25-K16+K26</f>
        <v>16</v>
      </c>
      <c r="L21" s="150">
        <f t="shared" ref="L21:M21" si="8">-L19+L25-L16+L26</f>
        <v>1</v>
      </c>
      <c r="M21" s="150">
        <f t="shared" si="8"/>
        <v>27</v>
      </c>
      <c r="N21" s="150">
        <f>-N19+N25-N16+N26+N24-N7</f>
        <v>3</v>
      </c>
      <c r="O21" s="150">
        <f t="shared" ref="O21:Z21" si="9">-O19+O25-O16+O26+O24-O7</f>
        <v>20</v>
      </c>
      <c r="P21" s="150">
        <f t="shared" si="9"/>
        <v>16</v>
      </c>
      <c r="Q21" s="150">
        <f t="shared" si="9"/>
        <v>-20</v>
      </c>
      <c r="R21" s="150">
        <f t="shared" si="9"/>
        <v>35</v>
      </c>
      <c r="S21" s="150">
        <f t="shared" si="9"/>
        <v>0</v>
      </c>
      <c r="T21" s="150">
        <f t="shared" si="9"/>
        <v>6</v>
      </c>
      <c r="U21" s="150">
        <f t="shared" si="9"/>
        <v>22</v>
      </c>
      <c r="V21" s="150">
        <f t="shared" si="9"/>
        <v>57</v>
      </c>
      <c r="W21" s="150">
        <f t="shared" si="9"/>
        <v>-14</v>
      </c>
      <c r="X21" s="150">
        <f t="shared" si="9"/>
        <v>-14</v>
      </c>
      <c r="Y21" s="150">
        <f t="shared" si="9"/>
        <v>-7</v>
      </c>
      <c r="Z21" s="150">
        <f t="shared" si="9"/>
        <v>56</v>
      </c>
      <c r="AA21" s="193">
        <f t="shared" si="3"/>
        <v>225</v>
      </c>
    </row>
    <row r="22" spans="2:28" s="97" customFormat="1">
      <c r="B22" s="287"/>
      <c r="C22" s="289"/>
      <c r="D22" s="296"/>
      <c r="E22" s="309">
        <f t="shared" ref="E22:AA22" si="10">SUM(E4:E21)</f>
        <v>173</v>
      </c>
      <c r="F22" s="309">
        <f t="shared" ref="F22" si="11">SUM(F4:F21)</f>
        <v>241</v>
      </c>
      <c r="G22" s="309">
        <f>SUM(G4:G21)</f>
        <v>236</v>
      </c>
      <c r="H22" s="309">
        <f t="shared" si="10"/>
        <v>186</v>
      </c>
      <c r="I22" s="309">
        <f t="shared" si="10"/>
        <v>101</v>
      </c>
      <c r="J22" s="309">
        <f t="shared" si="10"/>
        <v>112</v>
      </c>
      <c r="K22" s="309">
        <f t="shared" si="10"/>
        <v>129</v>
      </c>
      <c r="L22" s="309">
        <f t="shared" si="10"/>
        <v>139</v>
      </c>
      <c r="M22" s="309">
        <f t="shared" si="10"/>
        <v>129</v>
      </c>
      <c r="N22" s="309">
        <f t="shared" si="10"/>
        <v>29</v>
      </c>
      <c r="O22" s="309">
        <f t="shared" si="10"/>
        <v>137</v>
      </c>
      <c r="P22" s="309">
        <f t="shared" si="10"/>
        <v>114</v>
      </c>
      <c r="Q22" s="309">
        <f t="shared" si="10"/>
        <v>119</v>
      </c>
      <c r="R22" s="309">
        <f t="shared" si="10"/>
        <v>66</v>
      </c>
      <c r="S22" s="309">
        <f t="shared" si="10"/>
        <v>194</v>
      </c>
      <c r="T22" s="309">
        <f t="shared" si="10"/>
        <v>107</v>
      </c>
      <c r="U22" s="309">
        <f t="shared" si="10"/>
        <v>141</v>
      </c>
      <c r="V22" s="309">
        <f t="shared" si="10"/>
        <v>205</v>
      </c>
      <c r="W22" s="309">
        <f t="shared" si="10"/>
        <v>128</v>
      </c>
      <c r="X22" s="309">
        <f t="shared" si="10"/>
        <v>135</v>
      </c>
      <c r="Y22" s="309">
        <f t="shared" si="10"/>
        <v>180</v>
      </c>
      <c r="Z22" s="309">
        <f t="shared" si="10"/>
        <v>251</v>
      </c>
      <c r="AA22" s="190">
        <f t="shared" si="10"/>
        <v>3252</v>
      </c>
    </row>
    <row r="23" spans="2:28" s="143" customFormat="1">
      <c r="B23" s="290" t="s">
        <v>210</v>
      </c>
      <c r="C23" s="290"/>
      <c r="D23" s="146"/>
      <c r="E23" s="127"/>
      <c r="F23" s="127"/>
      <c r="G23" s="127"/>
      <c r="H23" s="144"/>
      <c r="I23" s="127"/>
      <c r="J23" s="127"/>
      <c r="K23" s="127"/>
      <c r="L23" s="127"/>
      <c r="M23" s="127"/>
      <c r="N23" s="127"/>
      <c r="O23" s="127"/>
      <c r="P23" s="127"/>
      <c r="Q23" s="127"/>
      <c r="R23" s="127"/>
      <c r="S23" s="127"/>
      <c r="T23" s="127"/>
      <c r="U23" s="127"/>
      <c r="V23" s="127"/>
      <c r="W23" s="127"/>
      <c r="X23" s="127"/>
      <c r="Y23" s="127"/>
      <c r="Z23" s="127"/>
      <c r="AA23" s="191"/>
    </row>
    <row r="24" spans="2:28" s="145" customFormat="1">
      <c r="B24" s="295" t="s">
        <v>354</v>
      </c>
      <c r="C24" s="293" t="s">
        <v>165</v>
      </c>
      <c r="D24" s="226"/>
      <c r="E24" s="160">
        <f t="shared" ref="E24:Z26" si="12">INDEX(scorematrix,MATCH($C24,renners,0),MATCH(E$3,etappes,0))</f>
        <v>0</v>
      </c>
      <c r="F24" s="160">
        <f t="shared" si="12"/>
        <v>0</v>
      </c>
      <c r="G24" s="160">
        <f t="shared" si="12"/>
        <v>0</v>
      </c>
      <c r="H24" s="160">
        <f t="shared" si="12"/>
        <v>0</v>
      </c>
      <c r="I24" s="160">
        <f t="shared" si="12"/>
        <v>0</v>
      </c>
      <c r="J24" s="160">
        <f t="shared" si="12"/>
        <v>9</v>
      </c>
      <c r="K24" s="160">
        <f t="shared" si="12"/>
        <v>0</v>
      </c>
      <c r="L24" s="160">
        <f t="shared" si="12"/>
        <v>0</v>
      </c>
      <c r="M24" s="160">
        <f t="shared" si="12"/>
        <v>10</v>
      </c>
      <c r="N24" s="338">
        <f t="shared" si="12"/>
        <v>0</v>
      </c>
      <c r="O24" s="338">
        <f t="shared" si="12"/>
        <v>20</v>
      </c>
      <c r="P24" s="338">
        <f t="shared" si="12"/>
        <v>10</v>
      </c>
      <c r="Q24" s="338">
        <f t="shared" si="12"/>
        <v>0</v>
      </c>
      <c r="R24" s="338">
        <f t="shared" si="12"/>
        <v>0</v>
      </c>
      <c r="S24" s="338">
        <f t="shared" si="12"/>
        <v>0</v>
      </c>
      <c r="T24" s="338">
        <f t="shared" si="12"/>
        <v>0</v>
      </c>
      <c r="U24" s="338">
        <f t="shared" si="12"/>
        <v>22</v>
      </c>
      <c r="V24" s="338">
        <f t="shared" si="12"/>
        <v>22</v>
      </c>
      <c r="W24" s="338">
        <f t="shared" si="12"/>
        <v>2</v>
      </c>
      <c r="X24" s="338">
        <f t="shared" si="12"/>
        <v>2</v>
      </c>
      <c r="Y24" s="338">
        <f t="shared" si="12"/>
        <v>11</v>
      </c>
      <c r="Z24" s="338">
        <f t="shared" si="12"/>
        <v>34</v>
      </c>
      <c r="AA24" s="245">
        <f>SUM(E24:Z24)</f>
        <v>142</v>
      </c>
    </row>
    <row r="25" spans="2:28" s="145" customFormat="1">
      <c r="B25" s="295" t="s">
        <v>355</v>
      </c>
      <c r="C25" s="293" t="s">
        <v>171</v>
      </c>
      <c r="D25" s="226"/>
      <c r="E25" s="160">
        <f t="shared" si="12"/>
        <v>0</v>
      </c>
      <c r="F25" s="160">
        <f t="shared" si="12"/>
        <v>0</v>
      </c>
      <c r="G25" s="160">
        <f t="shared" si="12"/>
        <v>0</v>
      </c>
      <c r="H25" s="160">
        <f t="shared" si="12"/>
        <v>0</v>
      </c>
      <c r="I25" s="160">
        <f t="shared" si="12"/>
        <v>0</v>
      </c>
      <c r="J25" s="338">
        <f t="shared" si="12"/>
        <v>21</v>
      </c>
      <c r="K25" s="338">
        <f t="shared" si="12"/>
        <v>16</v>
      </c>
      <c r="L25" s="338">
        <f t="shared" si="12"/>
        <v>1</v>
      </c>
      <c r="M25" s="338">
        <f t="shared" si="12"/>
        <v>0</v>
      </c>
      <c r="N25" s="338">
        <f t="shared" si="12"/>
        <v>0</v>
      </c>
      <c r="O25" s="338">
        <f t="shared" si="12"/>
        <v>0</v>
      </c>
      <c r="P25" s="338">
        <f t="shared" si="12"/>
        <v>0</v>
      </c>
      <c r="Q25" s="338">
        <f t="shared" si="12"/>
        <v>0</v>
      </c>
      <c r="R25" s="338">
        <f t="shared" si="12"/>
        <v>9</v>
      </c>
      <c r="S25" s="338">
        <f t="shared" si="12"/>
        <v>0</v>
      </c>
      <c r="T25" s="338">
        <f t="shared" si="12"/>
        <v>6</v>
      </c>
      <c r="U25" s="338">
        <f t="shared" si="12"/>
        <v>0</v>
      </c>
      <c r="V25" s="338">
        <f t="shared" si="12"/>
        <v>19</v>
      </c>
      <c r="W25" s="338">
        <f t="shared" si="12"/>
        <v>0</v>
      </c>
      <c r="X25" s="338">
        <f t="shared" si="12"/>
        <v>6</v>
      </c>
      <c r="Y25" s="338">
        <f t="shared" si="12"/>
        <v>0</v>
      </c>
      <c r="Z25" s="338">
        <f t="shared" si="12"/>
        <v>0</v>
      </c>
      <c r="AA25" s="245">
        <f>SUM(E25:Z25)</f>
        <v>78</v>
      </c>
    </row>
    <row r="26" spans="2:28" s="145" customFormat="1">
      <c r="B26" s="295" t="s">
        <v>331</v>
      </c>
      <c r="C26" s="293" t="s">
        <v>84</v>
      </c>
      <c r="D26" s="226"/>
      <c r="E26" s="160">
        <f t="shared" si="12"/>
        <v>0</v>
      </c>
      <c r="F26" s="160">
        <f t="shared" si="12"/>
        <v>0</v>
      </c>
      <c r="G26" s="160">
        <f t="shared" si="12"/>
        <v>0</v>
      </c>
      <c r="H26" s="160">
        <f t="shared" si="12"/>
        <v>0</v>
      </c>
      <c r="I26" s="160">
        <f t="shared" si="12"/>
        <v>0</v>
      </c>
      <c r="J26" s="160">
        <f t="shared" si="12"/>
        <v>0</v>
      </c>
      <c r="K26" s="338">
        <f t="shared" si="12"/>
        <v>0</v>
      </c>
      <c r="L26" s="338">
        <f t="shared" si="12"/>
        <v>0</v>
      </c>
      <c r="M26" s="338">
        <f t="shared" si="12"/>
        <v>27</v>
      </c>
      <c r="N26" s="338">
        <f t="shared" si="12"/>
        <v>3</v>
      </c>
      <c r="O26" s="338">
        <f t="shared" si="12"/>
        <v>0</v>
      </c>
      <c r="P26" s="338">
        <f t="shared" si="12"/>
        <v>6</v>
      </c>
      <c r="Q26" s="338">
        <f t="shared" si="12"/>
        <v>0</v>
      </c>
      <c r="R26" s="338">
        <f t="shared" si="12"/>
        <v>26</v>
      </c>
      <c r="S26" s="338">
        <f t="shared" si="12"/>
        <v>0</v>
      </c>
      <c r="T26" s="338">
        <f t="shared" si="12"/>
        <v>0</v>
      </c>
      <c r="U26" s="338">
        <f t="shared" si="12"/>
        <v>0</v>
      </c>
      <c r="V26" s="338">
        <f t="shared" si="12"/>
        <v>16</v>
      </c>
      <c r="W26" s="338">
        <f t="shared" si="12"/>
        <v>0</v>
      </c>
      <c r="X26" s="338">
        <f t="shared" si="12"/>
        <v>0</v>
      </c>
      <c r="Y26" s="338">
        <f t="shared" si="12"/>
        <v>0</v>
      </c>
      <c r="Z26" s="338">
        <f t="shared" si="12"/>
        <v>22</v>
      </c>
      <c r="AA26" s="245">
        <f>SUM(E26:Z26)</f>
        <v>100</v>
      </c>
    </row>
    <row r="28" spans="2:28">
      <c r="C28" s="246" t="s">
        <v>160</v>
      </c>
      <c r="D28" s="247">
        <f>COUNTIF($D$4:$D$21,C28)</f>
        <v>6</v>
      </c>
    </row>
    <row r="29" spans="2:28">
      <c r="C29" s="248" t="s">
        <v>10</v>
      </c>
      <c r="D29" s="247">
        <f>COUNTIF($D$4:$D$21,C29)</f>
        <v>7</v>
      </c>
    </row>
    <row r="30" spans="2:28">
      <c r="C30" s="248" t="s">
        <v>106</v>
      </c>
      <c r="D30" s="247">
        <f>COUNTIF($D$4:$D$21,C30)</f>
        <v>4</v>
      </c>
    </row>
  </sheetData>
  <sheetProtection selectLockedCells="1"/>
  <sortState xmlns:xlrd2="http://schemas.microsoft.com/office/spreadsheetml/2017/richdata2" ref="B4:AB20">
    <sortCondition ref="D4:D20"/>
    <sortCondition ref="C4:C20"/>
  </sortState>
  <phoneticPr fontId="0" type="noConversion"/>
  <dataValidations disablePrompts="1" count="1">
    <dataValidation type="list" allowBlank="1" showInputMessage="1" showErrorMessage="1" prompt="selecteer type renner:" sqref="D4:D20" xr:uid="{00000000-0002-0000-0900-000000000000}">
      <formula1>type_renner</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23</vt:i4>
      </vt:variant>
      <vt:variant>
        <vt:lpstr>Charts</vt:lpstr>
      </vt:variant>
      <vt:variant>
        <vt:i4>5</vt:i4>
      </vt:variant>
      <vt:variant>
        <vt:lpstr>Named Ranges</vt:lpstr>
      </vt:variant>
      <vt:variant>
        <vt:i4>7</vt:i4>
      </vt:variant>
    </vt:vector>
  </HeadingPairs>
  <TitlesOfParts>
    <vt:vector size="35" baseType="lpstr">
      <vt:lpstr>Etappes</vt:lpstr>
      <vt:lpstr>originaliteit</vt:lpstr>
      <vt:lpstr>Score</vt:lpstr>
      <vt:lpstr>Teams</vt:lpstr>
      <vt:lpstr>Majella</vt:lpstr>
      <vt:lpstr>TTT</vt:lpstr>
      <vt:lpstr>Vod</vt:lpstr>
      <vt:lpstr>Lothar</vt:lpstr>
      <vt:lpstr>Lange</vt:lpstr>
      <vt:lpstr>Brits</vt:lpstr>
      <vt:lpstr>Bangkok</vt:lpstr>
      <vt:lpstr>Gran</vt:lpstr>
      <vt:lpstr>IJff</vt:lpstr>
      <vt:lpstr>Kolbrelli</vt:lpstr>
      <vt:lpstr>Selfkant</vt:lpstr>
      <vt:lpstr>Freaky</vt:lpstr>
      <vt:lpstr>Kol</vt:lpstr>
      <vt:lpstr>Niet</vt:lpstr>
      <vt:lpstr>Vino</vt:lpstr>
      <vt:lpstr>BertT</vt:lpstr>
      <vt:lpstr>vrij1</vt:lpstr>
      <vt:lpstr>HANDLEIDING</vt:lpstr>
      <vt:lpstr>Blad1</vt:lpstr>
      <vt:lpstr>Grafiek</vt:lpstr>
      <vt:lpstr>peleton</vt:lpstr>
      <vt:lpstr>onderin</vt:lpstr>
      <vt:lpstr>Duitsers</vt:lpstr>
      <vt:lpstr>Grafiek (3)</vt:lpstr>
      <vt:lpstr>etappes</vt:lpstr>
      <vt:lpstr>lijst_sheets</vt:lpstr>
      <vt:lpstr>lijst_teams</vt:lpstr>
      <vt:lpstr>Etappes!Print_Area</vt:lpstr>
      <vt:lpstr>originaliteit!Print_Area</vt:lpstr>
      <vt:lpstr>renners</vt:lpstr>
      <vt:lpstr>scorematrix</vt:lpstr>
    </vt:vector>
  </TitlesOfParts>
  <Company>Universiteit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Ernie B.</cp:lastModifiedBy>
  <cp:lastPrinted>2008-07-22T15:56:34Z</cp:lastPrinted>
  <dcterms:created xsi:type="dcterms:W3CDTF">2000-07-22T17:05:22Z</dcterms:created>
  <dcterms:modified xsi:type="dcterms:W3CDTF">2022-07-25T18:05:56Z</dcterms:modified>
</cp:coreProperties>
</file>