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hartsheets/sheet2.xml" ContentType="application/vnd.openxmlformats-officedocument.spreadsheetml.chartsheet+xml"/>
  <Override PartName="/xl/chartsheets/sheet3.xml" ContentType="application/vnd.openxmlformats-officedocument.spreadsheetml.chartsheet+xml"/>
  <Override PartName="/xl/worksheets/sheet19.xml" ContentType="application/vnd.openxmlformats-officedocument.spreadsheetml.worksheet+xml"/>
  <Override PartName="/xl/sharedStrings.xml" ContentType="application/vnd.openxmlformats-officedocument.spreadsheetml.sharedStrings+xml"/>
  <Override PartName="/xl/chartsheets/sheet1.xml" ContentType="application/vnd.openxmlformats-officedocument.spreadsheetml.chartsheet+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440" yWindow="1680" windowWidth="15480" windowHeight="11640" tabRatio="890"/>
  </bookViews>
  <sheets>
    <sheet name="Etappes" sheetId="2" r:id="rId1"/>
    <sheet name="Grafiek" sheetId="18" r:id="rId2"/>
    <sheet name="Grafiek (2)" sheetId="47" r:id="rId3"/>
    <sheet name="originaliteit" sheetId="19" r:id="rId4"/>
    <sheet name="Grafiek (3)" sheetId="49" r:id="rId5"/>
    <sheet name="Score" sheetId="10" r:id="rId6"/>
    <sheet name="Teams" sheetId="9" r:id="rId7"/>
    <sheet name="Britless" sheetId="25" r:id="rId8"/>
    <sheet name="Lothar" sheetId="21" r:id="rId9"/>
    <sheet name="Lange" sheetId="14" r:id="rId10"/>
    <sheet name="Selfkant" sheetId="37" r:id="rId11"/>
    <sheet name="TTT" sheetId="28" r:id="rId12"/>
    <sheet name="Freaky" sheetId="16" r:id="rId13"/>
    <sheet name="Majella" sheetId="12" r:id="rId14"/>
    <sheet name="Kol" sheetId="34" r:id="rId15"/>
    <sheet name="Bangkok" sheetId="36" r:id="rId16"/>
    <sheet name="Ami" sheetId="45" r:id="rId17"/>
    <sheet name="Niet" sheetId="30" state="hidden" r:id="rId18"/>
    <sheet name="Casper" sheetId="33" state="hidden" r:id="rId19"/>
    <sheet name="Vino" sheetId="32" state="hidden" r:id="rId20"/>
    <sheet name="Omer" sheetId="15" state="hidden" r:id="rId21"/>
    <sheet name="BertT" sheetId="17" state="hidden" r:id="rId22"/>
    <sheet name="vrij1" sheetId="40" state="hidden" r:id="rId23"/>
    <sheet name="Vod" sheetId="35" r:id="rId24"/>
    <sheet name="HANDLEIDING" sheetId="43" r:id="rId25"/>
    <sheet name="Blad1" sheetId="50" r:id="rId26"/>
    <sheet name="originaliteit (start)" sheetId="51" r:id="rId27"/>
  </sheets>
  <definedNames>
    <definedName name="aantal_deelnemers" localSheetId="26">COUNTA('originaliteit (start)'!$1:$1)</definedName>
    <definedName name="aantal_deelnemers">COUNTA(originaliteit!$1:$1)</definedName>
    <definedName name="_xlnm.Print_Area" localSheetId="0">Etappes!$A$1:$Z$81</definedName>
    <definedName name="_xlnm.Print_Area" localSheetId="3">originaliteit!$A$1:$M$66</definedName>
    <definedName name="_xlnm.Print_Area" localSheetId="26">'originaliteit (start)'!$A$1:$M$66</definedName>
    <definedName name="etappes">Score!$B$1:$Z$1</definedName>
    <definedName name="lijst_sheets" localSheetId="26">'originaliteit (start)'!$B$1:$L$1</definedName>
    <definedName name="lijst_sheets">originaliteit!$B$1:$L$1</definedName>
    <definedName name="lijst_teams">Etappes!$B$3:$B$19</definedName>
    <definedName name="renners">Score!$B:$B</definedName>
    <definedName name="scorematrix">Score!$B:$Z</definedName>
    <definedName name="TABLE" localSheetId="21">BertT!#REF!</definedName>
    <definedName name="TABLE" localSheetId="18">Casper!#REF!</definedName>
    <definedName name="TABLE" localSheetId="20">Omer!#REF!</definedName>
    <definedName name="TABLE" localSheetId="19">Vino!#REF!</definedName>
    <definedName name="TABLE_2" localSheetId="21">BertT!#REF!</definedName>
    <definedName name="TABLE_2" localSheetId="18">Casper!#REF!</definedName>
    <definedName name="TABLE_2" localSheetId="20">Omer!#REF!</definedName>
    <definedName name="TABLE_2" localSheetId="19">Vino!#REF!</definedName>
    <definedName name="TABLE_3" localSheetId="21">BertT!#REF!</definedName>
    <definedName name="TABLE_3" localSheetId="18">Casper!#REF!</definedName>
    <definedName name="TABLE_3" localSheetId="20">Omer!#REF!</definedName>
    <definedName name="TABLE_3" localSheetId="19">Vino!#REF!</definedName>
  </definedNam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21" i="10"/>
  <c r="W30"/>
  <c r="W37"/>
  <c r="W11"/>
  <c r="W34"/>
  <c r="W31"/>
  <c r="W5"/>
  <c r="W23"/>
  <c r="W28"/>
  <c r="W27"/>
  <c r="Y21"/>
  <c r="Y30"/>
  <c r="Y9"/>
  <c r="Y23"/>
  <c r="Y37"/>
  <c r="Y28"/>
  <c r="Y27"/>
  <c r="V21"/>
  <c r="V30"/>
  <c r="V22"/>
  <c r="V23"/>
  <c r="V37"/>
  <c r="V35"/>
  <c r="V14"/>
  <c r="V20"/>
  <c r="V28"/>
  <c r="V27"/>
  <c r="T41"/>
  <c r="X13" i="45"/>
  <c r="Y13"/>
  <c r="Z13"/>
  <c r="U21" i="10"/>
  <c r="U30"/>
  <c r="U27"/>
  <c r="U23"/>
  <c r="U11"/>
  <c r="U34"/>
  <c r="U31"/>
  <c r="U5"/>
  <c r="U20"/>
  <c r="U28"/>
  <c r="T12"/>
  <c r="T23"/>
  <c r="T27"/>
  <c r="T21"/>
  <c r="T30"/>
  <c r="T36"/>
  <c r="T14"/>
  <c r="T35"/>
  <c r="T20"/>
  <c r="T28"/>
  <c r="T9"/>
  <c r="S21"/>
  <c r="S30"/>
  <c r="S27"/>
  <c r="S23"/>
  <c r="S36"/>
  <c r="S14"/>
  <c r="S20"/>
  <c r="S35"/>
  <c r="S28"/>
  <c r="R23"/>
  <c r="R27"/>
  <c r="R30"/>
  <c r="R34"/>
  <c r="R21"/>
  <c r="R18"/>
  <c r="Q30"/>
  <c r="Q27"/>
  <c r="Q23"/>
  <c r="Q14"/>
  <c r="Q29"/>
  <c r="Q20"/>
  <c r="Q28"/>
  <c r="Q21"/>
  <c r="Q35"/>
  <c r="Q4"/>
  <c r="T20" i="14"/>
  <c r="U20"/>
  <c r="V20"/>
  <c r="W20"/>
  <c r="X20"/>
  <c r="Y20"/>
  <c r="Z20"/>
  <c r="P23" i="10"/>
  <c r="P12"/>
  <c r="P6"/>
  <c r="P27"/>
  <c r="P34"/>
  <c r="P31"/>
  <c r="P4"/>
  <c r="P33"/>
  <c r="O22"/>
  <c r="O23"/>
  <c r="O6"/>
  <c r="O27"/>
  <c r="O28"/>
  <c r="O20"/>
  <c r="O21"/>
  <c r="O35"/>
  <c r="O30"/>
  <c r="Q24" i="12"/>
  <c r="Q25" i="28"/>
  <c r="Q14"/>
  <c r="O18" i="10"/>
  <c r="N12"/>
  <c r="N31"/>
  <c r="N6"/>
  <c r="N27"/>
  <c r="M34"/>
  <c r="M15"/>
  <c r="M11"/>
  <c r="M5"/>
  <c r="M27"/>
  <c r="M3"/>
  <c r="M16"/>
  <c r="M6"/>
  <c r="M37"/>
  <c r="L27"/>
  <c r="L6"/>
  <c r="L34"/>
  <c r="L11"/>
  <c r="L31"/>
  <c r="L3"/>
  <c r="L16"/>
  <c r="L30"/>
  <c r="L39"/>
  <c r="L15"/>
  <c r="L5"/>
  <c r="K17"/>
  <c r="K23"/>
  <c r="K27"/>
  <c r="K6"/>
  <c r="K12"/>
  <c r="K20"/>
  <c r="K21"/>
  <c r="K35"/>
  <c r="K29"/>
  <c r="K3"/>
  <c r="K16"/>
  <c r="K30"/>
  <c r="K28"/>
  <c r="B66" i="51"/>
  <c r="N61"/>
  <c r="N60"/>
  <c r="N59"/>
  <c r="N58"/>
  <c r="N57"/>
  <c r="N56"/>
  <c r="N55"/>
  <c r="N54"/>
  <c r="N53"/>
  <c r="N52"/>
  <c r="N51"/>
  <c r="N50"/>
  <c r="N49"/>
  <c r="N48"/>
  <c r="N47"/>
  <c r="N46"/>
  <c r="N45"/>
  <c r="N44"/>
  <c r="N43"/>
  <c r="N42"/>
  <c r="J23" i="10" l="1"/>
  <c r="J27"/>
  <c r="J6"/>
  <c r="J35"/>
  <c r="J21"/>
  <c r="J29"/>
  <c r="J3"/>
  <c r="J16"/>
  <c r="J30"/>
  <c r="I30"/>
  <c r="I17"/>
  <c r="I6"/>
  <c r="I11"/>
  <c r="I37"/>
  <c r="I31"/>
  <c r="I26"/>
  <c r="I3"/>
  <c r="I16"/>
  <c r="I2"/>
  <c r="I33"/>
  <c r="H17"/>
  <c r="H6"/>
  <c r="H27"/>
  <c r="H30"/>
  <c r="H3"/>
  <c r="H29"/>
  <c r="H14"/>
  <c r="H9"/>
  <c r="H2"/>
  <c r="G6"/>
  <c r="G27"/>
  <c r="G30"/>
  <c r="G15"/>
  <c r="G19"/>
  <c r="G31"/>
  <c r="G5"/>
  <c r="G21"/>
  <c r="G16"/>
  <c r="G2"/>
  <c r="G25"/>
  <c r="G11"/>
  <c r="G33"/>
  <c r="G7"/>
  <c r="G37"/>
  <c r="F23"/>
  <c r="F6"/>
  <c r="F27"/>
  <c r="F30"/>
  <c r="F21"/>
  <c r="F29"/>
  <c r="F14"/>
  <c r="F16"/>
  <c r="F2"/>
  <c r="F20"/>
  <c r="F26"/>
  <c r="E17"/>
  <c r="E6"/>
  <c r="E27"/>
  <c r="E15"/>
  <c r="E5"/>
  <c r="E19"/>
  <c r="E31"/>
  <c r="E12"/>
  <c r="E2"/>
  <c r="E11"/>
  <c r="E7"/>
  <c r="E25"/>
  <c r="D6"/>
  <c r="D27"/>
  <c r="D17"/>
  <c r="D12"/>
  <c r="D2"/>
  <c r="D9"/>
  <c r="D24"/>
  <c r="D38"/>
  <c r="C27"/>
  <c r="C17"/>
  <c r="C7"/>
  <c r="C5"/>
  <c r="C31"/>
  <c r="C19"/>
  <c r="C33"/>
  <c r="C11"/>
  <c r="C25"/>
  <c r="C39"/>
  <c r="C61" i="19"/>
  <c r="G61"/>
  <c r="D61"/>
  <c r="L60"/>
  <c r="K60"/>
  <c r="F60"/>
  <c r="C59"/>
  <c r="H59"/>
  <c r="I59"/>
  <c r="J58"/>
  <c r="E58"/>
  <c r="B58"/>
  <c r="G57"/>
  <c r="D57"/>
  <c r="L56"/>
  <c r="K56"/>
  <c r="F56"/>
  <c r="C55"/>
  <c r="H55"/>
  <c r="I55"/>
  <c r="J54"/>
  <c r="E54"/>
  <c r="B54"/>
  <c r="G53"/>
  <c r="D53"/>
  <c r="L52"/>
  <c r="K52"/>
  <c r="F52"/>
  <c r="C51"/>
  <c r="H51"/>
  <c r="I51"/>
  <c r="J50"/>
  <c r="E50"/>
  <c r="B50"/>
  <c r="G49"/>
  <c r="D49"/>
  <c r="L48"/>
  <c r="K48"/>
  <c r="F48"/>
  <c r="C47"/>
  <c r="H47"/>
  <c r="I47"/>
  <c r="J46"/>
  <c r="E46"/>
  <c r="B46"/>
  <c r="G45"/>
  <c r="D45"/>
  <c r="L44"/>
  <c r="K44"/>
  <c r="F44"/>
  <c r="C43"/>
  <c r="H43"/>
  <c r="I43"/>
  <c r="K32"/>
  <c r="J35"/>
  <c r="K29"/>
  <c r="G27"/>
  <c r="D26"/>
  <c r="J23"/>
  <c r="B23"/>
  <c r="I28"/>
  <c r="E25"/>
  <c r="G17"/>
  <c r="D17"/>
  <c r="K22"/>
  <c r="C16"/>
  <c r="D16"/>
  <c r="L21"/>
  <c r="E21"/>
  <c r="G19"/>
  <c r="D19"/>
  <c r="J18"/>
  <c r="F18"/>
  <c r="C20"/>
  <c r="I20"/>
  <c r="E9"/>
  <c r="B9"/>
  <c r="G7"/>
  <c r="L61"/>
  <c r="K61"/>
  <c r="F61"/>
  <c r="C60"/>
  <c r="H60"/>
  <c r="I60"/>
  <c r="J59"/>
  <c r="E59"/>
  <c r="B59"/>
  <c r="G58"/>
  <c r="D58"/>
  <c r="L57"/>
  <c r="K57"/>
  <c r="F57"/>
  <c r="C56"/>
  <c r="H56"/>
  <c r="I56"/>
  <c r="J55"/>
  <c r="E55"/>
  <c r="B55"/>
  <c r="G54"/>
  <c r="D54"/>
  <c r="L53"/>
  <c r="K53"/>
  <c r="F53"/>
  <c r="C52"/>
  <c r="H52"/>
  <c r="I52"/>
  <c r="J51"/>
  <c r="E51"/>
  <c r="B51"/>
  <c r="G50"/>
  <c r="D50"/>
  <c r="L49"/>
  <c r="K49"/>
  <c r="F49"/>
  <c r="C48"/>
  <c r="H48"/>
  <c r="I48"/>
  <c r="J47"/>
  <c r="E47"/>
  <c r="B47"/>
  <c r="G46"/>
  <c r="D46"/>
  <c r="L45"/>
  <c r="K45"/>
  <c r="F45"/>
  <c r="C44"/>
  <c r="H44"/>
  <c r="I44"/>
  <c r="J43"/>
  <c r="E43"/>
  <c r="B43"/>
  <c r="B31"/>
  <c r="K34"/>
  <c r="J27"/>
  <c r="K26"/>
  <c r="C23"/>
  <c r="D25"/>
  <c r="F17"/>
  <c r="I22"/>
  <c r="B16"/>
  <c r="L19"/>
  <c r="F19"/>
  <c r="H18"/>
  <c r="E20"/>
  <c r="G9"/>
  <c r="L7"/>
  <c r="D7"/>
  <c r="J15"/>
  <c r="E15"/>
  <c r="B15"/>
  <c r="G14"/>
  <c r="I14"/>
  <c r="J6"/>
  <c r="E6"/>
  <c r="B6"/>
  <c r="G5"/>
  <c r="I5"/>
  <c r="K13"/>
  <c r="F13"/>
  <c r="G24"/>
  <c r="L10"/>
  <c r="E10"/>
  <c r="B10"/>
  <c r="G12"/>
  <c r="D12"/>
  <c r="J11"/>
  <c r="E11"/>
  <c r="B11"/>
  <c r="G3"/>
  <c r="D3"/>
  <c r="J2"/>
  <c r="E2"/>
  <c r="B2"/>
  <c r="G4"/>
  <c r="D4"/>
  <c r="L8"/>
  <c r="E8"/>
  <c r="D32"/>
  <c r="L27"/>
  <c r="C30"/>
  <c r="J26"/>
  <c r="D23"/>
  <c r="H25"/>
  <c r="J17"/>
  <c r="G22"/>
  <c r="F16"/>
  <c r="E19"/>
  <c r="D18"/>
  <c r="C9"/>
  <c r="I9"/>
  <c r="E7"/>
  <c r="G15"/>
  <c r="D15"/>
  <c r="J14"/>
  <c r="E14"/>
  <c r="B14"/>
  <c r="G6"/>
  <c r="I6"/>
  <c r="J5"/>
  <c r="E5"/>
  <c r="B5"/>
  <c r="G13"/>
  <c r="D13"/>
  <c r="L24"/>
  <c r="F24"/>
  <c r="C10"/>
  <c r="H10"/>
  <c r="L12"/>
  <c r="F12"/>
  <c r="C11"/>
  <c r="D11"/>
  <c r="J3"/>
  <c r="E3"/>
  <c r="B3"/>
  <c r="G2"/>
  <c r="D2"/>
  <c r="L4"/>
  <c r="E4"/>
  <c r="B4"/>
  <c r="G8"/>
  <c r="D8"/>
  <c r="H61"/>
  <c r="I61"/>
  <c r="J60"/>
  <c r="E60"/>
  <c r="B60"/>
  <c r="G59"/>
  <c r="D59"/>
  <c r="L58"/>
  <c r="K58"/>
  <c r="F58"/>
  <c r="C57"/>
  <c r="H57"/>
  <c r="I57"/>
  <c r="J56"/>
  <c r="E56"/>
  <c r="B56"/>
  <c r="G55"/>
  <c r="D55"/>
  <c r="L54"/>
  <c r="K54"/>
  <c r="F54"/>
  <c r="C53"/>
  <c r="H53"/>
  <c r="I53"/>
  <c r="J52"/>
  <c r="E52"/>
  <c r="B52"/>
  <c r="G51"/>
  <c r="D51"/>
  <c r="L50"/>
  <c r="K50"/>
  <c r="F50"/>
  <c r="C49"/>
  <c r="H49"/>
  <c r="I49"/>
  <c r="J48"/>
  <c r="E48"/>
  <c r="G47"/>
  <c r="L46"/>
  <c r="F46"/>
  <c r="H45"/>
  <c r="J44"/>
  <c r="B44"/>
  <c r="D43"/>
  <c r="H31"/>
  <c r="F29"/>
  <c r="I26"/>
  <c r="C28"/>
  <c r="C17"/>
  <c r="J22"/>
  <c r="H16"/>
  <c r="J21"/>
  <c r="H19"/>
  <c r="K18"/>
  <c r="H20"/>
  <c r="F9"/>
  <c r="H7"/>
  <c r="E61"/>
  <c r="G60"/>
  <c r="L59"/>
  <c r="F59"/>
  <c r="H58"/>
  <c r="J57"/>
  <c r="B57"/>
  <c r="D56"/>
  <c r="K55"/>
  <c r="C54"/>
  <c r="I54"/>
  <c r="E53"/>
  <c r="G52"/>
  <c r="L51"/>
  <c r="F51"/>
  <c r="H50"/>
  <c r="J49"/>
  <c r="B49"/>
  <c r="D48"/>
  <c r="K47"/>
  <c r="C46"/>
  <c r="I46"/>
  <c r="E45"/>
  <c r="G44"/>
  <c r="L43"/>
  <c r="F43"/>
  <c r="L34"/>
  <c r="E27"/>
  <c r="J28"/>
  <c r="C22"/>
  <c r="G21"/>
  <c r="C18"/>
  <c r="B20"/>
  <c r="K7"/>
  <c r="K15"/>
  <c r="C14"/>
  <c r="L6"/>
  <c r="F6"/>
  <c r="H5"/>
  <c r="E13"/>
  <c r="I24"/>
  <c r="F10"/>
  <c r="H12"/>
  <c r="K11"/>
  <c r="C3"/>
  <c r="I3"/>
  <c r="F2"/>
  <c r="H4"/>
  <c r="J8"/>
  <c r="L31"/>
  <c r="I30"/>
  <c r="L28"/>
  <c r="E17"/>
  <c r="H21"/>
  <c r="K20"/>
  <c r="J7"/>
  <c r="H15"/>
  <c r="K14"/>
  <c r="C6"/>
  <c r="L5"/>
  <c r="F5"/>
  <c r="H13"/>
  <c r="J24"/>
  <c r="G10"/>
  <c r="K12"/>
  <c r="H11"/>
  <c r="K3"/>
  <c r="C2"/>
  <c r="I2"/>
  <c r="F4"/>
  <c r="H8"/>
  <c r="B48"/>
  <c r="D47"/>
  <c r="K46"/>
  <c r="C45"/>
  <c r="I45"/>
  <c r="E44"/>
  <c r="G43"/>
  <c r="G33"/>
  <c r="E35"/>
  <c r="L30"/>
  <c r="K23"/>
  <c r="L25"/>
  <c r="H17"/>
  <c r="E22"/>
  <c r="I16"/>
  <c r="F21"/>
  <c r="L18"/>
  <c r="B18"/>
  <c r="L9"/>
  <c r="C7"/>
  <c r="J61"/>
  <c r="B61"/>
  <c r="D60"/>
  <c r="K59"/>
  <c r="C58"/>
  <c r="I58"/>
  <c r="E57"/>
  <c r="G56"/>
  <c r="L55"/>
  <c r="F55"/>
  <c r="H54"/>
  <c r="J53"/>
  <c r="B53"/>
  <c r="D52"/>
  <c r="K51"/>
  <c r="C50"/>
  <c r="I50"/>
  <c r="E49"/>
  <c r="G48"/>
  <c r="L47"/>
  <c r="F47"/>
  <c r="H46"/>
  <c r="J45"/>
  <c r="B45"/>
  <c r="D44"/>
  <c r="K43"/>
  <c r="L33"/>
  <c r="H29"/>
  <c r="F26"/>
  <c r="K17"/>
  <c r="J16"/>
  <c r="K19"/>
  <c r="J20"/>
  <c r="D9"/>
  <c r="I7"/>
  <c r="F15"/>
  <c r="D14"/>
  <c r="K6"/>
  <c r="C5"/>
  <c r="L13"/>
  <c r="B13"/>
  <c r="J10"/>
  <c r="C12"/>
  <c r="I12"/>
  <c r="F11"/>
  <c r="H3"/>
  <c r="K2"/>
  <c r="C4"/>
  <c r="I4"/>
  <c r="B8"/>
  <c r="F27"/>
  <c r="G23"/>
  <c r="I25"/>
  <c r="L16"/>
  <c r="B19"/>
  <c r="H9"/>
  <c r="B7"/>
  <c r="I15"/>
  <c r="F14"/>
  <c r="D6"/>
  <c r="K5"/>
  <c r="C13"/>
  <c r="I13"/>
  <c r="B24"/>
  <c r="D10"/>
  <c r="B12"/>
  <c r="I11"/>
  <c r="F3"/>
  <c r="H2"/>
  <c r="K4"/>
  <c r="C8"/>
  <c r="I8"/>
  <c r="V25" i="25" l="1"/>
  <c r="W24"/>
  <c r="X26"/>
  <c r="Y3" i="34"/>
  <c r="F3"/>
  <c r="G3"/>
  <c r="H3"/>
  <c r="I3"/>
  <c r="J3"/>
  <c r="K3"/>
  <c r="L3"/>
  <c r="M3"/>
  <c r="N3"/>
  <c r="O3"/>
  <c r="P3"/>
  <c r="Q3"/>
  <c r="R3"/>
  <c r="S3"/>
  <c r="T3"/>
  <c r="U3"/>
  <c r="V3"/>
  <c r="W3"/>
  <c r="X3"/>
  <c r="L26" i="12"/>
  <c r="K25"/>
  <c r="K26" i="21"/>
  <c r="K26" i="37"/>
  <c r="I25" i="14"/>
  <c r="K24" i="35"/>
  <c r="H24" i="36"/>
  <c r="H25" i="34"/>
  <c r="E4" i="25"/>
  <c r="E5"/>
  <c r="E6"/>
  <c r="E7"/>
  <c r="E8"/>
  <c r="E9"/>
  <c r="E10"/>
  <c r="E11"/>
  <c r="E12"/>
  <c r="E13"/>
  <c r="E14"/>
  <c r="E15"/>
  <c r="E16"/>
  <c r="E17"/>
  <c r="E18"/>
  <c r="E19"/>
  <c r="E20"/>
  <c r="F4"/>
  <c r="F5"/>
  <c r="F6"/>
  <c r="F7"/>
  <c r="F8"/>
  <c r="F9"/>
  <c r="F10"/>
  <c r="F11"/>
  <c r="F12"/>
  <c r="F13"/>
  <c r="F14"/>
  <c r="F15"/>
  <c r="F16"/>
  <c r="F17"/>
  <c r="F18"/>
  <c r="F19"/>
  <c r="F20"/>
  <c r="G4"/>
  <c r="G5"/>
  <c r="G6"/>
  <c r="G7"/>
  <c r="G8"/>
  <c r="G9"/>
  <c r="G10"/>
  <c r="G11"/>
  <c r="G12"/>
  <c r="G13"/>
  <c r="G14"/>
  <c r="G15"/>
  <c r="G16"/>
  <c r="G17"/>
  <c r="G18"/>
  <c r="G19"/>
  <c r="G20"/>
  <c r="H4"/>
  <c r="H5"/>
  <c r="H6"/>
  <c r="H7"/>
  <c r="H8"/>
  <c r="H9"/>
  <c r="H10"/>
  <c r="H11"/>
  <c r="H12"/>
  <c r="H13"/>
  <c r="H14"/>
  <c r="H15"/>
  <c r="H16"/>
  <c r="H17"/>
  <c r="H18"/>
  <c r="H19"/>
  <c r="H20"/>
  <c r="I4"/>
  <c r="I5"/>
  <c r="I6"/>
  <c r="I7"/>
  <c r="I8"/>
  <c r="I9"/>
  <c r="I10"/>
  <c r="I11"/>
  <c r="I12"/>
  <c r="I13"/>
  <c r="I14"/>
  <c r="I15"/>
  <c r="I16"/>
  <c r="I17"/>
  <c r="I18"/>
  <c r="I19"/>
  <c r="I20"/>
  <c r="J4"/>
  <c r="J5"/>
  <c r="J6"/>
  <c r="J7"/>
  <c r="J8"/>
  <c r="J9"/>
  <c r="J10"/>
  <c r="J11"/>
  <c r="J12"/>
  <c r="J13"/>
  <c r="J14"/>
  <c r="J15"/>
  <c r="J16"/>
  <c r="J17"/>
  <c r="J18"/>
  <c r="J19"/>
  <c r="J20"/>
  <c r="K4"/>
  <c r="K5"/>
  <c r="K6"/>
  <c r="K7"/>
  <c r="K8"/>
  <c r="K9"/>
  <c r="K10"/>
  <c r="K11"/>
  <c r="K12"/>
  <c r="K14"/>
  <c r="K15"/>
  <c r="K16"/>
  <c r="K17"/>
  <c r="K18"/>
  <c r="K19"/>
  <c r="K20"/>
  <c r="L4"/>
  <c r="L5"/>
  <c r="L6"/>
  <c r="L7"/>
  <c r="L8"/>
  <c r="L9"/>
  <c r="L10"/>
  <c r="L11"/>
  <c r="L12"/>
  <c r="L14"/>
  <c r="L15"/>
  <c r="L16"/>
  <c r="L17"/>
  <c r="L18"/>
  <c r="L19"/>
  <c r="L20"/>
  <c r="M4"/>
  <c r="M5"/>
  <c r="M6"/>
  <c r="M7"/>
  <c r="M8"/>
  <c r="M9"/>
  <c r="M10"/>
  <c r="M12"/>
  <c r="M14"/>
  <c r="M15"/>
  <c r="M16"/>
  <c r="M17"/>
  <c r="M18"/>
  <c r="M19"/>
  <c r="N4"/>
  <c r="N5"/>
  <c r="N6"/>
  <c r="N7"/>
  <c r="N8"/>
  <c r="N9"/>
  <c r="N10"/>
  <c r="N12"/>
  <c r="N14"/>
  <c r="N15"/>
  <c r="N16"/>
  <c r="N17"/>
  <c r="N18"/>
  <c r="N19"/>
  <c r="O4"/>
  <c r="O5"/>
  <c r="O6"/>
  <c r="O7"/>
  <c r="O8"/>
  <c r="O9"/>
  <c r="O10"/>
  <c r="O12"/>
  <c r="O14"/>
  <c r="O15"/>
  <c r="O16"/>
  <c r="O17"/>
  <c r="O18"/>
  <c r="O19"/>
  <c r="P4"/>
  <c r="P5"/>
  <c r="P6"/>
  <c r="P7"/>
  <c r="P8"/>
  <c r="P9"/>
  <c r="P10"/>
  <c r="P12"/>
  <c r="P14"/>
  <c r="P15"/>
  <c r="P16"/>
  <c r="P17"/>
  <c r="P18"/>
  <c r="P19"/>
  <c r="Q4"/>
  <c r="Q5"/>
  <c r="Q6"/>
  <c r="Q7"/>
  <c r="Q8"/>
  <c r="Q9"/>
  <c r="Q10"/>
  <c r="Q12"/>
  <c r="Q14"/>
  <c r="Q15"/>
  <c r="Q16"/>
  <c r="Q17"/>
  <c r="Q18"/>
  <c r="Q19"/>
  <c r="R4"/>
  <c r="R5"/>
  <c r="R6"/>
  <c r="R7"/>
  <c r="R8"/>
  <c r="R9"/>
  <c r="R10"/>
  <c r="R12"/>
  <c r="R14"/>
  <c r="R15"/>
  <c r="R16"/>
  <c r="R17"/>
  <c r="R18"/>
  <c r="R19"/>
  <c r="S4"/>
  <c r="S5"/>
  <c r="S6"/>
  <c r="S7"/>
  <c r="S8"/>
  <c r="S9"/>
  <c r="S10"/>
  <c r="S12"/>
  <c r="S14"/>
  <c r="S15"/>
  <c r="S16"/>
  <c r="S17"/>
  <c r="S18"/>
  <c r="S19"/>
  <c r="T4"/>
  <c r="T5"/>
  <c r="T6"/>
  <c r="T7"/>
  <c r="T8"/>
  <c r="T9"/>
  <c r="T10"/>
  <c r="T12"/>
  <c r="T14"/>
  <c r="T15"/>
  <c r="T16"/>
  <c r="T17"/>
  <c r="T18"/>
  <c r="T19"/>
  <c r="U4"/>
  <c r="U5"/>
  <c r="U6"/>
  <c r="U7"/>
  <c r="U8"/>
  <c r="U9"/>
  <c r="U10"/>
  <c r="U12"/>
  <c r="U14"/>
  <c r="U15"/>
  <c r="U16"/>
  <c r="U17"/>
  <c r="U18"/>
  <c r="U19"/>
  <c r="V4"/>
  <c r="V5"/>
  <c r="V6"/>
  <c r="V7"/>
  <c r="V8"/>
  <c r="V9"/>
  <c r="V10"/>
  <c r="V12"/>
  <c r="V14"/>
  <c r="V15"/>
  <c r="V16"/>
  <c r="V17"/>
  <c r="V18"/>
  <c r="V19"/>
  <c r="W4"/>
  <c r="W5"/>
  <c r="W6"/>
  <c r="W7"/>
  <c r="W8"/>
  <c r="W9"/>
  <c r="W10"/>
  <c r="W12"/>
  <c r="W14"/>
  <c r="W15"/>
  <c r="W16"/>
  <c r="W17"/>
  <c r="W18"/>
  <c r="W19"/>
  <c r="X4"/>
  <c r="X5"/>
  <c r="X6"/>
  <c r="X7"/>
  <c r="X8"/>
  <c r="X9"/>
  <c r="X10"/>
  <c r="X12"/>
  <c r="X14"/>
  <c r="X15"/>
  <c r="X16"/>
  <c r="X17"/>
  <c r="X18"/>
  <c r="X19"/>
  <c r="Y4"/>
  <c r="Y5"/>
  <c r="Y6"/>
  <c r="Y7"/>
  <c r="Y8"/>
  <c r="Y9"/>
  <c r="Y10"/>
  <c r="Y12"/>
  <c r="Y14"/>
  <c r="Y15"/>
  <c r="Y16"/>
  <c r="Y17"/>
  <c r="Y18"/>
  <c r="Y19"/>
  <c r="Z4"/>
  <c r="Z5"/>
  <c r="Z6"/>
  <c r="Z7"/>
  <c r="Z8"/>
  <c r="Z9"/>
  <c r="Z10"/>
  <c r="Z12"/>
  <c r="Z14"/>
  <c r="Z15"/>
  <c r="Z16"/>
  <c r="Z17"/>
  <c r="Z18"/>
  <c r="Z19"/>
  <c r="E4" i="14"/>
  <c r="E5"/>
  <c r="E6"/>
  <c r="E7"/>
  <c r="E8"/>
  <c r="E9"/>
  <c r="E10"/>
  <c r="E11"/>
  <c r="E12"/>
  <c r="E13"/>
  <c r="E14"/>
  <c r="E15"/>
  <c r="E16"/>
  <c r="E17"/>
  <c r="E18"/>
  <c r="E19"/>
  <c r="E20"/>
  <c r="F4"/>
  <c r="F5"/>
  <c r="F6"/>
  <c r="F7"/>
  <c r="F8"/>
  <c r="F9"/>
  <c r="F10"/>
  <c r="F11"/>
  <c r="F12"/>
  <c r="F13"/>
  <c r="F14"/>
  <c r="F15"/>
  <c r="F16"/>
  <c r="F17"/>
  <c r="F18"/>
  <c r="F19"/>
  <c r="F20"/>
  <c r="G4"/>
  <c r="G5"/>
  <c r="G6"/>
  <c r="G7"/>
  <c r="G8"/>
  <c r="G9"/>
  <c r="G10"/>
  <c r="G11"/>
  <c r="G12"/>
  <c r="G13"/>
  <c r="G14"/>
  <c r="G15"/>
  <c r="G16"/>
  <c r="G17"/>
  <c r="G18"/>
  <c r="G19"/>
  <c r="G20"/>
  <c r="H4"/>
  <c r="H5"/>
  <c r="H6"/>
  <c r="H7"/>
  <c r="H8"/>
  <c r="H9"/>
  <c r="H10"/>
  <c r="H11"/>
  <c r="H12"/>
  <c r="H13"/>
  <c r="H14"/>
  <c r="H15"/>
  <c r="H16"/>
  <c r="H17"/>
  <c r="H18"/>
  <c r="H19"/>
  <c r="H20"/>
  <c r="I4"/>
  <c r="I5"/>
  <c r="I6"/>
  <c r="I7"/>
  <c r="I8"/>
  <c r="I9"/>
  <c r="I10"/>
  <c r="I11"/>
  <c r="I12"/>
  <c r="I13"/>
  <c r="I14"/>
  <c r="I15"/>
  <c r="I16"/>
  <c r="I17"/>
  <c r="I18"/>
  <c r="I19"/>
  <c r="I20"/>
  <c r="J4"/>
  <c r="J5"/>
  <c r="J6"/>
  <c r="J7"/>
  <c r="J8"/>
  <c r="J9"/>
  <c r="J10"/>
  <c r="J11"/>
  <c r="J12"/>
  <c r="J13"/>
  <c r="J14"/>
  <c r="J15"/>
  <c r="J16"/>
  <c r="J17"/>
  <c r="J18"/>
  <c r="J19"/>
  <c r="J20"/>
  <c r="K4"/>
  <c r="K5"/>
  <c r="K6"/>
  <c r="K7"/>
  <c r="K8"/>
  <c r="K9"/>
  <c r="K10"/>
  <c r="K11"/>
  <c r="K12"/>
  <c r="K13"/>
  <c r="K14"/>
  <c r="K15"/>
  <c r="K16"/>
  <c r="K17"/>
  <c r="K18"/>
  <c r="K19"/>
  <c r="K20"/>
  <c r="L4"/>
  <c r="L5"/>
  <c r="L6"/>
  <c r="L7"/>
  <c r="L8"/>
  <c r="L9"/>
  <c r="L10"/>
  <c r="L11"/>
  <c r="L12"/>
  <c r="L13"/>
  <c r="L14"/>
  <c r="L15"/>
  <c r="L16"/>
  <c r="L17"/>
  <c r="L18"/>
  <c r="L19"/>
  <c r="L20"/>
  <c r="M4"/>
  <c r="M5"/>
  <c r="M6"/>
  <c r="M7"/>
  <c r="M9"/>
  <c r="M10"/>
  <c r="M11"/>
  <c r="M12"/>
  <c r="M13"/>
  <c r="M14"/>
  <c r="M15"/>
  <c r="M16"/>
  <c r="M17"/>
  <c r="M18"/>
  <c r="M19"/>
  <c r="M20"/>
  <c r="N4"/>
  <c r="N5"/>
  <c r="N6"/>
  <c r="N7"/>
  <c r="N9"/>
  <c r="N10"/>
  <c r="N11"/>
  <c r="N12"/>
  <c r="N13"/>
  <c r="N14"/>
  <c r="N15"/>
  <c r="N16"/>
  <c r="N17"/>
  <c r="N18"/>
  <c r="N19"/>
  <c r="N20"/>
  <c r="O4"/>
  <c r="O5"/>
  <c r="O6"/>
  <c r="O7"/>
  <c r="O9"/>
  <c r="O10"/>
  <c r="O11"/>
  <c r="O12"/>
  <c r="O13"/>
  <c r="O14"/>
  <c r="O15"/>
  <c r="O16"/>
  <c r="O17"/>
  <c r="O18"/>
  <c r="O19"/>
  <c r="O20"/>
  <c r="P4"/>
  <c r="P5"/>
  <c r="P6"/>
  <c r="P7"/>
  <c r="P9"/>
  <c r="P10"/>
  <c r="P11"/>
  <c r="P12"/>
  <c r="P13"/>
  <c r="P14"/>
  <c r="P15"/>
  <c r="P16"/>
  <c r="P17"/>
  <c r="P18"/>
  <c r="P19"/>
  <c r="P20"/>
  <c r="Q4"/>
  <c r="Q5"/>
  <c r="Q6"/>
  <c r="Q7"/>
  <c r="Q9"/>
  <c r="Q10"/>
  <c r="Q11"/>
  <c r="Q12"/>
  <c r="Q13"/>
  <c r="Q14"/>
  <c r="Q15"/>
  <c r="Q16"/>
  <c r="Q17"/>
  <c r="Q18"/>
  <c r="Q19"/>
  <c r="Q20"/>
  <c r="R4"/>
  <c r="R5"/>
  <c r="R6"/>
  <c r="R7"/>
  <c r="R9"/>
  <c r="R10"/>
  <c r="R11"/>
  <c r="R12"/>
  <c r="R13"/>
  <c r="R14"/>
  <c r="R15"/>
  <c r="R16"/>
  <c r="R17"/>
  <c r="R18"/>
  <c r="R19"/>
  <c r="R20"/>
  <c r="S4"/>
  <c r="S5"/>
  <c r="S6"/>
  <c r="S7"/>
  <c r="S9"/>
  <c r="S10"/>
  <c r="S11"/>
  <c r="S12"/>
  <c r="S13"/>
  <c r="S14"/>
  <c r="S15"/>
  <c r="S16"/>
  <c r="S17"/>
  <c r="S18"/>
  <c r="S19"/>
  <c r="S20"/>
  <c r="T4"/>
  <c r="T5"/>
  <c r="T6"/>
  <c r="T7"/>
  <c r="T9"/>
  <c r="T10"/>
  <c r="T11"/>
  <c r="T12"/>
  <c r="T13"/>
  <c r="T14"/>
  <c r="T15"/>
  <c r="T16"/>
  <c r="T17"/>
  <c r="T18"/>
  <c r="U4"/>
  <c r="U5"/>
  <c r="U6"/>
  <c r="U7"/>
  <c r="U9"/>
  <c r="U10"/>
  <c r="U11"/>
  <c r="U12"/>
  <c r="U13"/>
  <c r="U14"/>
  <c r="U15"/>
  <c r="U16"/>
  <c r="U17"/>
  <c r="U18"/>
  <c r="V4"/>
  <c r="V5"/>
  <c r="V6"/>
  <c r="V7"/>
  <c r="V9"/>
  <c r="V10"/>
  <c r="V11"/>
  <c r="V12"/>
  <c r="V13"/>
  <c r="V14"/>
  <c r="V15"/>
  <c r="V16"/>
  <c r="V17"/>
  <c r="V18"/>
  <c r="W4"/>
  <c r="W5"/>
  <c r="W6"/>
  <c r="W7"/>
  <c r="W9"/>
  <c r="W10"/>
  <c r="W11"/>
  <c r="W12"/>
  <c r="W13"/>
  <c r="W14"/>
  <c r="W15"/>
  <c r="W16"/>
  <c r="W17"/>
  <c r="W18"/>
  <c r="X4"/>
  <c r="X5"/>
  <c r="X6"/>
  <c r="X7"/>
  <c r="X9"/>
  <c r="X10"/>
  <c r="X11"/>
  <c r="X12"/>
  <c r="X13"/>
  <c r="X14"/>
  <c r="X15"/>
  <c r="X16"/>
  <c r="X17"/>
  <c r="X18"/>
  <c r="Y4"/>
  <c r="Y5"/>
  <c r="Y6"/>
  <c r="Y7"/>
  <c r="Y9"/>
  <c r="Y10"/>
  <c r="Y11"/>
  <c r="Y12"/>
  <c r="Y13"/>
  <c r="Y14"/>
  <c r="Y15"/>
  <c r="Y16"/>
  <c r="Y17"/>
  <c r="Y18"/>
  <c r="Z4"/>
  <c r="Z5"/>
  <c r="Z6"/>
  <c r="Z7"/>
  <c r="Z9"/>
  <c r="Z10"/>
  <c r="Z11"/>
  <c r="Z12"/>
  <c r="Z13"/>
  <c r="Z14"/>
  <c r="Z15"/>
  <c r="Z16"/>
  <c r="Z17"/>
  <c r="Z18"/>
  <c r="E4" i="16"/>
  <c r="E5"/>
  <c r="E6"/>
  <c r="E7"/>
  <c r="E8"/>
  <c r="E9"/>
  <c r="E10"/>
  <c r="E11"/>
  <c r="E12"/>
  <c r="E13"/>
  <c r="E14"/>
  <c r="E15"/>
  <c r="E16"/>
  <c r="E17"/>
  <c r="E18"/>
  <c r="E19"/>
  <c r="E20"/>
  <c r="F4"/>
  <c r="F5"/>
  <c r="F6"/>
  <c r="F7"/>
  <c r="F8"/>
  <c r="F9"/>
  <c r="F10"/>
  <c r="F11"/>
  <c r="F12"/>
  <c r="F13"/>
  <c r="F14"/>
  <c r="F15"/>
  <c r="F16"/>
  <c r="F17"/>
  <c r="F18"/>
  <c r="F19"/>
  <c r="F20"/>
  <c r="G4"/>
  <c r="G5"/>
  <c r="G6"/>
  <c r="G7"/>
  <c r="G8"/>
  <c r="G9"/>
  <c r="G10"/>
  <c r="G11"/>
  <c r="G12"/>
  <c r="G13"/>
  <c r="G14"/>
  <c r="G15"/>
  <c r="G16"/>
  <c r="G17"/>
  <c r="G18"/>
  <c r="G19"/>
  <c r="G20"/>
  <c r="H4"/>
  <c r="H5"/>
  <c r="H6"/>
  <c r="H7"/>
  <c r="H8"/>
  <c r="H9"/>
  <c r="H10"/>
  <c r="H11"/>
  <c r="H12"/>
  <c r="H13"/>
  <c r="H14"/>
  <c r="H15"/>
  <c r="H16"/>
  <c r="H17"/>
  <c r="H18"/>
  <c r="H19"/>
  <c r="H20"/>
  <c r="I4"/>
  <c r="I5"/>
  <c r="I6"/>
  <c r="I7"/>
  <c r="I8"/>
  <c r="I9"/>
  <c r="I10"/>
  <c r="I11"/>
  <c r="I12"/>
  <c r="I13"/>
  <c r="I14"/>
  <c r="I15"/>
  <c r="I16"/>
  <c r="I17"/>
  <c r="I18"/>
  <c r="I19"/>
  <c r="I20"/>
  <c r="J4"/>
  <c r="J5"/>
  <c r="J6"/>
  <c r="J7"/>
  <c r="J8"/>
  <c r="J9"/>
  <c r="J10"/>
  <c r="J11"/>
  <c r="J12"/>
  <c r="J13"/>
  <c r="J14"/>
  <c r="J15"/>
  <c r="J16"/>
  <c r="J17"/>
  <c r="J18"/>
  <c r="J19"/>
  <c r="J20"/>
  <c r="K4"/>
  <c r="K5"/>
  <c r="K6"/>
  <c r="K7"/>
  <c r="K8"/>
  <c r="K9"/>
  <c r="K10"/>
  <c r="K11"/>
  <c r="K12"/>
  <c r="K13"/>
  <c r="K14"/>
  <c r="K15"/>
  <c r="K16"/>
  <c r="K17"/>
  <c r="K18"/>
  <c r="K19"/>
  <c r="K20"/>
  <c r="L4"/>
  <c r="L5"/>
  <c r="L6"/>
  <c r="L7"/>
  <c r="L8"/>
  <c r="L9"/>
  <c r="L10"/>
  <c r="L11"/>
  <c r="L12"/>
  <c r="L13"/>
  <c r="L14"/>
  <c r="L15"/>
  <c r="L16"/>
  <c r="L17"/>
  <c r="L18"/>
  <c r="L19"/>
  <c r="L20"/>
  <c r="M4"/>
  <c r="M5"/>
  <c r="M6"/>
  <c r="M7"/>
  <c r="M8"/>
  <c r="M9"/>
  <c r="M10"/>
  <c r="M11"/>
  <c r="M12"/>
  <c r="M13"/>
  <c r="M14"/>
  <c r="M15"/>
  <c r="M16"/>
  <c r="M17"/>
  <c r="M18"/>
  <c r="M19"/>
  <c r="M20"/>
  <c r="N4"/>
  <c r="N5"/>
  <c r="N6"/>
  <c r="N7"/>
  <c r="N8"/>
  <c r="N9"/>
  <c r="N10"/>
  <c r="N11"/>
  <c r="N12"/>
  <c r="N13"/>
  <c r="N14"/>
  <c r="N15"/>
  <c r="N16"/>
  <c r="N17"/>
  <c r="N18"/>
  <c r="N19"/>
  <c r="N20"/>
  <c r="O4"/>
  <c r="O5"/>
  <c r="O6"/>
  <c r="O7"/>
  <c r="O8"/>
  <c r="O9"/>
  <c r="O10"/>
  <c r="O11"/>
  <c r="O12"/>
  <c r="O13"/>
  <c r="O14"/>
  <c r="O15"/>
  <c r="O16"/>
  <c r="O17"/>
  <c r="O18"/>
  <c r="O19"/>
  <c r="O20"/>
  <c r="P4"/>
  <c r="P5"/>
  <c r="P6"/>
  <c r="P7"/>
  <c r="P8"/>
  <c r="P9"/>
  <c r="P10"/>
  <c r="P11"/>
  <c r="P12"/>
  <c r="P13"/>
  <c r="P14"/>
  <c r="P15"/>
  <c r="P16"/>
  <c r="P17"/>
  <c r="P19"/>
  <c r="P20"/>
  <c r="Q4"/>
  <c r="Q5"/>
  <c r="Q6"/>
  <c r="Q7"/>
  <c r="Q8"/>
  <c r="Q9"/>
  <c r="Q10"/>
  <c r="Q11"/>
  <c r="Q12"/>
  <c r="Q13"/>
  <c r="Q14"/>
  <c r="Q15"/>
  <c r="Q16"/>
  <c r="Q17"/>
  <c r="Q19"/>
  <c r="Q20"/>
  <c r="R4"/>
  <c r="R5"/>
  <c r="R6"/>
  <c r="R7"/>
  <c r="R8"/>
  <c r="R9"/>
  <c r="R10"/>
  <c r="R11"/>
  <c r="R12"/>
  <c r="R13"/>
  <c r="R14"/>
  <c r="R15"/>
  <c r="R16"/>
  <c r="R17"/>
  <c r="R19"/>
  <c r="R20"/>
  <c r="S4"/>
  <c r="S5"/>
  <c r="S6"/>
  <c r="S7"/>
  <c r="S8"/>
  <c r="S9"/>
  <c r="S10"/>
  <c r="S11"/>
  <c r="S12"/>
  <c r="S13"/>
  <c r="S14"/>
  <c r="S15"/>
  <c r="S16"/>
  <c r="S17"/>
  <c r="S19"/>
  <c r="S20"/>
  <c r="T4"/>
  <c r="T5"/>
  <c r="T6"/>
  <c r="T7"/>
  <c r="T8"/>
  <c r="T9"/>
  <c r="T10"/>
  <c r="T11"/>
  <c r="T12"/>
  <c r="T13"/>
  <c r="T14"/>
  <c r="T15"/>
  <c r="T16"/>
  <c r="T17"/>
  <c r="T19"/>
  <c r="T20"/>
  <c r="U4"/>
  <c r="U6"/>
  <c r="U7"/>
  <c r="U8"/>
  <c r="U9"/>
  <c r="U10"/>
  <c r="U11"/>
  <c r="U12"/>
  <c r="U13"/>
  <c r="U14"/>
  <c r="U15"/>
  <c r="U16"/>
  <c r="U17"/>
  <c r="U19"/>
  <c r="U20"/>
  <c r="V4"/>
  <c r="V6"/>
  <c r="V7"/>
  <c r="V8"/>
  <c r="V9"/>
  <c r="V10"/>
  <c r="V11"/>
  <c r="V12"/>
  <c r="V13"/>
  <c r="V14"/>
  <c r="V15"/>
  <c r="V16"/>
  <c r="V17"/>
  <c r="V19"/>
  <c r="V20"/>
  <c r="W4"/>
  <c r="W6"/>
  <c r="W7"/>
  <c r="W8"/>
  <c r="W9"/>
  <c r="W10"/>
  <c r="W11"/>
  <c r="W12"/>
  <c r="W13"/>
  <c r="W14"/>
  <c r="W15"/>
  <c r="W16"/>
  <c r="W17"/>
  <c r="W19"/>
  <c r="W20"/>
  <c r="X4"/>
  <c r="X6"/>
  <c r="X7"/>
  <c r="X8"/>
  <c r="X9"/>
  <c r="X10"/>
  <c r="X11"/>
  <c r="X12"/>
  <c r="X13"/>
  <c r="X14"/>
  <c r="X15"/>
  <c r="X16"/>
  <c r="X17"/>
  <c r="X19"/>
  <c r="X20"/>
  <c r="Y4"/>
  <c r="Y6"/>
  <c r="Y7"/>
  <c r="Y8"/>
  <c r="Y9"/>
  <c r="Y10"/>
  <c r="Y11"/>
  <c r="Y12"/>
  <c r="Y13"/>
  <c r="Y14"/>
  <c r="Y15"/>
  <c r="Y16"/>
  <c r="Y17"/>
  <c r="Y19"/>
  <c r="Y20"/>
  <c r="Z4"/>
  <c r="Z6"/>
  <c r="Z7"/>
  <c r="Z8"/>
  <c r="Z9"/>
  <c r="Z10"/>
  <c r="Z11"/>
  <c r="Z12"/>
  <c r="Z13"/>
  <c r="Z14"/>
  <c r="Z15"/>
  <c r="Z16"/>
  <c r="Z17"/>
  <c r="Z19"/>
  <c r="Z20"/>
  <c r="E4" i="36"/>
  <c r="E5"/>
  <c r="E6"/>
  <c r="E7"/>
  <c r="E8"/>
  <c r="E9"/>
  <c r="E10"/>
  <c r="E11"/>
  <c r="E12"/>
  <c r="E13"/>
  <c r="E14"/>
  <c r="E15"/>
  <c r="E16"/>
  <c r="E17"/>
  <c r="E18"/>
  <c r="E19"/>
  <c r="E20"/>
  <c r="F4"/>
  <c r="F5"/>
  <c r="F6"/>
  <c r="F7"/>
  <c r="F8"/>
  <c r="F9"/>
  <c r="F10"/>
  <c r="F11"/>
  <c r="F12"/>
  <c r="F13"/>
  <c r="F14"/>
  <c r="F15"/>
  <c r="F16"/>
  <c r="F17"/>
  <c r="F18"/>
  <c r="F19"/>
  <c r="F20"/>
  <c r="G4"/>
  <c r="G5"/>
  <c r="G6"/>
  <c r="G7"/>
  <c r="G8"/>
  <c r="G9"/>
  <c r="G10"/>
  <c r="G11"/>
  <c r="G12"/>
  <c r="G13"/>
  <c r="G14"/>
  <c r="G15"/>
  <c r="G16"/>
  <c r="G17"/>
  <c r="G18"/>
  <c r="G19"/>
  <c r="G20"/>
  <c r="H4"/>
  <c r="H5"/>
  <c r="H6"/>
  <c r="H7"/>
  <c r="H8"/>
  <c r="H9"/>
  <c r="H10"/>
  <c r="H11"/>
  <c r="H12"/>
  <c r="H13"/>
  <c r="H14"/>
  <c r="H15"/>
  <c r="H16"/>
  <c r="H17"/>
  <c r="H18"/>
  <c r="H19"/>
  <c r="H20"/>
  <c r="I4"/>
  <c r="I5"/>
  <c r="I6"/>
  <c r="I7"/>
  <c r="I9"/>
  <c r="I10"/>
  <c r="I11"/>
  <c r="I12"/>
  <c r="I13"/>
  <c r="I14"/>
  <c r="I15"/>
  <c r="I16"/>
  <c r="I17"/>
  <c r="I18"/>
  <c r="I19"/>
  <c r="I20"/>
  <c r="J4"/>
  <c r="J5"/>
  <c r="J6"/>
  <c r="J7"/>
  <c r="J9"/>
  <c r="J10"/>
  <c r="J11"/>
  <c r="J12"/>
  <c r="J13"/>
  <c r="J14"/>
  <c r="J15"/>
  <c r="J16"/>
  <c r="J17"/>
  <c r="J18"/>
  <c r="J19"/>
  <c r="J20"/>
  <c r="K4"/>
  <c r="K5"/>
  <c r="K6"/>
  <c r="K7"/>
  <c r="K9"/>
  <c r="K10"/>
  <c r="K11"/>
  <c r="K12"/>
  <c r="K13"/>
  <c r="K14"/>
  <c r="K15"/>
  <c r="K16"/>
  <c r="K17"/>
  <c r="K18"/>
  <c r="K19"/>
  <c r="K20"/>
  <c r="L4"/>
  <c r="L5"/>
  <c r="L6"/>
  <c r="L9"/>
  <c r="L10"/>
  <c r="L11"/>
  <c r="L13"/>
  <c r="L14"/>
  <c r="L15"/>
  <c r="L16"/>
  <c r="L17"/>
  <c r="L18"/>
  <c r="L19"/>
  <c r="L20"/>
  <c r="M4"/>
  <c r="M5"/>
  <c r="M6"/>
  <c r="M9"/>
  <c r="M10"/>
  <c r="M11"/>
  <c r="M13"/>
  <c r="M14"/>
  <c r="M15"/>
  <c r="M16"/>
  <c r="M17"/>
  <c r="M18"/>
  <c r="M19"/>
  <c r="M20"/>
  <c r="N4"/>
  <c r="N5"/>
  <c r="N6"/>
  <c r="N9"/>
  <c r="N10"/>
  <c r="N11"/>
  <c r="N13"/>
  <c r="N14"/>
  <c r="N15"/>
  <c r="N16"/>
  <c r="N17"/>
  <c r="N18"/>
  <c r="N19"/>
  <c r="N20"/>
  <c r="O4"/>
  <c r="O5"/>
  <c r="O6"/>
  <c r="O9"/>
  <c r="O10"/>
  <c r="O11"/>
  <c r="O13"/>
  <c r="O14"/>
  <c r="O15"/>
  <c r="O16"/>
  <c r="O17"/>
  <c r="O18"/>
  <c r="O19"/>
  <c r="O20"/>
  <c r="P4"/>
  <c r="P5"/>
  <c r="P6"/>
  <c r="P9"/>
  <c r="P10"/>
  <c r="P11"/>
  <c r="P13"/>
  <c r="P14"/>
  <c r="P15"/>
  <c r="P16"/>
  <c r="P17"/>
  <c r="P18"/>
  <c r="P19"/>
  <c r="P20"/>
  <c r="Q4"/>
  <c r="Q5"/>
  <c r="Q6"/>
  <c r="Q9"/>
  <c r="Q10"/>
  <c r="Q11"/>
  <c r="Q13"/>
  <c r="Q14"/>
  <c r="Q15"/>
  <c r="Q16"/>
  <c r="Q17"/>
  <c r="Q18"/>
  <c r="Q19"/>
  <c r="Q20"/>
  <c r="R4"/>
  <c r="R5"/>
  <c r="R6"/>
  <c r="R9"/>
  <c r="R10"/>
  <c r="R11"/>
  <c r="R13"/>
  <c r="R14"/>
  <c r="R15"/>
  <c r="R16"/>
  <c r="R17"/>
  <c r="R18"/>
  <c r="R19"/>
  <c r="R20"/>
  <c r="S4"/>
  <c r="S5"/>
  <c r="S6"/>
  <c r="S9"/>
  <c r="S10"/>
  <c r="S11"/>
  <c r="S13"/>
  <c r="S14"/>
  <c r="S15"/>
  <c r="S16"/>
  <c r="S17"/>
  <c r="S18"/>
  <c r="S19"/>
  <c r="S20"/>
  <c r="T4"/>
  <c r="T5"/>
  <c r="T6"/>
  <c r="T9"/>
  <c r="T10"/>
  <c r="T11"/>
  <c r="T13"/>
  <c r="T14"/>
  <c r="T15"/>
  <c r="T16"/>
  <c r="T17"/>
  <c r="T18"/>
  <c r="T19"/>
  <c r="T20"/>
  <c r="U4"/>
  <c r="U5"/>
  <c r="U6"/>
  <c r="U9"/>
  <c r="U10"/>
  <c r="U11"/>
  <c r="U13"/>
  <c r="U14"/>
  <c r="U15"/>
  <c r="U16"/>
  <c r="U17"/>
  <c r="U18"/>
  <c r="U19"/>
  <c r="U20"/>
  <c r="V4"/>
  <c r="V5"/>
  <c r="V6"/>
  <c r="V9"/>
  <c r="V10"/>
  <c r="V11"/>
  <c r="V13"/>
  <c r="V14"/>
  <c r="V15"/>
  <c r="V16"/>
  <c r="V17"/>
  <c r="V18"/>
  <c r="V19"/>
  <c r="V20"/>
  <c r="W4"/>
  <c r="W5"/>
  <c r="W6"/>
  <c r="W9"/>
  <c r="W10"/>
  <c r="W11"/>
  <c r="W13"/>
  <c r="W14"/>
  <c r="W15"/>
  <c r="W16"/>
  <c r="W17"/>
  <c r="W18"/>
  <c r="W19"/>
  <c r="W20"/>
  <c r="X4"/>
  <c r="X5"/>
  <c r="X6"/>
  <c r="X9"/>
  <c r="X10"/>
  <c r="X11"/>
  <c r="X13"/>
  <c r="X14"/>
  <c r="X15"/>
  <c r="X16"/>
  <c r="X17"/>
  <c r="X18"/>
  <c r="X19"/>
  <c r="X20"/>
  <c r="Y4"/>
  <c r="Y5"/>
  <c r="Y6"/>
  <c r="Y9"/>
  <c r="Y10"/>
  <c r="Y11"/>
  <c r="Y13"/>
  <c r="Y14"/>
  <c r="Y15"/>
  <c r="Y16"/>
  <c r="Y17"/>
  <c r="Y18"/>
  <c r="Y19"/>
  <c r="Y20"/>
  <c r="Z4"/>
  <c r="Z5"/>
  <c r="Z6"/>
  <c r="Z9"/>
  <c r="Z10"/>
  <c r="Z11"/>
  <c r="Z13"/>
  <c r="Z14"/>
  <c r="Z15"/>
  <c r="Z16"/>
  <c r="Z17"/>
  <c r="Z18"/>
  <c r="Z19"/>
  <c r="Z20"/>
  <c r="E4" i="35"/>
  <c r="E5"/>
  <c r="E6"/>
  <c r="E7"/>
  <c r="E8"/>
  <c r="E9"/>
  <c r="E10"/>
  <c r="E11"/>
  <c r="E12"/>
  <c r="E13"/>
  <c r="E14"/>
  <c r="E15"/>
  <c r="E16"/>
  <c r="E17"/>
  <c r="E18"/>
  <c r="E19"/>
  <c r="E20"/>
  <c r="F4"/>
  <c r="F5"/>
  <c r="F6"/>
  <c r="F7"/>
  <c r="F8"/>
  <c r="F9"/>
  <c r="F10"/>
  <c r="F11"/>
  <c r="F12"/>
  <c r="F13"/>
  <c r="F14"/>
  <c r="F15"/>
  <c r="F16"/>
  <c r="F17"/>
  <c r="F18"/>
  <c r="F19"/>
  <c r="F20"/>
  <c r="G4"/>
  <c r="G5"/>
  <c r="G6"/>
  <c r="G7"/>
  <c r="G8"/>
  <c r="G9"/>
  <c r="G10"/>
  <c r="G11"/>
  <c r="G12"/>
  <c r="G13"/>
  <c r="G14"/>
  <c r="G15"/>
  <c r="G16"/>
  <c r="G17"/>
  <c r="G18"/>
  <c r="G19"/>
  <c r="G20"/>
  <c r="H4"/>
  <c r="H5"/>
  <c r="H6"/>
  <c r="H7"/>
  <c r="H8"/>
  <c r="H9"/>
  <c r="H10"/>
  <c r="H11"/>
  <c r="H12"/>
  <c r="H13"/>
  <c r="H14"/>
  <c r="H15"/>
  <c r="H16"/>
  <c r="H17"/>
  <c r="H18"/>
  <c r="H19"/>
  <c r="H20"/>
  <c r="I4"/>
  <c r="I5"/>
  <c r="I6"/>
  <c r="I7"/>
  <c r="I8"/>
  <c r="I9"/>
  <c r="I10"/>
  <c r="I11"/>
  <c r="I12"/>
  <c r="I13"/>
  <c r="I14"/>
  <c r="I15"/>
  <c r="I16"/>
  <c r="I17"/>
  <c r="I18"/>
  <c r="I19"/>
  <c r="I20"/>
  <c r="J4"/>
  <c r="J5"/>
  <c r="J6"/>
  <c r="J7"/>
  <c r="J8"/>
  <c r="J9"/>
  <c r="J10"/>
  <c r="J11"/>
  <c r="J12"/>
  <c r="J14"/>
  <c r="J15"/>
  <c r="J16"/>
  <c r="J17"/>
  <c r="J18"/>
  <c r="J19"/>
  <c r="J20"/>
  <c r="K4"/>
  <c r="K5"/>
  <c r="K6"/>
  <c r="K7"/>
  <c r="K8"/>
  <c r="K9"/>
  <c r="K10"/>
  <c r="K11"/>
  <c r="K12"/>
  <c r="K14"/>
  <c r="K15"/>
  <c r="K16"/>
  <c r="K17"/>
  <c r="K18"/>
  <c r="K19"/>
  <c r="K20"/>
  <c r="L4"/>
  <c r="L5"/>
  <c r="L6"/>
  <c r="L7"/>
  <c r="L8"/>
  <c r="L9"/>
  <c r="L10"/>
  <c r="L11"/>
  <c r="L12"/>
  <c r="L14"/>
  <c r="L15"/>
  <c r="L16"/>
  <c r="L17"/>
  <c r="L18"/>
  <c r="L19"/>
  <c r="L20"/>
  <c r="M4"/>
  <c r="M5"/>
  <c r="M6"/>
  <c r="M7"/>
  <c r="M8"/>
  <c r="M9"/>
  <c r="M10"/>
  <c r="M11"/>
  <c r="M12"/>
  <c r="M14"/>
  <c r="M15"/>
  <c r="M16"/>
  <c r="M17"/>
  <c r="M18"/>
  <c r="M19"/>
  <c r="M20"/>
  <c r="N4"/>
  <c r="N5"/>
  <c r="N6"/>
  <c r="N7"/>
  <c r="N8"/>
  <c r="N9"/>
  <c r="N10"/>
  <c r="N11"/>
  <c r="N12"/>
  <c r="N14"/>
  <c r="N15"/>
  <c r="N16"/>
  <c r="N17"/>
  <c r="N18"/>
  <c r="N19"/>
  <c r="O4"/>
  <c r="O5"/>
  <c r="O6"/>
  <c r="O7"/>
  <c r="O8"/>
  <c r="O9"/>
  <c r="O10"/>
  <c r="O11"/>
  <c r="O12"/>
  <c r="O14"/>
  <c r="O15"/>
  <c r="O16"/>
  <c r="O17"/>
  <c r="O18"/>
  <c r="O19"/>
  <c r="P4"/>
  <c r="P5"/>
  <c r="P6"/>
  <c r="P7"/>
  <c r="P8"/>
  <c r="P9"/>
  <c r="P10"/>
  <c r="P11"/>
  <c r="P12"/>
  <c r="P14"/>
  <c r="P15"/>
  <c r="P16"/>
  <c r="P17"/>
  <c r="P18"/>
  <c r="P19"/>
  <c r="Q4"/>
  <c r="Q5"/>
  <c r="Q6"/>
  <c r="Q7"/>
  <c r="Q8"/>
  <c r="Q9"/>
  <c r="Q10"/>
  <c r="Q11"/>
  <c r="Q14"/>
  <c r="Q15"/>
  <c r="Q16"/>
  <c r="Q17"/>
  <c r="Q18"/>
  <c r="Q19"/>
  <c r="R4"/>
  <c r="R5"/>
  <c r="R6"/>
  <c r="R7"/>
  <c r="R8"/>
  <c r="R9"/>
  <c r="R10"/>
  <c r="R11"/>
  <c r="R14"/>
  <c r="R15"/>
  <c r="R16"/>
  <c r="R17"/>
  <c r="R18"/>
  <c r="R19"/>
  <c r="S4"/>
  <c r="S5"/>
  <c r="S6"/>
  <c r="S7"/>
  <c r="S8"/>
  <c r="S9"/>
  <c r="S10"/>
  <c r="S11"/>
  <c r="S14"/>
  <c r="S15"/>
  <c r="S16"/>
  <c r="S17"/>
  <c r="S18"/>
  <c r="S19"/>
  <c r="T4"/>
  <c r="T5"/>
  <c r="T6"/>
  <c r="T7"/>
  <c r="T8"/>
  <c r="T9"/>
  <c r="T10"/>
  <c r="T11"/>
  <c r="T14"/>
  <c r="T15"/>
  <c r="T16"/>
  <c r="T17"/>
  <c r="T18"/>
  <c r="T19"/>
  <c r="U4"/>
  <c r="U5"/>
  <c r="U6"/>
  <c r="U7"/>
  <c r="U8"/>
  <c r="U9"/>
  <c r="U10"/>
  <c r="U11"/>
  <c r="U14"/>
  <c r="U15"/>
  <c r="U16"/>
  <c r="U17"/>
  <c r="U18"/>
  <c r="U19"/>
  <c r="V4"/>
  <c r="V5"/>
  <c r="V6"/>
  <c r="V7"/>
  <c r="V8"/>
  <c r="V9"/>
  <c r="V10"/>
  <c r="V11"/>
  <c r="V14"/>
  <c r="V15"/>
  <c r="V16"/>
  <c r="V17"/>
  <c r="V18"/>
  <c r="V19"/>
  <c r="W4"/>
  <c r="W5"/>
  <c r="W6"/>
  <c r="W7"/>
  <c r="W8"/>
  <c r="W9"/>
  <c r="W10"/>
  <c r="W11"/>
  <c r="W14"/>
  <c r="W15"/>
  <c r="W16"/>
  <c r="W17"/>
  <c r="W18"/>
  <c r="W19"/>
  <c r="X4"/>
  <c r="X5"/>
  <c r="X6"/>
  <c r="X7"/>
  <c r="X8"/>
  <c r="X9"/>
  <c r="X10"/>
  <c r="X11"/>
  <c r="X14"/>
  <c r="X15"/>
  <c r="X16"/>
  <c r="X17"/>
  <c r="X18"/>
  <c r="X19"/>
  <c r="Y4"/>
  <c r="Y5"/>
  <c r="Y6"/>
  <c r="Y7"/>
  <c r="Y8"/>
  <c r="Y9"/>
  <c r="Y10"/>
  <c r="Y11"/>
  <c r="Y14"/>
  <c r="Y15"/>
  <c r="Y16"/>
  <c r="Y17"/>
  <c r="Y18"/>
  <c r="Y19"/>
  <c r="Z4"/>
  <c r="Z5"/>
  <c r="Z6"/>
  <c r="Z7"/>
  <c r="Z8"/>
  <c r="Z9"/>
  <c r="Z10"/>
  <c r="Z11"/>
  <c r="Z14"/>
  <c r="Z15"/>
  <c r="Z16"/>
  <c r="Z17"/>
  <c r="Z18"/>
  <c r="Z19"/>
  <c r="E4" i="12"/>
  <c r="E5"/>
  <c r="E6"/>
  <c r="E7"/>
  <c r="E8"/>
  <c r="E9"/>
  <c r="E10"/>
  <c r="E11"/>
  <c r="E12"/>
  <c r="E13"/>
  <c r="E14"/>
  <c r="E15"/>
  <c r="E16"/>
  <c r="E17"/>
  <c r="E18"/>
  <c r="E19"/>
  <c r="E20"/>
  <c r="F4"/>
  <c r="F5"/>
  <c r="F6"/>
  <c r="F7"/>
  <c r="F8"/>
  <c r="F9"/>
  <c r="F10"/>
  <c r="F11"/>
  <c r="F12"/>
  <c r="F13"/>
  <c r="F14"/>
  <c r="F15"/>
  <c r="F16"/>
  <c r="F17"/>
  <c r="F18"/>
  <c r="F19"/>
  <c r="F20"/>
  <c r="G4"/>
  <c r="G5"/>
  <c r="G6"/>
  <c r="G7"/>
  <c r="G8"/>
  <c r="G9"/>
  <c r="G10"/>
  <c r="G11"/>
  <c r="G12"/>
  <c r="G13"/>
  <c r="G14"/>
  <c r="G15"/>
  <c r="G16"/>
  <c r="G17"/>
  <c r="G18"/>
  <c r="G19"/>
  <c r="G20"/>
  <c r="H4"/>
  <c r="H5"/>
  <c r="H6"/>
  <c r="H7"/>
  <c r="H8"/>
  <c r="H9"/>
  <c r="H10"/>
  <c r="H11"/>
  <c r="H12"/>
  <c r="H13"/>
  <c r="H14"/>
  <c r="H15"/>
  <c r="H16"/>
  <c r="H17"/>
  <c r="H18"/>
  <c r="H19"/>
  <c r="H20"/>
  <c r="I4"/>
  <c r="I5"/>
  <c r="I6"/>
  <c r="I7"/>
  <c r="I8"/>
  <c r="I9"/>
  <c r="I10"/>
  <c r="I11"/>
  <c r="I12"/>
  <c r="I13"/>
  <c r="I14"/>
  <c r="I15"/>
  <c r="I16"/>
  <c r="I17"/>
  <c r="I18"/>
  <c r="I19"/>
  <c r="I20"/>
  <c r="J4"/>
  <c r="J5"/>
  <c r="J6"/>
  <c r="J7"/>
  <c r="J8"/>
  <c r="J9"/>
  <c r="J10"/>
  <c r="J11"/>
  <c r="J12"/>
  <c r="J13"/>
  <c r="J14"/>
  <c r="J15"/>
  <c r="J16"/>
  <c r="J17"/>
  <c r="J18"/>
  <c r="J19"/>
  <c r="J20"/>
  <c r="K4"/>
  <c r="K5"/>
  <c r="K6"/>
  <c r="K7"/>
  <c r="K8"/>
  <c r="K9"/>
  <c r="K10"/>
  <c r="K11"/>
  <c r="K12"/>
  <c r="K13"/>
  <c r="K14"/>
  <c r="K15"/>
  <c r="K16"/>
  <c r="K17"/>
  <c r="K18"/>
  <c r="K19"/>
  <c r="K20"/>
  <c r="L4"/>
  <c r="L5"/>
  <c r="L6"/>
  <c r="L7"/>
  <c r="L8"/>
  <c r="L9"/>
  <c r="L10"/>
  <c r="L11"/>
  <c r="L12"/>
  <c r="L13"/>
  <c r="L14"/>
  <c r="L15"/>
  <c r="L16"/>
  <c r="L17"/>
  <c r="L18"/>
  <c r="L19"/>
  <c r="L20"/>
  <c r="M4"/>
  <c r="M5"/>
  <c r="M6"/>
  <c r="M7"/>
  <c r="M8"/>
  <c r="M9"/>
  <c r="M10"/>
  <c r="M11"/>
  <c r="M12"/>
  <c r="M13"/>
  <c r="M15"/>
  <c r="M16"/>
  <c r="M17"/>
  <c r="M18"/>
  <c r="M19"/>
  <c r="M20"/>
  <c r="N4"/>
  <c r="N5"/>
  <c r="N6"/>
  <c r="N7"/>
  <c r="N8"/>
  <c r="N9"/>
  <c r="N10"/>
  <c r="N11"/>
  <c r="N12"/>
  <c r="N13"/>
  <c r="N15"/>
  <c r="N16"/>
  <c r="N17"/>
  <c r="N19"/>
  <c r="N20"/>
  <c r="O4"/>
  <c r="O5"/>
  <c r="O6"/>
  <c r="O7"/>
  <c r="O8"/>
  <c r="O9"/>
  <c r="O10"/>
  <c r="O11"/>
  <c r="O12"/>
  <c r="O13"/>
  <c r="O15"/>
  <c r="O16"/>
  <c r="O17"/>
  <c r="O19"/>
  <c r="O20"/>
  <c r="P4"/>
  <c r="P5"/>
  <c r="P6"/>
  <c r="P7"/>
  <c r="P8"/>
  <c r="P9"/>
  <c r="P10"/>
  <c r="P11"/>
  <c r="P12"/>
  <c r="P13"/>
  <c r="P15"/>
  <c r="P16"/>
  <c r="P17"/>
  <c r="P19"/>
  <c r="P20"/>
  <c r="Q4"/>
  <c r="Q5"/>
  <c r="Q6"/>
  <c r="Q7"/>
  <c r="Q8"/>
  <c r="Q9"/>
  <c r="Q10"/>
  <c r="Q11"/>
  <c r="Q12"/>
  <c r="Q13"/>
  <c r="Q15"/>
  <c r="Q16"/>
  <c r="Q17"/>
  <c r="Q19"/>
  <c r="Q20"/>
  <c r="R4"/>
  <c r="R5"/>
  <c r="R6"/>
  <c r="R7"/>
  <c r="R8"/>
  <c r="R9"/>
  <c r="R10"/>
  <c r="R11"/>
  <c r="R12"/>
  <c r="R13"/>
  <c r="R15"/>
  <c r="R17"/>
  <c r="R19"/>
  <c r="R20"/>
  <c r="S4"/>
  <c r="S5"/>
  <c r="S6"/>
  <c r="S7"/>
  <c r="S8"/>
  <c r="S9"/>
  <c r="S10"/>
  <c r="S11"/>
  <c r="S12"/>
  <c r="S13"/>
  <c r="S15"/>
  <c r="S17"/>
  <c r="S19"/>
  <c r="S20"/>
  <c r="T4"/>
  <c r="T5"/>
  <c r="T6"/>
  <c r="T7"/>
  <c r="T8"/>
  <c r="T9"/>
  <c r="T10"/>
  <c r="T11"/>
  <c r="T12"/>
  <c r="T13"/>
  <c r="T15"/>
  <c r="T17"/>
  <c r="T19"/>
  <c r="T20"/>
  <c r="U4"/>
  <c r="U5"/>
  <c r="U6"/>
  <c r="U7"/>
  <c r="U8"/>
  <c r="U9"/>
  <c r="U10"/>
  <c r="U11"/>
  <c r="U12"/>
  <c r="U13"/>
  <c r="U15"/>
  <c r="U17"/>
  <c r="U19"/>
  <c r="U20"/>
  <c r="V4"/>
  <c r="V5"/>
  <c r="V6"/>
  <c r="V7"/>
  <c r="V8"/>
  <c r="V9"/>
  <c r="V10"/>
  <c r="V11"/>
  <c r="V12"/>
  <c r="V13"/>
  <c r="V15"/>
  <c r="V17"/>
  <c r="V19"/>
  <c r="V20"/>
  <c r="W4"/>
  <c r="W5"/>
  <c r="W6"/>
  <c r="W7"/>
  <c r="W8"/>
  <c r="W9"/>
  <c r="W10"/>
  <c r="W11"/>
  <c r="W12"/>
  <c r="W13"/>
  <c r="W15"/>
  <c r="W17"/>
  <c r="W19"/>
  <c r="W20"/>
  <c r="X4"/>
  <c r="X5"/>
  <c r="X6"/>
  <c r="X7"/>
  <c r="X8"/>
  <c r="X9"/>
  <c r="X10"/>
  <c r="X11"/>
  <c r="X12"/>
  <c r="X13"/>
  <c r="X15"/>
  <c r="X17"/>
  <c r="X19"/>
  <c r="X20"/>
  <c r="Y4"/>
  <c r="Y5"/>
  <c r="Y6"/>
  <c r="Y7"/>
  <c r="Y8"/>
  <c r="Y9"/>
  <c r="Y10"/>
  <c r="Y11"/>
  <c r="Y12"/>
  <c r="Y13"/>
  <c r="Y15"/>
  <c r="Y17"/>
  <c r="Y19"/>
  <c r="Y20"/>
  <c r="Z4"/>
  <c r="Z5"/>
  <c r="Z6"/>
  <c r="Z7"/>
  <c r="Z8"/>
  <c r="Z9"/>
  <c r="Z10"/>
  <c r="Z11"/>
  <c r="Z12"/>
  <c r="Z13"/>
  <c r="Z15"/>
  <c r="Z17"/>
  <c r="Z19"/>
  <c r="Z20"/>
  <c r="E4" i="28"/>
  <c r="E5"/>
  <c r="E6"/>
  <c r="E7"/>
  <c r="E8"/>
  <c r="E9"/>
  <c r="E10"/>
  <c r="E11"/>
  <c r="E12"/>
  <c r="E13"/>
  <c r="E14"/>
  <c r="E15"/>
  <c r="E16"/>
  <c r="E17"/>
  <c r="E18"/>
  <c r="E19"/>
  <c r="E20"/>
  <c r="F4"/>
  <c r="F5"/>
  <c r="F6"/>
  <c r="F7"/>
  <c r="F8"/>
  <c r="F9"/>
  <c r="F10"/>
  <c r="F11"/>
  <c r="F12"/>
  <c r="F13"/>
  <c r="F14"/>
  <c r="F15"/>
  <c r="F16"/>
  <c r="F17"/>
  <c r="F18"/>
  <c r="F19"/>
  <c r="F20"/>
  <c r="G4"/>
  <c r="G5"/>
  <c r="G6"/>
  <c r="G7"/>
  <c r="G8"/>
  <c r="G9"/>
  <c r="G10"/>
  <c r="G11"/>
  <c r="G12"/>
  <c r="G13"/>
  <c r="G14"/>
  <c r="G15"/>
  <c r="G16"/>
  <c r="G17"/>
  <c r="G18"/>
  <c r="G19"/>
  <c r="G20"/>
  <c r="H4"/>
  <c r="H5"/>
  <c r="H6"/>
  <c r="H7"/>
  <c r="H8"/>
  <c r="H9"/>
  <c r="H10"/>
  <c r="H11"/>
  <c r="H12"/>
  <c r="H13"/>
  <c r="H14"/>
  <c r="H15"/>
  <c r="H16"/>
  <c r="H17"/>
  <c r="H18"/>
  <c r="H19"/>
  <c r="H20"/>
  <c r="I4"/>
  <c r="I5"/>
  <c r="I6"/>
  <c r="I7"/>
  <c r="I8"/>
  <c r="I9"/>
  <c r="I10"/>
  <c r="I11"/>
  <c r="I12"/>
  <c r="I13"/>
  <c r="I14"/>
  <c r="I15"/>
  <c r="I16"/>
  <c r="I17"/>
  <c r="I18"/>
  <c r="I19"/>
  <c r="I20"/>
  <c r="J4"/>
  <c r="J5"/>
  <c r="J6"/>
  <c r="J7"/>
  <c r="J8"/>
  <c r="J9"/>
  <c r="J10"/>
  <c r="J11"/>
  <c r="J12"/>
  <c r="J13"/>
  <c r="J14"/>
  <c r="J15"/>
  <c r="J16"/>
  <c r="J17"/>
  <c r="J18"/>
  <c r="J19"/>
  <c r="J20"/>
  <c r="K4"/>
  <c r="K5"/>
  <c r="K6"/>
  <c r="K7"/>
  <c r="K8"/>
  <c r="K9"/>
  <c r="K10"/>
  <c r="K11"/>
  <c r="K12"/>
  <c r="K13"/>
  <c r="K14"/>
  <c r="K15"/>
  <c r="K16"/>
  <c r="K17"/>
  <c r="K18"/>
  <c r="K19"/>
  <c r="K20"/>
  <c r="L4"/>
  <c r="L5"/>
  <c r="L6"/>
  <c r="L7"/>
  <c r="L8"/>
  <c r="L9"/>
  <c r="L10"/>
  <c r="L11"/>
  <c r="L12"/>
  <c r="L13"/>
  <c r="L14"/>
  <c r="L15"/>
  <c r="L16"/>
  <c r="L17"/>
  <c r="L18"/>
  <c r="L19"/>
  <c r="L20"/>
  <c r="M4"/>
  <c r="M5"/>
  <c r="M6"/>
  <c r="M8"/>
  <c r="M9"/>
  <c r="M10"/>
  <c r="M11"/>
  <c r="M12"/>
  <c r="M13"/>
  <c r="M14"/>
  <c r="M15"/>
  <c r="M16"/>
  <c r="M17"/>
  <c r="M19"/>
  <c r="M20"/>
  <c r="N4"/>
  <c r="N5"/>
  <c r="N6"/>
  <c r="N8"/>
  <c r="N9"/>
  <c r="N10"/>
  <c r="N11"/>
  <c r="N12"/>
  <c r="N13"/>
  <c r="N14"/>
  <c r="N15"/>
  <c r="N16"/>
  <c r="N17"/>
  <c r="N19"/>
  <c r="N20"/>
  <c r="O4"/>
  <c r="O5"/>
  <c r="O6"/>
  <c r="O8"/>
  <c r="O9"/>
  <c r="O10"/>
  <c r="O11"/>
  <c r="O12"/>
  <c r="O13"/>
  <c r="O14"/>
  <c r="O15"/>
  <c r="O16"/>
  <c r="O17"/>
  <c r="O19"/>
  <c r="O20"/>
  <c r="P4"/>
  <c r="P5"/>
  <c r="P6"/>
  <c r="P8"/>
  <c r="P9"/>
  <c r="P10"/>
  <c r="P11"/>
  <c r="P12"/>
  <c r="P13"/>
  <c r="P14"/>
  <c r="P15"/>
  <c r="P16"/>
  <c r="P17"/>
  <c r="P19"/>
  <c r="P20"/>
  <c r="Q4"/>
  <c r="Q5"/>
  <c r="Q6"/>
  <c r="Q8"/>
  <c r="Q9"/>
  <c r="Q10"/>
  <c r="Q11"/>
  <c r="Q12"/>
  <c r="Q13"/>
  <c r="Q15"/>
  <c r="Q16"/>
  <c r="Q17"/>
  <c r="Q19"/>
  <c r="Q20"/>
  <c r="R4"/>
  <c r="R5"/>
  <c r="R6"/>
  <c r="R8"/>
  <c r="R9"/>
  <c r="R10"/>
  <c r="R11"/>
  <c r="R12"/>
  <c r="R13"/>
  <c r="R15"/>
  <c r="R16"/>
  <c r="R17"/>
  <c r="R19"/>
  <c r="R20"/>
  <c r="S4"/>
  <c r="S5"/>
  <c r="S6"/>
  <c r="S8"/>
  <c r="S9"/>
  <c r="S10"/>
  <c r="S11"/>
  <c r="S12"/>
  <c r="S13"/>
  <c r="S15"/>
  <c r="S16"/>
  <c r="S17"/>
  <c r="S19"/>
  <c r="S20"/>
  <c r="T4"/>
  <c r="T5"/>
  <c r="T6"/>
  <c r="T8"/>
  <c r="T9"/>
  <c r="T10"/>
  <c r="T11"/>
  <c r="T12"/>
  <c r="T13"/>
  <c r="T15"/>
  <c r="T16"/>
  <c r="T17"/>
  <c r="T19"/>
  <c r="T20"/>
  <c r="U4"/>
  <c r="U5"/>
  <c r="U6"/>
  <c r="U8"/>
  <c r="U9"/>
  <c r="U10"/>
  <c r="U11"/>
  <c r="U12"/>
  <c r="U13"/>
  <c r="U15"/>
  <c r="U16"/>
  <c r="U17"/>
  <c r="U19"/>
  <c r="U20"/>
  <c r="V4"/>
  <c r="V5"/>
  <c r="V6"/>
  <c r="V8"/>
  <c r="V9"/>
  <c r="V10"/>
  <c r="V11"/>
  <c r="V12"/>
  <c r="V13"/>
  <c r="V15"/>
  <c r="V16"/>
  <c r="V17"/>
  <c r="V19"/>
  <c r="V20"/>
  <c r="W4"/>
  <c r="W5"/>
  <c r="W6"/>
  <c r="W8"/>
  <c r="W9"/>
  <c r="W10"/>
  <c r="W11"/>
  <c r="W12"/>
  <c r="W13"/>
  <c r="W15"/>
  <c r="W16"/>
  <c r="W17"/>
  <c r="W19"/>
  <c r="W20"/>
  <c r="X4"/>
  <c r="X5"/>
  <c r="X6"/>
  <c r="X8"/>
  <c r="X9"/>
  <c r="X10"/>
  <c r="X11"/>
  <c r="X12"/>
  <c r="X13"/>
  <c r="X15"/>
  <c r="X16"/>
  <c r="X17"/>
  <c r="X19"/>
  <c r="X20"/>
  <c r="Y4"/>
  <c r="Y5"/>
  <c r="Y6"/>
  <c r="Y8"/>
  <c r="Y9"/>
  <c r="Y10"/>
  <c r="Y11"/>
  <c r="Y12"/>
  <c r="Y13"/>
  <c r="Y15"/>
  <c r="Y16"/>
  <c r="Y17"/>
  <c r="Y19"/>
  <c r="Y20"/>
  <c r="Z4"/>
  <c r="Z5"/>
  <c r="Z6"/>
  <c r="Z8"/>
  <c r="Z9"/>
  <c r="Z10"/>
  <c r="Z11"/>
  <c r="Z12"/>
  <c r="Z13"/>
  <c r="Z15"/>
  <c r="Z16"/>
  <c r="Z17"/>
  <c r="Z19"/>
  <c r="Z20"/>
  <c r="E4" i="21"/>
  <c r="E5"/>
  <c r="E6"/>
  <c r="E7"/>
  <c r="E8"/>
  <c r="E9"/>
  <c r="E10"/>
  <c r="E11"/>
  <c r="E12"/>
  <c r="E13"/>
  <c r="E14"/>
  <c r="E15"/>
  <c r="E16"/>
  <c r="E17"/>
  <c r="E18"/>
  <c r="E19"/>
  <c r="E20"/>
  <c r="F4"/>
  <c r="F5"/>
  <c r="F6"/>
  <c r="F7"/>
  <c r="F8"/>
  <c r="F9"/>
  <c r="F10"/>
  <c r="F11"/>
  <c r="F12"/>
  <c r="F13"/>
  <c r="F14"/>
  <c r="F15"/>
  <c r="F16"/>
  <c r="F17"/>
  <c r="F18"/>
  <c r="F19"/>
  <c r="F20"/>
  <c r="G4"/>
  <c r="G5"/>
  <c r="G6"/>
  <c r="G7"/>
  <c r="G8"/>
  <c r="G9"/>
  <c r="G10"/>
  <c r="G11"/>
  <c r="G12"/>
  <c r="G13"/>
  <c r="G14"/>
  <c r="G15"/>
  <c r="G16"/>
  <c r="G17"/>
  <c r="G18"/>
  <c r="G19"/>
  <c r="G20"/>
  <c r="H4"/>
  <c r="H5"/>
  <c r="H6"/>
  <c r="H7"/>
  <c r="H8"/>
  <c r="H9"/>
  <c r="H10"/>
  <c r="H11"/>
  <c r="H12"/>
  <c r="H13"/>
  <c r="H14"/>
  <c r="H15"/>
  <c r="H16"/>
  <c r="H17"/>
  <c r="H18"/>
  <c r="H19"/>
  <c r="H20"/>
  <c r="I4"/>
  <c r="I5"/>
  <c r="I6"/>
  <c r="I7"/>
  <c r="I8"/>
  <c r="I9"/>
  <c r="I10"/>
  <c r="I11"/>
  <c r="I12"/>
  <c r="I13"/>
  <c r="I14"/>
  <c r="I15"/>
  <c r="I16"/>
  <c r="I17"/>
  <c r="I18"/>
  <c r="I19"/>
  <c r="I20"/>
  <c r="J4"/>
  <c r="J5"/>
  <c r="J6"/>
  <c r="J7"/>
  <c r="J8"/>
  <c r="J9"/>
  <c r="J10"/>
  <c r="J11"/>
  <c r="J12"/>
  <c r="J13"/>
  <c r="J14"/>
  <c r="J15"/>
  <c r="J16"/>
  <c r="J17"/>
  <c r="J18"/>
  <c r="J19"/>
  <c r="J20"/>
  <c r="K4"/>
  <c r="K5"/>
  <c r="K6"/>
  <c r="K7"/>
  <c r="K8"/>
  <c r="K9"/>
  <c r="K10"/>
  <c r="K11"/>
  <c r="K12"/>
  <c r="K13"/>
  <c r="K14"/>
  <c r="K15"/>
  <c r="K16"/>
  <c r="K17"/>
  <c r="K18"/>
  <c r="K19"/>
  <c r="K20"/>
  <c r="L4"/>
  <c r="L5"/>
  <c r="L6"/>
  <c r="L7"/>
  <c r="L8"/>
  <c r="L9"/>
  <c r="L10"/>
  <c r="L11"/>
  <c r="L12"/>
  <c r="L13"/>
  <c r="L14"/>
  <c r="L15"/>
  <c r="L16"/>
  <c r="L18"/>
  <c r="L19"/>
  <c r="L20"/>
  <c r="M4"/>
  <c r="M5"/>
  <c r="M6"/>
  <c r="M7"/>
  <c r="M8"/>
  <c r="M9"/>
  <c r="M10"/>
  <c r="M11"/>
  <c r="M12"/>
  <c r="M13"/>
  <c r="M14"/>
  <c r="M15"/>
  <c r="M16"/>
  <c r="M18"/>
  <c r="M19"/>
  <c r="M20"/>
  <c r="N4"/>
  <c r="N5"/>
  <c r="N6"/>
  <c r="N7"/>
  <c r="N8"/>
  <c r="N9"/>
  <c r="N10"/>
  <c r="N11"/>
  <c r="N12"/>
  <c r="N13"/>
  <c r="N14"/>
  <c r="N15"/>
  <c r="N16"/>
  <c r="N18"/>
  <c r="N19"/>
  <c r="N20"/>
  <c r="O4"/>
  <c r="O5"/>
  <c r="O6"/>
  <c r="O7"/>
  <c r="O8"/>
  <c r="O9"/>
  <c r="O10"/>
  <c r="O11"/>
  <c r="O12"/>
  <c r="O13"/>
  <c r="O14"/>
  <c r="O15"/>
  <c r="O16"/>
  <c r="O18"/>
  <c r="O19"/>
  <c r="O20"/>
  <c r="P4"/>
  <c r="P5"/>
  <c r="P6"/>
  <c r="P7"/>
  <c r="P8"/>
  <c r="P9"/>
  <c r="P10"/>
  <c r="P11"/>
  <c r="P12"/>
  <c r="P13"/>
  <c r="P14"/>
  <c r="P15"/>
  <c r="P16"/>
  <c r="P18"/>
  <c r="P19"/>
  <c r="P20"/>
  <c r="Q4"/>
  <c r="Q5"/>
  <c r="Q6"/>
  <c r="Q7"/>
  <c r="Q8"/>
  <c r="Q9"/>
  <c r="Q10"/>
  <c r="Q11"/>
  <c r="Q12"/>
  <c r="Q13"/>
  <c r="Q14"/>
  <c r="Q15"/>
  <c r="Q16"/>
  <c r="Q18"/>
  <c r="Q19"/>
  <c r="Q20"/>
  <c r="R4"/>
  <c r="R5"/>
  <c r="R6"/>
  <c r="R7"/>
  <c r="R8"/>
  <c r="R9"/>
  <c r="R10"/>
  <c r="R11"/>
  <c r="R12"/>
  <c r="R14"/>
  <c r="R15"/>
  <c r="R16"/>
  <c r="R18"/>
  <c r="R19"/>
  <c r="R20"/>
  <c r="S4"/>
  <c r="S5"/>
  <c r="S6"/>
  <c r="S7"/>
  <c r="S8"/>
  <c r="S9"/>
  <c r="S10"/>
  <c r="S11"/>
  <c r="S12"/>
  <c r="S14"/>
  <c r="S15"/>
  <c r="S16"/>
  <c r="S18"/>
  <c r="S19"/>
  <c r="S20"/>
  <c r="T4"/>
  <c r="T5"/>
  <c r="T6"/>
  <c r="T7"/>
  <c r="T8"/>
  <c r="T9"/>
  <c r="T10"/>
  <c r="T11"/>
  <c r="T12"/>
  <c r="T14"/>
  <c r="T15"/>
  <c r="T16"/>
  <c r="T18"/>
  <c r="T19"/>
  <c r="T20"/>
  <c r="U4"/>
  <c r="U5"/>
  <c r="U6"/>
  <c r="U7"/>
  <c r="U8"/>
  <c r="U9"/>
  <c r="U10"/>
  <c r="U11"/>
  <c r="U12"/>
  <c r="U14"/>
  <c r="U15"/>
  <c r="U16"/>
  <c r="U18"/>
  <c r="U19"/>
  <c r="U20"/>
  <c r="V4"/>
  <c r="V5"/>
  <c r="V6"/>
  <c r="V7"/>
  <c r="V8"/>
  <c r="V9"/>
  <c r="V10"/>
  <c r="V11"/>
  <c r="V12"/>
  <c r="V14"/>
  <c r="V15"/>
  <c r="V16"/>
  <c r="V18"/>
  <c r="V19"/>
  <c r="V20"/>
  <c r="W4"/>
  <c r="W5"/>
  <c r="W6"/>
  <c r="W7"/>
  <c r="W8"/>
  <c r="W9"/>
  <c r="W10"/>
  <c r="W11"/>
  <c r="W12"/>
  <c r="W14"/>
  <c r="W15"/>
  <c r="W16"/>
  <c r="W18"/>
  <c r="W19"/>
  <c r="W20"/>
  <c r="X4"/>
  <c r="X5"/>
  <c r="X6"/>
  <c r="X7"/>
  <c r="X8"/>
  <c r="X9"/>
  <c r="X10"/>
  <c r="X11"/>
  <c r="X12"/>
  <c r="X14"/>
  <c r="X15"/>
  <c r="X16"/>
  <c r="X18"/>
  <c r="X19"/>
  <c r="X20"/>
  <c r="Y4"/>
  <c r="Y5"/>
  <c r="Y6"/>
  <c r="Y7"/>
  <c r="Y8"/>
  <c r="Y9"/>
  <c r="Y10"/>
  <c r="Y11"/>
  <c r="Y12"/>
  <c r="Y14"/>
  <c r="Y15"/>
  <c r="Y16"/>
  <c r="Y18"/>
  <c r="Y19"/>
  <c r="Y20"/>
  <c r="Z4"/>
  <c r="Z5"/>
  <c r="Z6"/>
  <c r="Z7"/>
  <c r="Z8"/>
  <c r="Z9"/>
  <c r="Z10"/>
  <c r="Z11"/>
  <c r="Z12"/>
  <c r="Z14"/>
  <c r="Z15"/>
  <c r="Z16"/>
  <c r="Z18"/>
  <c r="Z19"/>
  <c r="Z20"/>
  <c r="E4" i="37"/>
  <c r="E5"/>
  <c r="E6"/>
  <c r="E7"/>
  <c r="E8"/>
  <c r="E9"/>
  <c r="E10"/>
  <c r="E11"/>
  <c r="E12"/>
  <c r="E13"/>
  <c r="E14"/>
  <c r="E15"/>
  <c r="E16"/>
  <c r="E17"/>
  <c r="E18"/>
  <c r="E19"/>
  <c r="E20"/>
  <c r="F4"/>
  <c r="F5"/>
  <c r="F6"/>
  <c r="F7"/>
  <c r="F8"/>
  <c r="F9"/>
  <c r="F10"/>
  <c r="F11"/>
  <c r="F12"/>
  <c r="F13"/>
  <c r="F14"/>
  <c r="F15"/>
  <c r="F16"/>
  <c r="F17"/>
  <c r="F18"/>
  <c r="F19"/>
  <c r="F20"/>
  <c r="G4"/>
  <c r="G5"/>
  <c r="G6"/>
  <c r="G7"/>
  <c r="G8"/>
  <c r="G9"/>
  <c r="G10"/>
  <c r="G11"/>
  <c r="G12"/>
  <c r="G13"/>
  <c r="G14"/>
  <c r="G15"/>
  <c r="G16"/>
  <c r="G17"/>
  <c r="G18"/>
  <c r="G19"/>
  <c r="G20"/>
  <c r="H4"/>
  <c r="H5"/>
  <c r="H6"/>
  <c r="H7"/>
  <c r="H8"/>
  <c r="H9"/>
  <c r="H10"/>
  <c r="H11"/>
  <c r="H12"/>
  <c r="H13"/>
  <c r="H14"/>
  <c r="H15"/>
  <c r="H16"/>
  <c r="H17"/>
  <c r="H18"/>
  <c r="H19"/>
  <c r="H20"/>
  <c r="I4"/>
  <c r="I5"/>
  <c r="I6"/>
  <c r="I7"/>
  <c r="I8"/>
  <c r="I9"/>
  <c r="I10"/>
  <c r="I11"/>
  <c r="I12"/>
  <c r="I13"/>
  <c r="I14"/>
  <c r="I15"/>
  <c r="I16"/>
  <c r="I17"/>
  <c r="I18"/>
  <c r="I19"/>
  <c r="I20"/>
  <c r="J4"/>
  <c r="J5"/>
  <c r="J6"/>
  <c r="J7"/>
  <c r="J8"/>
  <c r="J9"/>
  <c r="J10"/>
  <c r="J11"/>
  <c r="J12"/>
  <c r="J13"/>
  <c r="J14"/>
  <c r="J15"/>
  <c r="J16"/>
  <c r="J17"/>
  <c r="J18"/>
  <c r="J19"/>
  <c r="J20"/>
  <c r="K4"/>
  <c r="K5"/>
  <c r="K6"/>
  <c r="K7"/>
  <c r="K8"/>
  <c r="K9"/>
  <c r="K10"/>
  <c r="K11"/>
  <c r="K12"/>
  <c r="K13"/>
  <c r="K14"/>
  <c r="K15"/>
  <c r="K16"/>
  <c r="K17"/>
  <c r="K18"/>
  <c r="K19"/>
  <c r="K20"/>
  <c r="L4"/>
  <c r="L5"/>
  <c r="L6"/>
  <c r="L7"/>
  <c r="L8"/>
  <c r="L9"/>
  <c r="L10"/>
  <c r="L11"/>
  <c r="L12"/>
  <c r="L13"/>
  <c r="L14"/>
  <c r="L15"/>
  <c r="L16"/>
  <c r="L17"/>
  <c r="L18"/>
  <c r="L19"/>
  <c r="L20"/>
  <c r="M4"/>
  <c r="M5"/>
  <c r="M6"/>
  <c r="M7"/>
  <c r="M9"/>
  <c r="M10"/>
  <c r="M11"/>
  <c r="M12"/>
  <c r="M13"/>
  <c r="M14"/>
  <c r="M15"/>
  <c r="M17"/>
  <c r="M18"/>
  <c r="M19"/>
  <c r="M20"/>
  <c r="N4"/>
  <c r="N5"/>
  <c r="N6"/>
  <c r="N7"/>
  <c r="N9"/>
  <c r="N10"/>
  <c r="N11"/>
  <c r="N12"/>
  <c r="N13"/>
  <c r="N14"/>
  <c r="N15"/>
  <c r="N17"/>
  <c r="N18"/>
  <c r="N19"/>
  <c r="N20"/>
  <c r="O4"/>
  <c r="O5"/>
  <c r="O6"/>
  <c r="O7"/>
  <c r="O9"/>
  <c r="O10"/>
  <c r="O11"/>
  <c r="O12"/>
  <c r="O13"/>
  <c r="O14"/>
  <c r="O15"/>
  <c r="O17"/>
  <c r="O18"/>
  <c r="O19"/>
  <c r="O20"/>
  <c r="P4"/>
  <c r="P5"/>
  <c r="P6"/>
  <c r="P7"/>
  <c r="P9"/>
  <c r="P10"/>
  <c r="P11"/>
  <c r="P12"/>
  <c r="P13"/>
  <c r="P14"/>
  <c r="P15"/>
  <c r="P17"/>
  <c r="P18"/>
  <c r="P19"/>
  <c r="P20"/>
  <c r="Q4"/>
  <c r="Q5"/>
  <c r="Q6"/>
  <c r="Q7"/>
  <c r="Q9"/>
  <c r="Q10"/>
  <c r="Q11"/>
  <c r="Q12"/>
  <c r="Q13"/>
  <c r="Q14"/>
  <c r="Q15"/>
  <c r="Q17"/>
  <c r="Q18"/>
  <c r="Q19"/>
  <c r="Q20"/>
  <c r="R4"/>
  <c r="R5"/>
  <c r="R6"/>
  <c r="R7"/>
  <c r="R9"/>
  <c r="R10"/>
  <c r="R11"/>
  <c r="R12"/>
  <c r="R13"/>
  <c r="R14"/>
  <c r="R15"/>
  <c r="R17"/>
  <c r="R18"/>
  <c r="R19"/>
  <c r="R20"/>
  <c r="S4"/>
  <c r="S5"/>
  <c r="S6"/>
  <c r="S7"/>
  <c r="S9"/>
  <c r="S10"/>
  <c r="S11"/>
  <c r="S12"/>
  <c r="S13"/>
  <c r="S14"/>
  <c r="S15"/>
  <c r="S17"/>
  <c r="S18"/>
  <c r="S19"/>
  <c r="S20"/>
  <c r="T4"/>
  <c r="T5"/>
  <c r="T6"/>
  <c r="T7"/>
  <c r="T9"/>
  <c r="T10"/>
  <c r="T11"/>
  <c r="T12"/>
  <c r="T13"/>
  <c r="T14"/>
  <c r="T15"/>
  <c r="T17"/>
  <c r="T18"/>
  <c r="T19"/>
  <c r="T20"/>
  <c r="U4"/>
  <c r="U5"/>
  <c r="U6"/>
  <c r="U7"/>
  <c r="U9"/>
  <c r="U10"/>
  <c r="U11"/>
  <c r="U12"/>
  <c r="U13"/>
  <c r="U14"/>
  <c r="U15"/>
  <c r="U17"/>
  <c r="U18"/>
  <c r="U19"/>
  <c r="U20"/>
  <c r="V4"/>
  <c r="V5"/>
  <c r="V6"/>
  <c r="V7"/>
  <c r="V9"/>
  <c r="V10"/>
  <c r="V11"/>
  <c r="V12"/>
  <c r="V13"/>
  <c r="V14"/>
  <c r="V15"/>
  <c r="V17"/>
  <c r="V18"/>
  <c r="V19"/>
  <c r="V20"/>
  <c r="W4"/>
  <c r="W5"/>
  <c r="W6"/>
  <c r="W7"/>
  <c r="W9"/>
  <c r="W10"/>
  <c r="W11"/>
  <c r="W12"/>
  <c r="W13"/>
  <c r="W14"/>
  <c r="W15"/>
  <c r="W17"/>
  <c r="W18"/>
  <c r="W19"/>
  <c r="W20"/>
  <c r="X4"/>
  <c r="X5"/>
  <c r="X6"/>
  <c r="X7"/>
  <c r="X9"/>
  <c r="X10"/>
  <c r="X11"/>
  <c r="X12"/>
  <c r="X13"/>
  <c r="X14"/>
  <c r="X15"/>
  <c r="X17"/>
  <c r="X18"/>
  <c r="X19"/>
  <c r="X20"/>
  <c r="Y4"/>
  <c r="Y5"/>
  <c r="Y6"/>
  <c r="Y7"/>
  <c r="Y9"/>
  <c r="Y10"/>
  <c r="Y11"/>
  <c r="Y12"/>
  <c r="Y13"/>
  <c r="Y14"/>
  <c r="Y15"/>
  <c r="Y17"/>
  <c r="Y18"/>
  <c r="Y19"/>
  <c r="Y20"/>
  <c r="Z4"/>
  <c r="Z5"/>
  <c r="Z6"/>
  <c r="Z7"/>
  <c r="Z9"/>
  <c r="Z10"/>
  <c r="Z11"/>
  <c r="Z12"/>
  <c r="Z13"/>
  <c r="Z14"/>
  <c r="Z15"/>
  <c r="Z17"/>
  <c r="Z18"/>
  <c r="Z19"/>
  <c r="Z20"/>
  <c r="E4" i="34"/>
  <c r="E5"/>
  <c r="E6"/>
  <c r="E7"/>
  <c r="E8"/>
  <c r="E9"/>
  <c r="E10"/>
  <c r="E11"/>
  <c r="E12"/>
  <c r="E13"/>
  <c r="E14"/>
  <c r="E15"/>
  <c r="E16"/>
  <c r="E17"/>
  <c r="E18"/>
  <c r="E19"/>
  <c r="E20"/>
  <c r="F4"/>
  <c r="F5"/>
  <c r="F6"/>
  <c r="F7"/>
  <c r="F8"/>
  <c r="F9"/>
  <c r="F10"/>
  <c r="F11"/>
  <c r="F12"/>
  <c r="F13"/>
  <c r="F14"/>
  <c r="F15"/>
  <c r="F16"/>
  <c r="F17"/>
  <c r="F18"/>
  <c r="F19"/>
  <c r="F20"/>
  <c r="G4"/>
  <c r="G5"/>
  <c r="G6"/>
  <c r="G7"/>
  <c r="G8"/>
  <c r="G9"/>
  <c r="G10"/>
  <c r="G11"/>
  <c r="G12"/>
  <c r="G13"/>
  <c r="G14"/>
  <c r="G15"/>
  <c r="G16"/>
  <c r="G17"/>
  <c r="G18"/>
  <c r="G19"/>
  <c r="G20"/>
  <c r="H4"/>
  <c r="H5"/>
  <c r="H6"/>
  <c r="H7"/>
  <c r="H8"/>
  <c r="H9"/>
  <c r="H10"/>
  <c r="H11"/>
  <c r="H12"/>
  <c r="H13"/>
  <c r="H14"/>
  <c r="H15"/>
  <c r="H16"/>
  <c r="H17"/>
  <c r="H18"/>
  <c r="H19"/>
  <c r="H20"/>
  <c r="I4"/>
  <c r="I5"/>
  <c r="I6"/>
  <c r="I7"/>
  <c r="I8"/>
  <c r="I9"/>
  <c r="I10"/>
  <c r="I11"/>
  <c r="I12"/>
  <c r="I13"/>
  <c r="I14"/>
  <c r="I15"/>
  <c r="I16"/>
  <c r="I17"/>
  <c r="I18"/>
  <c r="I19"/>
  <c r="I20"/>
  <c r="J4"/>
  <c r="J5"/>
  <c r="J6"/>
  <c r="J7"/>
  <c r="J8"/>
  <c r="J9"/>
  <c r="J10"/>
  <c r="J11"/>
  <c r="J12"/>
  <c r="J13"/>
  <c r="J14"/>
  <c r="J15"/>
  <c r="J16"/>
  <c r="J17"/>
  <c r="J18"/>
  <c r="J19"/>
  <c r="J20"/>
  <c r="K4"/>
  <c r="K5"/>
  <c r="K6"/>
  <c r="K7"/>
  <c r="K8"/>
  <c r="K9"/>
  <c r="K10"/>
  <c r="K11"/>
  <c r="K12"/>
  <c r="K13"/>
  <c r="K14"/>
  <c r="K15"/>
  <c r="K16"/>
  <c r="K17"/>
  <c r="K18"/>
  <c r="K19"/>
  <c r="K20"/>
  <c r="L4"/>
  <c r="L5"/>
  <c r="L6"/>
  <c r="L7"/>
  <c r="L8"/>
  <c r="L9"/>
  <c r="L10"/>
  <c r="L12"/>
  <c r="L13"/>
  <c r="L14"/>
  <c r="L15"/>
  <c r="L16"/>
  <c r="L17"/>
  <c r="L18"/>
  <c r="L19"/>
  <c r="L20"/>
  <c r="M4"/>
  <c r="M5"/>
  <c r="M6"/>
  <c r="M7"/>
  <c r="M8"/>
  <c r="M9"/>
  <c r="M10"/>
  <c r="M12"/>
  <c r="M13"/>
  <c r="M14"/>
  <c r="M15"/>
  <c r="M16"/>
  <c r="M17"/>
  <c r="M18"/>
  <c r="M19"/>
  <c r="M20"/>
  <c r="N4"/>
  <c r="N5"/>
  <c r="N6"/>
  <c r="N7"/>
  <c r="N8"/>
  <c r="N9"/>
  <c r="N10"/>
  <c r="N12"/>
  <c r="N13"/>
  <c r="N14"/>
  <c r="N15"/>
  <c r="N16"/>
  <c r="N17"/>
  <c r="N18"/>
  <c r="N19"/>
  <c r="N20"/>
  <c r="O4"/>
  <c r="O5"/>
  <c r="O6"/>
  <c r="O7"/>
  <c r="O8"/>
  <c r="O9"/>
  <c r="O10"/>
  <c r="O12"/>
  <c r="O13"/>
  <c r="O14"/>
  <c r="O15"/>
  <c r="O16"/>
  <c r="O17"/>
  <c r="O18"/>
  <c r="O19"/>
  <c r="O20"/>
  <c r="P4"/>
  <c r="P5"/>
  <c r="P6"/>
  <c r="P7"/>
  <c r="P8"/>
  <c r="P9"/>
  <c r="P10"/>
  <c r="P12"/>
  <c r="P13"/>
  <c r="P14"/>
  <c r="P15"/>
  <c r="P16"/>
  <c r="P17"/>
  <c r="P18"/>
  <c r="P19"/>
  <c r="P20"/>
  <c r="Q4"/>
  <c r="Q5"/>
  <c r="Q6"/>
  <c r="Q7"/>
  <c r="Q8"/>
  <c r="Q10"/>
  <c r="Q12"/>
  <c r="Q13"/>
  <c r="Q14"/>
  <c r="Q15"/>
  <c r="Q16"/>
  <c r="Q17"/>
  <c r="Q18"/>
  <c r="Q19"/>
  <c r="Q20"/>
  <c r="R4"/>
  <c r="R5"/>
  <c r="R6"/>
  <c r="R7"/>
  <c r="R8"/>
  <c r="R10"/>
  <c r="R12"/>
  <c r="R13"/>
  <c r="R14"/>
  <c r="R15"/>
  <c r="R16"/>
  <c r="R17"/>
  <c r="R18"/>
  <c r="R19"/>
  <c r="R20"/>
  <c r="S4"/>
  <c r="S5"/>
  <c r="S6"/>
  <c r="S7"/>
  <c r="S8"/>
  <c r="S10"/>
  <c r="S12"/>
  <c r="S13"/>
  <c r="S14"/>
  <c r="S15"/>
  <c r="S16"/>
  <c r="S17"/>
  <c r="S18"/>
  <c r="S19"/>
  <c r="S20"/>
  <c r="T4"/>
  <c r="T5"/>
  <c r="T6"/>
  <c r="T7"/>
  <c r="T8"/>
  <c r="T10"/>
  <c r="T12"/>
  <c r="T13"/>
  <c r="T14"/>
  <c r="T15"/>
  <c r="T16"/>
  <c r="T17"/>
  <c r="T18"/>
  <c r="T19"/>
  <c r="T20"/>
  <c r="U4"/>
  <c r="U5"/>
  <c r="U6"/>
  <c r="U7"/>
  <c r="U8"/>
  <c r="U10"/>
  <c r="U12"/>
  <c r="U13"/>
  <c r="U14"/>
  <c r="U15"/>
  <c r="U16"/>
  <c r="U17"/>
  <c r="U18"/>
  <c r="U19"/>
  <c r="U20"/>
  <c r="V4"/>
  <c r="V5"/>
  <c r="V6"/>
  <c r="V7"/>
  <c r="V8"/>
  <c r="V10"/>
  <c r="V12"/>
  <c r="V13"/>
  <c r="V14"/>
  <c r="V15"/>
  <c r="V16"/>
  <c r="V17"/>
  <c r="V18"/>
  <c r="V19"/>
  <c r="V20"/>
  <c r="W4"/>
  <c r="W5"/>
  <c r="W6"/>
  <c r="W7"/>
  <c r="W8"/>
  <c r="W10"/>
  <c r="W12"/>
  <c r="W13"/>
  <c r="W14"/>
  <c r="W15"/>
  <c r="W16"/>
  <c r="W17"/>
  <c r="W18"/>
  <c r="W19"/>
  <c r="W20"/>
  <c r="X4"/>
  <c r="X5"/>
  <c r="X6"/>
  <c r="X7"/>
  <c r="X8"/>
  <c r="X10"/>
  <c r="X12"/>
  <c r="X13"/>
  <c r="X14"/>
  <c r="X15"/>
  <c r="X16"/>
  <c r="X17"/>
  <c r="X18"/>
  <c r="X19"/>
  <c r="X20"/>
  <c r="Y4"/>
  <c r="Y5"/>
  <c r="Y6"/>
  <c r="Z6"/>
  <c r="Y7"/>
  <c r="Y8"/>
  <c r="Z8"/>
  <c r="Y10"/>
  <c r="Y12"/>
  <c r="Z12"/>
  <c r="Y13"/>
  <c r="Y14"/>
  <c r="Y15"/>
  <c r="Y16"/>
  <c r="Y17"/>
  <c r="Y18"/>
  <c r="Y19"/>
  <c r="Y20"/>
  <c r="Z4"/>
  <c r="Z5"/>
  <c r="Z7"/>
  <c r="Z10"/>
  <c r="Z13"/>
  <c r="Z14"/>
  <c r="Z15"/>
  <c r="Z16"/>
  <c r="Z17"/>
  <c r="Z18"/>
  <c r="Z19"/>
  <c r="Z20"/>
  <c r="L24" i="35"/>
  <c r="L25"/>
  <c r="F26" i="34"/>
  <c r="E25"/>
  <c r="D30"/>
  <c r="D29"/>
  <c r="D28"/>
  <c r="Z26"/>
  <c r="Y26"/>
  <c r="X26"/>
  <c r="W26"/>
  <c r="V26"/>
  <c r="U26"/>
  <c r="T26"/>
  <c r="S26"/>
  <c r="R26"/>
  <c r="Q26"/>
  <c r="P26"/>
  <c r="O26"/>
  <c r="N26"/>
  <c r="M26"/>
  <c r="L26"/>
  <c r="K26"/>
  <c r="J26"/>
  <c r="I26"/>
  <c r="H26"/>
  <c r="G26"/>
  <c r="E26"/>
  <c r="Z25"/>
  <c r="Y25"/>
  <c r="X25"/>
  <c r="W25"/>
  <c r="V25"/>
  <c r="U25"/>
  <c r="T25"/>
  <c r="S25"/>
  <c r="R25"/>
  <c r="Q25"/>
  <c r="P25"/>
  <c r="O25"/>
  <c r="N25"/>
  <c r="M25"/>
  <c r="L25"/>
  <c r="L21" s="1"/>
  <c r="K25"/>
  <c r="J25"/>
  <c r="I25"/>
  <c r="G25"/>
  <c r="F25"/>
  <c r="Z24"/>
  <c r="Y24"/>
  <c r="X24"/>
  <c r="W24"/>
  <c r="V24"/>
  <c r="U24"/>
  <c r="T24"/>
  <c r="S24"/>
  <c r="R24"/>
  <c r="Q24"/>
  <c r="P24"/>
  <c r="O24"/>
  <c r="N24"/>
  <c r="M24"/>
  <c r="L24"/>
  <c r="K24"/>
  <c r="J24"/>
  <c r="I24"/>
  <c r="H24"/>
  <c r="G24"/>
  <c r="F24"/>
  <c r="E24"/>
  <c r="C5" i="9"/>
  <c r="C6"/>
  <c r="C7"/>
  <c r="C8"/>
  <c r="C9"/>
  <c r="C10"/>
  <c r="C11"/>
  <c r="C12"/>
  <c r="C13"/>
  <c r="N54" i="19"/>
  <c r="T30" i="9"/>
  <c r="T29"/>
  <c r="T28"/>
  <c r="S27"/>
  <c r="Y28"/>
  <c r="Y29"/>
  <c r="Y30"/>
  <c r="S26"/>
  <c r="S25"/>
  <c r="S24"/>
  <c r="S23"/>
  <c r="S22"/>
  <c r="S21"/>
  <c r="I22"/>
  <c r="K22"/>
  <c r="M22"/>
  <c r="O22"/>
  <c r="Q22"/>
  <c r="U22"/>
  <c r="W22"/>
  <c r="S20"/>
  <c r="S19"/>
  <c r="S18"/>
  <c r="S17"/>
  <c r="S16"/>
  <c r="S15"/>
  <c r="S14"/>
  <c r="S13"/>
  <c r="S12"/>
  <c r="S11"/>
  <c r="S10"/>
  <c r="S9"/>
  <c r="S8"/>
  <c r="S7"/>
  <c r="S6"/>
  <c r="S5"/>
  <c r="S4"/>
  <c r="S3"/>
  <c r="S2"/>
  <c r="S1"/>
  <c r="X33" i="10"/>
  <c r="Q5" i="9"/>
  <c r="A20"/>
  <c r="K6"/>
  <c r="U24" i="36"/>
  <c r="T24"/>
  <c r="E25"/>
  <c r="F25"/>
  <c r="G25"/>
  <c r="H25"/>
  <c r="I25"/>
  <c r="I21" s="1"/>
  <c r="J25"/>
  <c r="J21" s="1"/>
  <c r="K25"/>
  <c r="K21" s="1"/>
  <c r="L25"/>
  <c r="M25"/>
  <c r="N25"/>
  <c r="O25"/>
  <c r="P25"/>
  <c r="Q25"/>
  <c r="R25"/>
  <c r="S25"/>
  <c r="T25"/>
  <c r="U25"/>
  <c r="V25"/>
  <c r="W25"/>
  <c r="X25"/>
  <c r="Y25"/>
  <c r="Z25"/>
  <c r="E26"/>
  <c r="F26"/>
  <c r="G26"/>
  <c r="H26"/>
  <c r="I26"/>
  <c r="J26"/>
  <c r="K26"/>
  <c r="L26"/>
  <c r="M26"/>
  <c r="N26"/>
  <c r="O26"/>
  <c r="P26"/>
  <c r="Q26"/>
  <c r="R26"/>
  <c r="S26"/>
  <c r="T26"/>
  <c r="U26"/>
  <c r="V26"/>
  <c r="W26"/>
  <c r="X26"/>
  <c r="Y26"/>
  <c r="Z26"/>
  <c r="Z24"/>
  <c r="Y24"/>
  <c r="X24"/>
  <c r="W24"/>
  <c r="V24"/>
  <c r="S24"/>
  <c r="R24"/>
  <c r="Q24"/>
  <c r="P24"/>
  <c r="O24"/>
  <c r="N24"/>
  <c r="M24"/>
  <c r="L24"/>
  <c r="K24"/>
  <c r="J24"/>
  <c r="I24"/>
  <c r="G24"/>
  <c r="F24"/>
  <c r="E24"/>
  <c r="U1" i="9"/>
  <c r="U2"/>
  <c r="U3"/>
  <c r="U4"/>
  <c r="U5"/>
  <c r="U6"/>
  <c r="U7"/>
  <c r="U8"/>
  <c r="U9"/>
  <c r="U10"/>
  <c r="U11"/>
  <c r="U12"/>
  <c r="U13"/>
  <c r="U14"/>
  <c r="U15"/>
  <c r="U16"/>
  <c r="U17"/>
  <c r="U18"/>
  <c r="U19"/>
  <c r="U20"/>
  <c r="U21"/>
  <c r="U23"/>
  <c r="U24"/>
  <c r="U25"/>
  <c r="U26"/>
  <c r="F3" i="36"/>
  <c r="G3"/>
  <c r="H3"/>
  <c r="I3"/>
  <c r="J3"/>
  <c r="K3"/>
  <c r="L3"/>
  <c r="M3"/>
  <c r="N3"/>
  <c r="O3"/>
  <c r="P3"/>
  <c r="Q3"/>
  <c r="R3"/>
  <c r="S3"/>
  <c r="T3"/>
  <c r="U3"/>
  <c r="V3"/>
  <c r="W3"/>
  <c r="X3"/>
  <c r="Y3"/>
  <c r="C27" i="9"/>
  <c r="D30" i="40"/>
  <c r="X30" i="9"/>
  <c r="D29" i="40"/>
  <c r="X29" i="9"/>
  <c r="D28" i="40"/>
  <c r="X28" i="9"/>
  <c r="D30" i="14"/>
  <c r="L30" i="9" s="1"/>
  <c r="D29" i="14"/>
  <c r="L29" i="9" s="1"/>
  <c r="D28" i="14"/>
  <c r="L28" i="9" s="1"/>
  <c r="D30" i="25"/>
  <c r="P30" i="9" s="1"/>
  <c r="D29" i="25"/>
  <c r="P29" i="9" s="1"/>
  <c r="D28" i="25"/>
  <c r="P28" i="9" s="1"/>
  <c r="D30" i="45"/>
  <c r="V30" i="9" s="1"/>
  <c r="D29" i="45"/>
  <c r="V29" i="9" s="1"/>
  <c r="D28" i="45"/>
  <c r="V28" i="9" s="1"/>
  <c r="D30" i="12"/>
  <c r="J30" i="9" s="1"/>
  <c r="D29" i="12"/>
  <c r="J29" i="9" s="1"/>
  <c r="D28" i="12"/>
  <c r="J28" i="9" s="1"/>
  <c r="D30" i="16"/>
  <c r="F30" i="9" s="1"/>
  <c r="D29" i="16"/>
  <c r="F29" i="9" s="1"/>
  <c r="D28" i="16"/>
  <c r="F28" i="9" s="1"/>
  <c r="D30" i="35"/>
  <c r="N30" i="9" s="1"/>
  <c r="D29" i="35"/>
  <c r="N29" i="9" s="1"/>
  <c r="D28" i="35"/>
  <c r="N28" i="9" s="1"/>
  <c r="D30" i="37"/>
  <c r="H30" i="9" s="1"/>
  <c r="D29" i="37"/>
  <c r="H29" i="9" s="1"/>
  <c r="D28" i="37"/>
  <c r="H28" i="9" s="1"/>
  <c r="D30" i="36"/>
  <c r="R30" i="9" s="1"/>
  <c r="D29" i="36"/>
  <c r="R29" i="9" s="1"/>
  <c r="D28" i="36"/>
  <c r="R28" i="9" s="1"/>
  <c r="D30" i="28"/>
  <c r="B30" i="9" s="1"/>
  <c r="D29" i="28"/>
  <c r="B29" i="9" s="1"/>
  <c r="D28" i="28"/>
  <c r="B28" i="9" s="1"/>
  <c r="D30" i="21"/>
  <c r="D30" i="9" s="1"/>
  <c r="D29" i="21"/>
  <c r="D29" i="9" s="1"/>
  <c r="D28" i="21"/>
  <c r="D28" i="9" s="1"/>
  <c r="X51" i="10"/>
  <c r="Z51" s="1"/>
  <c r="X32"/>
  <c r="Q10" i="9"/>
  <c r="A24"/>
  <c r="I14"/>
  <c r="Q26"/>
  <c r="Q25"/>
  <c r="Q24"/>
  <c r="Q23"/>
  <c r="Q21"/>
  <c r="Q20"/>
  <c r="Q19"/>
  <c r="Q18"/>
  <c r="Q17"/>
  <c r="Q16"/>
  <c r="Q15"/>
  <c r="Q14"/>
  <c r="Q13"/>
  <c r="Q12"/>
  <c r="Q11"/>
  <c r="Q9"/>
  <c r="Q8"/>
  <c r="Q7"/>
  <c r="Q6"/>
  <c r="Q4"/>
  <c r="Q1"/>
  <c r="Q3"/>
  <c r="X40" i="10"/>
  <c r="V25" i="9" s="1"/>
  <c r="M24"/>
  <c r="X39" i="10"/>
  <c r="Z39" s="1"/>
  <c r="N28" i="51" s="1"/>
  <c r="X38" i="10"/>
  <c r="Z38" s="1"/>
  <c r="N18" i="51" s="1"/>
  <c r="X37" i="10"/>
  <c r="Z37" s="1"/>
  <c r="N32" i="51" s="1"/>
  <c r="K24" i="9"/>
  <c r="I26"/>
  <c r="N60" i="19"/>
  <c r="N61"/>
  <c r="B66"/>
  <c r="Z24" i="40"/>
  <c r="Z25"/>
  <c r="Z26"/>
  <c r="X23" i="10"/>
  <c r="Z23" s="1"/>
  <c r="X47"/>
  <c r="Z47" s="1"/>
  <c r="X54"/>
  <c r="Z54" s="1"/>
  <c r="Z26" i="12"/>
  <c r="Z25"/>
  <c r="Z24"/>
  <c r="Z26" i="35"/>
  <c r="Z25"/>
  <c r="Z24"/>
  <c r="Z26" i="37"/>
  <c r="Z25"/>
  <c r="Z24"/>
  <c r="Z26" i="25"/>
  <c r="Z25"/>
  <c r="Z24"/>
  <c r="Z26" i="14"/>
  <c r="Z25"/>
  <c r="Z24"/>
  <c r="Z26" i="28"/>
  <c r="Z25"/>
  <c r="Z24"/>
  <c r="Z26" i="16"/>
  <c r="Z25"/>
  <c r="Z24"/>
  <c r="Z26" i="45"/>
  <c r="Z25"/>
  <c r="Z24"/>
  <c r="Z21" s="1"/>
  <c r="Z26" i="30"/>
  <c r="Z25"/>
  <c r="Z24"/>
  <c r="Z26" i="21"/>
  <c r="Z25"/>
  <c r="X55" i="10"/>
  <c r="Z55" s="1"/>
  <c r="X53"/>
  <c r="Z53" s="1"/>
  <c r="X52"/>
  <c r="Z52" s="1"/>
  <c r="X50"/>
  <c r="Z50" s="1"/>
  <c r="X49"/>
  <c r="Z49" s="1"/>
  <c r="X48"/>
  <c r="Z48" s="1"/>
  <c r="X46"/>
  <c r="Z46" s="1"/>
  <c r="X45"/>
  <c r="Z45" s="1"/>
  <c r="X44"/>
  <c r="Z44" s="1"/>
  <c r="X43"/>
  <c r="Z43" s="1"/>
  <c r="X42"/>
  <c r="A6" i="9"/>
  <c r="K14"/>
  <c r="X41" i="10"/>
  <c r="Z41" s="1"/>
  <c r="N3" i="51" s="1"/>
  <c r="X36" i="10"/>
  <c r="Z36" s="1"/>
  <c r="N14" i="51" s="1"/>
  <c r="X35" i="10"/>
  <c r="G13" i="9"/>
  <c r="C24"/>
  <c r="X34" i="10"/>
  <c r="I5" i="9"/>
  <c r="X31" i="10"/>
  <c r="Z31" s="1"/>
  <c r="N41" i="51" s="1"/>
  <c r="X29" i="10"/>
  <c r="X28"/>
  <c r="Z28" s="1"/>
  <c r="N10" i="51" s="1"/>
  <c r="G11" i="9"/>
  <c r="M25"/>
  <c r="A25"/>
  <c r="X27" i="10"/>
  <c r="V8" i="9" s="1"/>
  <c r="O20"/>
  <c r="X26" i="10"/>
  <c r="Z26" s="1"/>
  <c r="N38" i="51" s="1"/>
  <c r="X25" i="10"/>
  <c r="Z25" s="1"/>
  <c r="N31" i="51" s="1"/>
  <c r="X24" i="10"/>
  <c r="Z24" s="1"/>
  <c r="N22" i="51" s="1"/>
  <c r="I15" i="9"/>
  <c r="O25"/>
  <c r="X22" i="10"/>
  <c r="X21"/>
  <c r="Z21" s="1"/>
  <c r="N27" i="51" s="1"/>
  <c r="X20" i="10"/>
  <c r="Z20" s="1"/>
  <c r="N30" i="51" s="1"/>
  <c r="X19" i="10"/>
  <c r="V15" i="9" s="1"/>
  <c r="O12"/>
  <c r="X18" i="10"/>
  <c r="X17"/>
  <c r="X16"/>
  <c r="Z16" s="1"/>
  <c r="N21" i="51" s="1"/>
  <c r="X15" i="10"/>
  <c r="V18" i="9" s="1"/>
  <c r="O14"/>
  <c r="X14" i="10"/>
  <c r="Z14" s="1"/>
  <c r="N37" i="51" s="1"/>
  <c r="X13" i="10"/>
  <c r="V14" i="9" s="1"/>
  <c r="I11"/>
  <c r="A9"/>
  <c r="O11"/>
  <c r="X12" i="10"/>
  <c r="X11"/>
  <c r="Z11" s="1"/>
  <c r="N20" i="51" s="1"/>
  <c r="M10" i="9"/>
  <c r="X10" i="10"/>
  <c r="Z10" s="1"/>
  <c r="N19" i="51" s="1"/>
  <c r="E12" i="9"/>
  <c r="X9" i="10"/>
  <c r="Z9" s="1"/>
  <c r="N24" i="51" s="1"/>
  <c r="X8" i="10"/>
  <c r="Z8" s="1"/>
  <c r="N29" i="51" s="1"/>
  <c r="O15" i="9"/>
  <c r="K9"/>
  <c r="X7" i="10"/>
  <c r="X6"/>
  <c r="V6" i="9" s="1"/>
  <c r="X5" i="10"/>
  <c r="X4"/>
  <c r="T24" i="9" s="1"/>
  <c r="X3" i="10"/>
  <c r="V13" i="9" s="1"/>
  <c r="X2" i="10"/>
  <c r="V19" i="9" s="1"/>
  <c r="O4"/>
  <c r="W20"/>
  <c r="W21"/>
  <c r="W23"/>
  <c r="W24"/>
  <c r="W25"/>
  <c r="W26"/>
  <c r="W3"/>
  <c r="X30" i="10"/>
  <c r="Z30" s="1"/>
  <c r="N40" i="51" s="1"/>
  <c r="M5" i="9"/>
  <c r="N59" i="19"/>
  <c r="AB20" i="45"/>
  <c r="Z20"/>
  <c r="AB19"/>
  <c r="Z19"/>
  <c r="AB18"/>
  <c r="Z18"/>
  <c r="AB17"/>
  <c r="Z17"/>
  <c r="AB16"/>
  <c r="Z16"/>
  <c r="AB15"/>
  <c r="Z15"/>
  <c r="AB14"/>
  <c r="Z14"/>
  <c r="AB13"/>
  <c r="AB12"/>
  <c r="Z12"/>
  <c r="AB11"/>
  <c r="Z11"/>
  <c r="AB10"/>
  <c r="Z10"/>
  <c r="AB9"/>
  <c r="Z9"/>
  <c r="AB8"/>
  <c r="Z8"/>
  <c r="AB7"/>
  <c r="Z7"/>
  <c r="AB6"/>
  <c r="Z6"/>
  <c r="AB5"/>
  <c r="Z5"/>
  <c r="AB4"/>
  <c r="Z4"/>
  <c r="F20"/>
  <c r="F26"/>
  <c r="F25"/>
  <c r="F24"/>
  <c r="H20"/>
  <c r="H26"/>
  <c r="H25"/>
  <c r="H24"/>
  <c r="J20"/>
  <c r="J26"/>
  <c r="J25"/>
  <c r="J24"/>
  <c r="L20"/>
  <c r="L26"/>
  <c r="L25"/>
  <c r="L24"/>
  <c r="N20"/>
  <c r="N26"/>
  <c r="N25"/>
  <c r="N24"/>
  <c r="P20"/>
  <c r="P26"/>
  <c r="P25"/>
  <c r="P24"/>
  <c r="R20"/>
  <c r="R26"/>
  <c r="R25"/>
  <c r="R24"/>
  <c r="T20"/>
  <c r="T26"/>
  <c r="T25"/>
  <c r="T24"/>
  <c r="V20"/>
  <c r="V26"/>
  <c r="V25"/>
  <c r="V24"/>
  <c r="X20"/>
  <c r="X26"/>
  <c r="X25"/>
  <c r="X24"/>
  <c r="E20"/>
  <c r="E26"/>
  <c r="E25"/>
  <c r="E24"/>
  <c r="G20"/>
  <c r="G26"/>
  <c r="G25"/>
  <c r="G24"/>
  <c r="I20"/>
  <c r="I26"/>
  <c r="I25"/>
  <c r="I24"/>
  <c r="K20"/>
  <c r="K26"/>
  <c r="K25"/>
  <c r="K24"/>
  <c r="M20"/>
  <c r="M26"/>
  <c r="M25"/>
  <c r="M24"/>
  <c r="O20"/>
  <c r="O26"/>
  <c r="O25"/>
  <c r="O24"/>
  <c r="Q20"/>
  <c r="Q26"/>
  <c r="Q25"/>
  <c r="Q24"/>
  <c r="S20"/>
  <c r="S26"/>
  <c r="S25"/>
  <c r="S24"/>
  <c r="U20"/>
  <c r="U26"/>
  <c r="U25"/>
  <c r="U24"/>
  <c r="W20"/>
  <c r="W26"/>
  <c r="W25"/>
  <c r="W24"/>
  <c r="Y20"/>
  <c r="Y26"/>
  <c r="Y25"/>
  <c r="Y24"/>
  <c r="L4"/>
  <c r="H4"/>
  <c r="P4"/>
  <c r="F4"/>
  <c r="J4"/>
  <c r="N4"/>
  <c r="R4"/>
  <c r="T4"/>
  <c r="V4"/>
  <c r="X4"/>
  <c r="F5"/>
  <c r="H5"/>
  <c r="J5"/>
  <c r="L5"/>
  <c r="N5"/>
  <c r="P5"/>
  <c r="R5"/>
  <c r="T5"/>
  <c r="V5"/>
  <c r="X5"/>
  <c r="F6"/>
  <c r="H6"/>
  <c r="J6"/>
  <c r="L6"/>
  <c r="N6"/>
  <c r="P6"/>
  <c r="R6"/>
  <c r="T6"/>
  <c r="V6"/>
  <c r="X6"/>
  <c r="F7"/>
  <c r="H7"/>
  <c r="J7"/>
  <c r="L7"/>
  <c r="N7"/>
  <c r="P7"/>
  <c r="R7"/>
  <c r="T7"/>
  <c r="V7"/>
  <c r="X7"/>
  <c r="F8"/>
  <c r="H8"/>
  <c r="J8"/>
  <c r="L8"/>
  <c r="N8"/>
  <c r="P8"/>
  <c r="R8"/>
  <c r="T8"/>
  <c r="V8"/>
  <c r="X8"/>
  <c r="F9"/>
  <c r="H9"/>
  <c r="J9"/>
  <c r="L9"/>
  <c r="N9"/>
  <c r="P9"/>
  <c r="R9"/>
  <c r="T9"/>
  <c r="V9"/>
  <c r="X9"/>
  <c r="F10"/>
  <c r="H10"/>
  <c r="J10"/>
  <c r="L10"/>
  <c r="N10"/>
  <c r="P10"/>
  <c r="R10"/>
  <c r="T10"/>
  <c r="V10"/>
  <c r="X10"/>
  <c r="F11"/>
  <c r="H11"/>
  <c r="J11"/>
  <c r="L11"/>
  <c r="N11"/>
  <c r="P11"/>
  <c r="R11"/>
  <c r="T11"/>
  <c r="V11"/>
  <c r="X11"/>
  <c r="F12"/>
  <c r="H12"/>
  <c r="J12"/>
  <c r="L12"/>
  <c r="N12"/>
  <c r="P12"/>
  <c r="R12"/>
  <c r="T12"/>
  <c r="V12"/>
  <c r="X12"/>
  <c r="F13"/>
  <c r="H13"/>
  <c r="J13"/>
  <c r="L13"/>
  <c r="N13"/>
  <c r="P13"/>
  <c r="R13"/>
  <c r="T13"/>
  <c r="V13"/>
  <c r="F14"/>
  <c r="H14"/>
  <c r="J14"/>
  <c r="L14"/>
  <c r="N14"/>
  <c r="P14"/>
  <c r="R14"/>
  <c r="T14"/>
  <c r="V14"/>
  <c r="X14"/>
  <c r="F15"/>
  <c r="H15"/>
  <c r="J15"/>
  <c r="L15"/>
  <c r="N15"/>
  <c r="P15"/>
  <c r="R15"/>
  <c r="T15"/>
  <c r="V15"/>
  <c r="X15"/>
  <c r="F16"/>
  <c r="H16"/>
  <c r="J16"/>
  <c r="L16"/>
  <c r="N16"/>
  <c r="P16"/>
  <c r="R16"/>
  <c r="T16"/>
  <c r="V16"/>
  <c r="X16"/>
  <c r="F17"/>
  <c r="H17"/>
  <c r="J17"/>
  <c r="L17"/>
  <c r="N17"/>
  <c r="P17"/>
  <c r="R17"/>
  <c r="T17"/>
  <c r="V17"/>
  <c r="X17"/>
  <c r="F18"/>
  <c r="H18"/>
  <c r="J18"/>
  <c r="L18"/>
  <c r="N18"/>
  <c r="P18"/>
  <c r="R18"/>
  <c r="T18"/>
  <c r="V18"/>
  <c r="X18"/>
  <c r="F19"/>
  <c r="H19"/>
  <c r="J19"/>
  <c r="L19"/>
  <c r="N19"/>
  <c r="P19"/>
  <c r="R19"/>
  <c r="T19"/>
  <c r="V19"/>
  <c r="X19"/>
  <c r="E4"/>
  <c r="G4"/>
  <c r="I4"/>
  <c r="K4"/>
  <c r="M4"/>
  <c r="O4"/>
  <c r="Q4"/>
  <c r="S4"/>
  <c r="U4"/>
  <c r="W4"/>
  <c r="Y4"/>
  <c r="E5"/>
  <c r="G5"/>
  <c r="I5"/>
  <c r="K5"/>
  <c r="M5"/>
  <c r="O5"/>
  <c r="Q5"/>
  <c r="S5"/>
  <c r="U5"/>
  <c r="W5"/>
  <c r="Y5"/>
  <c r="E6"/>
  <c r="G6"/>
  <c r="I6"/>
  <c r="K6"/>
  <c r="M6"/>
  <c r="O6"/>
  <c r="Q6"/>
  <c r="S6"/>
  <c r="U6"/>
  <c r="W6"/>
  <c r="Y6"/>
  <c r="E7"/>
  <c r="G7"/>
  <c r="I7"/>
  <c r="K7"/>
  <c r="M7"/>
  <c r="O7"/>
  <c r="Q7"/>
  <c r="S7"/>
  <c r="U7"/>
  <c r="W7"/>
  <c r="Y7"/>
  <c r="E8"/>
  <c r="G8"/>
  <c r="I8"/>
  <c r="K8"/>
  <c r="M8"/>
  <c r="O8"/>
  <c r="Q8"/>
  <c r="S8"/>
  <c r="U8"/>
  <c r="W8"/>
  <c r="Y8"/>
  <c r="E9"/>
  <c r="G9"/>
  <c r="I9"/>
  <c r="K9"/>
  <c r="M9"/>
  <c r="O9"/>
  <c r="Q9"/>
  <c r="S9"/>
  <c r="U9"/>
  <c r="W9"/>
  <c r="Y9"/>
  <c r="E10"/>
  <c r="G10"/>
  <c r="I10"/>
  <c r="K10"/>
  <c r="M10"/>
  <c r="O10"/>
  <c r="Q10"/>
  <c r="S10"/>
  <c r="U10"/>
  <c r="W10"/>
  <c r="Y10"/>
  <c r="E11"/>
  <c r="G11"/>
  <c r="I11"/>
  <c r="K11"/>
  <c r="M11"/>
  <c r="O11"/>
  <c r="Q11"/>
  <c r="S11"/>
  <c r="U11"/>
  <c r="W11"/>
  <c r="Y11"/>
  <c r="E12"/>
  <c r="G12"/>
  <c r="I12"/>
  <c r="K12"/>
  <c r="M12"/>
  <c r="O12"/>
  <c r="Q12"/>
  <c r="S12"/>
  <c r="U12"/>
  <c r="W12"/>
  <c r="Y12"/>
  <c r="E13"/>
  <c r="G13"/>
  <c r="I13"/>
  <c r="K13"/>
  <c r="M13"/>
  <c r="O13"/>
  <c r="Q13"/>
  <c r="S13"/>
  <c r="U13"/>
  <c r="W13"/>
  <c r="E14"/>
  <c r="G14"/>
  <c r="I14"/>
  <c r="K14"/>
  <c r="M14"/>
  <c r="O14"/>
  <c r="Q14"/>
  <c r="S14"/>
  <c r="U14"/>
  <c r="W14"/>
  <c r="Y14"/>
  <c r="E15"/>
  <c r="G15"/>
  <c r="I15"/>
  <c r="K15"/>
  <c r="M15"/>
  <c r="O15"/>
  <c r="Q15"/>
  <c r="S15"/>
  <c r="U15"/>
  <c r="W15"/>
  <c r="Y15"/>
  <c r="E16"/>
  <c r="G16"/>
  <c r="I16"/>
  <c r="K16"/>
  <c r="M16"/>
  <c r="O16"/>
  <c r="Q16"/>
  <c r="S16"/>
  <c r="U16"/>
  <c r="W16"/>
  <c r="Y16"/>
  <c r="E17"/>
  <c r="G17"/>
  <c r="I17"/>
  <c r="K17"/>
  <c r="M17"/>
  <c r="O17"/>
  <c r="Q17"/>
  <c r="S17"/>
  <c r="U17"/>
  <c r="W17"/>
  <c r="Y17"/>
  <c r="E18"/>
  <c r="G18"/>
  <c r="I18"/>
  <c r="K18"/>
  <c r="M18"/>
  <c r="O18"/>
  <c r="Q18"/>
  <c r="S18"/>
  <c r="U18"/>
  <c r="W18"/>
  <c r="Y18"/>
  <c r="E19"/>
  <c r="G19"/>
  <c r="I19"/>
  <c r="K19"/>
  <c r="M19"/>
  <c r="O19"/>
  <c r="Q19"/>
  <c r="S19"/>
  <c r="U19"/>
  <c r="W19"/>
  <c r="Y19"/>
  <c r="AB14" i="2"/>
  <c r="AA14" s="1"/>
  <c r="AB15"/>
  <c r="AA15" s="1"/>
  <c r="AB16"/>
  <c r="AA16" s="1"/>
  <c r="AB17"/>
  <c r="AA17" s="1"/>
  <c r="AB18"/>
  <c r="AB19"/>
  <c r="AA18"/>
  <c r="AA19"/>
  <c r="Z20" i="40"/>
  <c r="Z19"/>
  <c r="Z18"/>
  <c r="Z17"/>
  <c r="Z16"/>
  <c r="Z15"/>
  <c r="Z14"/>
  <c r="Z13"/>
  <c r="Z12"/>
  <c r="Z11"/>
  <c r="Z10"/>
  <c r="Z9"/>
  <c r="Z8"/>
  <c r="Z7"/>
  <c r="Z6"/>
  <c r="Z5"/>
  <c r="Z4"/>
  <c r="Z22" s="1"/>
  <c r="Z20" i="30"/>
  <c r="Z19"/>
  <c r="Z18"/>
  <c r="Z17"/>
  <c r="Z16"/>
  <c r="Z15"/>
  <c r="Z14"/>
  <c r="Z13"/>
  <c r="Z12"/>
  <c r="Z11"/>
  <c r="Z10"/>
  <c r="Z9"/>
  <c r="Z8"/>
  <c r="Z7"/>
  <c r="Z6"/>
  <c r="Z5"/>
  <c r="Z4"/>
  <c r="Z22" s="1"/>
  <c r="F26"/>
  <c r="F25"/>
  <c r="F24"/>
  <c r="H26"/>
  <c r="H25"/>
  <c r="H24"/>
  <c r="J26"/>
  <c r="J25"/>
  <c r="J24"/>
  <c r="L26"/>
  <c r="L25"/>
  <c r="L24"/>
  <c r="N26"/>
  <c r="N25"/>
  <c r="N24"/>
  <c r="P26"/>
  <c r="P25"/>
  <c r="P24"/>
  <c r="R26"/>
  <c r="R25"/>
  <c r="R24"/>
  <c r="T26"/>
  <c r="T25"/>
  <c r="T24"/>
  <c r="V26"/>
  <c r="V25"/>
  <c r="V24"/>
  <c r="X26"/>
  <c r="X25"/>
  <c r="X24"/>
  <c r="F20" i="40"/>
  <c r="F26"/>
  <c r="F25"/>
  <c r="F24"/>
  <c r="H20"/>
  <c r="H26"/>
  <c r="H25"/>
  <c r="H24"/>
  <c r="J20"/>
  <c r="J24"/>
  <c r="J25"/>
  <c r="J26"/>
  <c r="L20"/>
  <c r="L24"/>
  <c r="L25"/>
  <c r="L26"/>
  <c r="N20"/>
  <c r="N24"/>
  <c r="N25"/>
  <c r="N26"/>
  <c r="P20"/>
  <c r="P24"/>
  <c r="P25"/>
  <c r="P26"/>
  <c r="R20"/>
  <c r="R24"/>
  <c r="R25"/>
  <c r="R26"/>
  <c r="T20"/>
  <c r="T24"/>
  <c r="T25"/>
  <c r="T26"/>
  <c r="V20"/>
  <c r="V24"/>
  <c r="V25"/>
  <c r="V26"/>
  <c r="X20"/>
  <c r="X24"/>
  <c r="X25"/>
  <c r="X26"/>
  <c r="F26" i="16"/>
  <c r="F25"/>
  <c r="F24"/>
  <c r="H26"/>
  <c r="H25"/>
  <c r="H24"/>
  <c r="J26"/>
  <c r="J25"/>
  <c r="J24"/>
  <c r="L26"/>
  <c r="L25"/>
  <c r="L24"/>
  <c r="N26"/>
  <c r="N25"/>
  <c r="N24"/>
  <c r="P26"/>
  <c r="P25"/>
  <c r="P24"/>
  <c r="P21" s="1"/>
  <c r="R26"/>
  <c r="R25"/>
  <c r="R24"/>
  <c r="R21" s="1"/>
  <c r="T26"/>
  <c r="T25"/>
  <c r="T24"/>
  <c r="T21" s="1"/>
  <c r="V26"/>
  <c r="V25"/>
  <c r="V24"/>
  <c r="V21" s="1"/>
  <c r="X26"/>
  <c r="X25"/>
  <c r="X24"/>
  <c r="F26" i="28"/>
  <c r="F25"/>
  <c r="F24"/>
  <c r="H26"/>
  <c r="H25"/>
  <c r="H24"/>
  <c r="J26"/>
  <c r="J25"/>
  <c r="J24"/>
  <c r="L26"/>
  <c r="L25"/>
  <c r="L24"/>
  <c r="N26"/>
  <c r="N25"/>
  <c r="N24"/>
  <c r="N21" s="1"/>
  <c r="P26"/>
  <c r="P25"/>
  <c r="P24"/>
  <c r="R26"/>
  <c r="R25"/>
  <c r="R24"/>
  <c r="T26"/>
  <c r="T25"/>
  <c r="T24"/>
  <c r="V26"/>
  <c r="V25"/>
  <c r="V24"/>
  <c r="X26"/>
  <c r="X25"/>
  <c r="X24"/>
  <c r="F26" i="14"/>
  <c r="F25"/>
  <c r="F24"/>
  <c r="H26"/>
  <c r="H25"/>
  <c r="H24"/>
  <c r="J26"/>
  <c r="J25"/>
  <c r="J24"/>
  <c r="L26"/>
  <c r="L25"/>
  <c r="L24"/>
  <c r="N26"/>
  <c r="N25"/>
  <c r="N24"/>
  <c r="N21" s="1"/>
  <c r="P26"/>
  <c r="P25"/>
  <c r="P24"/>
  <c r="P21" s="1"/>
  <c r="R26"/>
  <c r="R25"/>
  <c r="R24"/>
  <c r="R21" s="1"/>
  <c r="T26"/>
  <c r="T25"/>
  <c r="T24"/>
  <c r="V26"/>
  <c r="V25"/>
  <c r="V24"/>
  <c r="X26"/>
  <c r="X25"/>
  <c r="X24"/>
  <c r="F26" i="25"/>
  <c r="F25"/>
  <c r="F24"/>
  <c r="H26"/>
  <c r="H25"/>
  <c r="H24"/>
  <c r="J26"/>
  <c r="J25"/>
  <c r="J24"/>
  <c r="L26"/>
  <c r="L25"/>
  <c r="L21" s="1"/>
  <c r="L24"/>
  <c r="N26"/>
  <c r="N25"/>
  <c r="N24"/>
  <c r="P26"/>
  <c r="P25"/>
  <c r="P24"/>
  <c r="R26"/>
  <c r="R25"/>
  <c r="R24"/>
  <c r="T26"/>
  <c r="T25"/>
  <c r="T24"/>
  <c r="V26"/>
  <c r="V24"/>
  <c r="X25"/>
  <c r="X24"/>
  <c r="F26" i="37"/>
  <c r="F25"/>
  <c r="F24"/>
  <c r="H26"/>
  <c r="H25"/>
  <c r="H24"/>
  <c r="J26"/>
  <c r="J25"/>
  <c r="J24"/>
  <c r="L26"/>
  <c r="L25"/>
  <c r="L24"/>
  <c r="N26"/>
  <c r="N25"/>
  <c r="N24"/>
  <c r="P26"/>
  <c r="P25"/>
  <c r="P24"/>
  <c r="R26"/>
  <c r="R25"/>
  <c r="R24"/>
  <c r="T26"/>
  <c r="T25"/>
  <c r="T24"/>
  <c r="V26"/>
  <c r="V25"/>
  <c r="V24"/>
  <c r="X26"/>
  <c r="X25"/>
  <c r="X24"/>
  <c r="F26" i="35"/>
  <c r="F25"/>
  <c r="F24"/>
  <c r="H26"/>
  <c r="H25"/>
  <c r="H24"/>
  <c r="J26"/>
  <c r="J21" s="1"/>
  <c r="J25"/>
  <c r="J24"/>
  <c r="L26"/>
  <c r="L21" s="1"/>
  <c r="N26"/>
  <c r="N25"/>
  <c r="N24"/>
  <c r="P26"/>
  <c r="P25"/>
  <c r="P24"/>
  <c r="R26"/>
  <c r="R25"/>
  <c r="R24"/>
  <c r="T26"/>
  <c r="T25"/>
  <c r="T24"/>
  <c r="V26"/>
  <c r="V25"/>
  <c r="V24"/>
  <c r="X26"/>
  <c r="X25"/>
  <c r="X24"/>
  <c r="F26" i="12"/>
  <c r="F25"/>
  <c r="F24"/>
  <c r="H26"/>
  <c r="H25"/>
  <c r="H24"/>
  <c r="J26"/>
  <c r="J25"/>
  <c r="J24"/>
  <c r="L25"/>
  <c r="L24"/>
  <c r="N26"/>
  <c r="N25"/>
  <c r="N24"/>
  <c r="P26"/>
  <c r="P25"/>
  <c r="P24"/>
  <c r="R26"/>
  <c r="R25"/>
  <c r="R24"/>
  <c r="T26"/>
  <c r="T25"/>
  <c r="T24"/>
  <c r="V26"/>
  <c r="V25"/>
  <c r="V24"/>
  <c r="X26"/>
  <c r="X25"/>
  <c r="X24"/>
  <c r="E8" i="30"/>
  <c r="AA8" s="1"/>
  <c r="E26"/>
  <c r="AA26" s="1"/>
  <c r="E25"/>
  <c r="AA25" s="1"/>
  <c r="E24"/>
  <c r="AA24" s="1"/>
  <c r="G7"/>
  <c r="G26"/>
  <c r="G25"/>
  <c r="G24"/>
  <c r="I8"/>
  <c r="I26"/>
  <c r="I25"/>
  <c r="I24"/>
  <c r="K7"/>
  <c r="K26"/>
  <c r="K25"/>
  <c r="K24"/>
  <c r="M8"/>
  <c r="M26"/>
  <c r="M25"/>
  <c r="M24"/>
  <c r="O7"/>
  <c r="O26"/>
  <c r="O25"/>
  <c r="O24"/>
  <c r="Q7"/>
  <c r="Q26"/>
  <c r="Q25"/>
  <c r="Q24"/>
  <c r="S7"/>
  <c r="S26"/>
  <c r="S25"/>
  <c r="S24"/>
  <c r="U7"/>
  <c r="U26"/>
  <c r="U25"/>
  <c r="U24"/>
  <c r="W7"/>
  <c r="W26"/>
  <c r="W25"/>
  <c r="W24"/>
  <c r="Y7"/>
  <c r="Y26"/>
  <c r="Y25"/>
  <c r="Y24"/>
  <c r="E20" i="40"/>
  <c r="AA20" s="1"/>
  <c r="E26"/>
  <c r="AA26" s="1"/>
  <c r="E25"/>
  <c r="AA25" s="1"/>
  <c r="E24"/>
  <c r="AA24" s="1"/>
  <c r="G20"/>
  <c r="G26"/>
  <c r="G25"/>
  <c r="G24"/>
  <c r="I20"/>
  <c r="I24"/>
  <c r="I25"/>
  <c r="I26"/>
  <c r="K20"/>
  <c r="K24"/>
  <c r="K25"/>
  <c r="K26"/>
  <c r="M20"/>
  <c r="M24"/>
  <c r="M25"/>
  <c r="M26"/>
  <c r="O20"/>
  <c r="O24"/>
  <c r="O25"/>
  <c r="O26"/>
  <c r="Q20"/>
  <c r="Q24"/>
  <c r="Q25"/>
  <c r="Q26"/>
  <c r="S20"/>
  <c r="S24"/>
  <c r="S25"/>
  <c r="S26"/>
  <c r="U20"/>
  <c r="U24"/>
  <c r="U25"/>
  <c r="U26"/>
  <c r="W20"/>
  <c r="W24"/>
  <c r="W25"/>
  <c r="W26"/>
  <c r="Y20"/>
  <c r="Y24"/>
  <c r="Y25"/>
  <c r="Y26"/>
  <c r="E26" i="16"/>
  <c r="E25"/>
  <c r="E24"/>
  <c r="G26"/>
  <c r="G25"/>
  <c r="G24"/>
  <c r="I26"/>
  <c r="I25"/>
  <c r="I24"/>
  <c r="K26"/>
  <c r="K25"/>
  <c r="K24"/>
  <c r="M26"/>
  <c r="M25"/>
  <c r="M24"/>
  <c r="O26"/>
  <c r="O25"/>
  <c r="O24"/>
  <c r="Q26"/>
  <c r="Q25"/>
  <c r="Q24"/>
  <c r="Q21" s="1"/>
  <c r="S26"/>
  <c r="S25"/>
  <c r="S24"/>
  <c r="S21" s="1"/>
  <c r="U26"/>
  <c r="U25"/>
  <c r="U24"/>
  <c r="W26"/>
  <c r="W25"/>
  <c r="W24"/>
  <c r="Y26"/>
  <c r="Y25"/>
  <c r="Y24"/>
  <c r="Y21" s="1"/>
  <c r="E26" i="28"/>
  <c r="E25"/>
  <c r="E24"/>
  <c r="G26"/>
  <c r="G25"/>
  <c r="G24"/>
  <c r="I26"/>
  <c r="I25"/>
  <c r="I24"/>
  <c r="K26"/>
  <c r="K25"/>
  <c r="K24"/>
  <c r="M26"/>
  <c r="M25"/>
  <c r="M24"/>
  <c r="M21" s="1"/>
  <c r="O26"/>
  <c r="O25"/>
  <c r="O24"/>
  <c r="Q26"/>
  <c r="Q24"/>
  <c r="S26"/>
  <c r="S25"/>
  <c r="S24"/>
  <c r="U26"/>
  <c r="U25"/>
  <c r="U24"/>
  <c r="W26"/>
  <c r="W25"/>
  <c r="W24"/>
  <c r="Y26"/>
  <c r="Y25"/>
  <c r="Y24"/>
  <c r="E26" i="14"/>
  <c r="E25"/>
  <c r="E24"/>
  <c r="G26"/>
  <c r="G25"/>
  <c r="G24"/>
  <c r="I26"/>
  <c r="I24"/>
  <c r="K26"/>
  <c r="K25"/>
  <c r="K24"/>
  <c r="M26"/>
  <c r="M25"/>
  <c r="M24"/>
  <c r="O26"/>
  <c r="O25"/>
  <c r="O24"/>
  <c r="O21" s="1"/>
  <c r="Q26"/>
  <c r="Q25"/>
  <c r="Q24"/>
  <c r="Q21" s="1"/>
  <c r="S26"/>
  <c r="S25"/>
  <c r="S24"/>
  <c r="S21" s="1"/>
  <c r="U26"/>
  <c r="U25"/>
  <c r="U24"/>
  <c r="W26"/>
  <c r="W25"/>
  <c r="W24"/>
  <c r="Y26"/>
  <c r="Y25"/>
  <c r="Y24"/>
  <c r="E26" i="25"/>
  <c r="E25"/>
  <c r="E24"/>
  <c r="G26"/>
  <c r="G25"/>
  <c r="G24"/>
  <c r="I26"/>
  <c r="I25"/>
  <c r="I24"/>
  <c r="K26"/>
  <c r="K25"/>
  <c r="K21" s="1"/>
  <c r="K24"/>
  <c r="M26"/>
  <c r="M25"/>
  <c r="M24"/>
  <c r="O26"/>
  <c r="O25"/>
  <c r="O24"/>
  <c r="Q26"/>
  <c r="Q25"/>
  <c r="Q24"/>
  <c r="S26"/>
  <c r="S25"/>
  <c r="S24"/>
  <c r="U26"/>
  <c r="U25"/>
  <c r="U24"/>
  <c r="W26"/>
  <c r="W25"/>
  <c r="Y26"/>
  <c r="Y25"/>
  <c r="Y24"/>
  <c r="E26" i="37"/>
  <c r="E25"/>
  <c r="E24"/>
  <c r="G26"/>
  <c r="G25"/>
  <c r="G24"/>
  <c r="I26"/>
  <c r="I25"/>
  <c r="I24"/>
  <c r="K25"/>
  <c r="K24"/>
  <c r="M26"/>
  <c r="M25"/>
  <c r="M24"/>
  <c r="O26"/>
  <c r="O25"/>
  <c r="O24"/>
  <c r="Q26"/>
  <c r="Q25"/>
  <c r="Q24"/>
  <c r="S26"/>
  <c r="S25"/>
  <c r="S24"/>
  <c r="U26"/>
  <c r="U25"/>
  <c r="U24"/>
  <c r="W26"/>
  <c r="W25"/>
  <c r="W24"/>
  <c r="Y26"/>
  <c r="Y25"/>
  <c r="Y24"/>
  <c r="E26" i="35"/>
  <c r="E25"/>
  <c r="E24"/>
  <c r="G26"/>
  <c r="G25"/>
  <c r="G24"/>
  <c r="I26"/>
  <c r="I25"/>
  <c r="I24"/>
  <c r="K26"/>
  <c r="K21" s="1"/>
  <c r="K25"/>
  <c r="M26"/>
  <c r="M21" s="1"/>
  <c r="M25"/>
  <c r="M24"/>
  <c r="O26"/>
  <c r="O25"/>
  <c r="O24"/>
  <c r="Q26"/>
  <c r="Q25"/>
  <c r="Q24"/>
  <c r="S26"/>
  <c r="S25"/>
  <c r="S24"/>
  <c r="U26"/>
  <c r="U25"/>
  <c r="U24"/>
  <c r="W26"/>
  <c r="W25"/>
  <c r="W24"/>
  <c r="Y26"/>
  <c r="Y25"/>
  <c r="Y24"/>
  <c r="E26" i="12"/>
  <c r="E25"/>
  <c r="E24"/>
  <c r="G26"/>
  <c r="G25"/>
  <c r="G24"/>
  <c r="I26"/>
  <c r="I25"/>
  <c r="I24"/>
  <c r="K26"/>
  <c r="K24"/>
  <c r="M26"/>
  <c r="M21" s="1"/>
  <c r="M25"/>
  <c r="M24"/>
  <c r="O26"/>
  <c r="O25"/>
  <c r="O24"/>
  <c r="Q26"/>
  <c r="Q25"/>
  <c r="S26"/>
  <c r="S25"/>
  <c r="S24"/>
  <c r="U26"/>
  <c r="U25"/>
  <c r="U24"/>
  <c r="W26"/>
  <c r="W25"/>
  <c r="W24"/>
  <c r="Y26"/>
  <c r="Y25"/>
  <c r="Y24"/>
  <c r="G4" i="30"/>
  <c r="G22" s="1"/>
  <c r="K4"/>
  <c r="K22" s="1"/>
  <c r="O4"/>
  <c r="O22" s="1"/>
  <c r="S4"/>
  <c r="S22" s="1"/>
  <c r="W4"/>
  <c r="W22" s="1"/>
  <c r="G5"/>
  <c r="K5"/>
  <c r="O5"/>
  <c r="F4" i="40"/>
  <c r="F22" s="1"/>
  <c r="J4"/>
  <c r="J22" s="1"/>
  <c r="N4"/>
  <c r="N22" s="1"/>
  <c r="R4"/>
  <c r="R22" s="1"/>
  <c r="V4"/>
  <c r="V22" s="1"/>
  <c r="E4" i="30"/>
  <c r="E22" s="1"/>
  <c r="I4"/>
  <c r="I22" s="1"/>
  <c r="M4"/>
  <c r="M22" s="1"/>
  <c r="Q4"/>
  <c r="Q22" s="1"/>
  <c r="U4"/>
  <c r="U22" s="1"/>
  <c r="Y4"/>
  <c r="Y22" s="1"/>
  <c r="E5"/>
  <c r="AA5" s="1"/>
  <c r="I5"/>
  <c r="M5"/>
  <c r="H4" i="40"/>
  <c r="H22" s="1"/>
  <c r="L4"/>
  <c r="L22" s="1"/>
  <c r="P4"/>
  <c r="P22" s="1"/>
  <c r="T4"/>
  <c r="T22" s="1"/>
  <c r="X4"/>
  <c r="X22" s="1"/>
  <c r="H20" i="30"/>
  <c r="H19"/>
  <c r="H18"/>
  <c r="H17"/>
  <c r="H16"/>
  <c r="H15"/>
  <c r="H14"/>
  <c r="H13"/>
  <c r="H12"/>
  <c r="H11"/>
  <c r="H10"/>
  <c r="H9"/>
  <c r="H8"/>
  <c r="L20"/>
  <c r="L19"/>
  <c r="L18"/>
  <c r="L17"/>
  <c r="L16"/>
  <c r="L15"/>
  <c r="L14"/>
  <c r="L13"/>
  <c r="L12"/>
  <c r="L11"/>
  <c r="L10"/>
  <c r="L9"/>
  <c r="L8"/>
  <c r="P20"/>
  <c r="P19"/>
  <c r="P18"/>
  <c r="P17"/>
  <c r="P16"/>
  <c r="P15"/>
  <c r="P14"/>
  <c r="P13"/>
  <c r="P12"/>
  <c r="P11"/>
  <c r="P10"/>
  <c r="P9"/>
  <c r="P8"/>
  <c r="T20"/>
  <c r="T19"/>
  <c r="T18"/>
  <c r="T17"/>
  <c r="T16"/>
  <c r="T15"/>
  <c r="T14"/>
  <c r="T13"/>
  <c r="T12"/>
  <c r="T11"/>
  <c r="T10"/>
  <c r="T9"/>
  <c r="T8"/>
  <c r="X20"/>
  <c r="X19"/>
  <c r="X18"/>
  <c r="X17"/>
  <c r="X16"/>
  <c r="X15"/>
  <c r="X14"/>
  <c r="X13"/>
  <c r="X12"/>
  <c r="X11"/>
  <c r="X10"/>
  <c r="X9"/>
  <c r="X8"/>
  <c r="Q5"/>
  <c r="S5"/>
  <c r="U5"/>
  <c r="W5"/>
  <c r="Y5"/>
  <c r="E6"/>
  <c r="AA6" s="1"/>
  <c r="G6"/>
  <c r="I6"/>
  <c r="K6"/>
  <c r="M6"/>
  <c r="O6"/>
  <c r="Q6"/>
  <c r="S6"/>
  <c r="U6"/>
  <c r="W6"/>
  <c r="Y6"/>
  <c r="E7"/>
  <c r="AA7" s="1"/>
  <c r="I7"/>
  <c r="M7"/>
  <c r="F20"/>
  <c r="F19"/>
  <c r="F18"/>
  <c r="F17"/>
  <c r="F16"/>
  <c r="F15"/>
  <c r="F14"/>
  <c r="F13"/>
  <c r="F12"/>
  <c r="F11"/>
  <c r="F10"/>
  <c r="F9"/>
  <c r="F8"/>
  <c r="J20"/>
  <c r="J19"/>
  <c r="J18"/>
  <c r="J17"/>
  <c r="J16"/>
  <c r="J15"/>
  <c r="J14"/>
  <c r="J13"/>
  <c r="J12"/>
  <c r="J11"/>
  <c r="J10"/>
  <c r="J9"/>
  <c r="J8"/>
  <c r="N20"/>
  <c r="N19"/>
  <c r="N18"/>
  <c r="N17"/>
  <c r="N16"/>
  <c r="N15"/>
  <c r="N14"/>
  <c r="N13"/>
  <c r="N12"/>
  <c r="N11"/>
  <c r="N10"/>
  <c r="N9"/>
  <c r="N8"/>
  <c r="R20"/>
  <c r="R19"/>
  <c r="R18"/>
  <c r="R17"/>
  <c r="R16"/>
  <c r="R15"/>
  <c r="R14"/>
  <c r="R13"/>
  <c r="R12"/>
  <c r="R11"/>
  <c r="R10"/>
  <c r="R9"/>
  <c r="R8"/>
  <c r="V20"/>
  <c r="V19"/>
  <c r="V18"/>
  <c r="V17"/>
  <c r="V16"/>
  <c r="V15"/>
  <c r="V14"/>
  <c r="V13"/>
  <c r="V12"/>
  <c r="V11"/>
  <c r="V10"/>
  <c r="V9"/>
  <c r="V8"/>
  <c r="E20"/>
  <c r="AA20" s="1"/>
  <c r="E19"/>
  <c r="AA19" s="1"/>
  <c r="E18"/>
  <c r="AA18" s="1"/>
  <c r="E17"/>
  <c r="AA17" s="1"/>
  <c r="E16"/>
  <c r="AA16" s="1"/>
  <c r="E15"/>
  <c r="AA15" s="1"/>
  <c r="E14"/>
  <c r="AA14" s="1"/>
  <c r="E13"/>
  <c r="AA13" s="1"/>
  <c r="E12"/>
  <c r="AA12" s="1"/>
  <c r="E11"/>
  <c r="AA11" s="1"/>
  <c r="E10"/>
  <c r="AA10" s="1"/>
  <c r="E9"/>
  <c r="AA9" s="1"/>
  <c r="G20"/>
  <c r="G19"/>
  <c r="G18"/>
  <c r="G17"/>
  <c r="G16"/>
  <c r="G15"/>
  <c r="G14"/>
  <c r="G13"/>
  <c r="G12"/>
  <c r="G11"/>
  <c r="G10"/>
  <c r="G9"/>
  <c r="I20"/>
  <c r="I19"/>
  <c r="I18"/>
  <c r="I17"/>
  <c r="I16"/>
  <c r="I15"/>
  <c r="I14"/>
  <c r="I13"/>
  <c r="I12"/>
  <c r="I11"/>
  <c r="I10"/>
  <c r="I9"/>
  <c r="K20"/>
  <c r="K19"/>
  <c r="K18"/>
  <c r="K17"/>
  <c r="K16"/>
  <c r="K15"/>
  <c r="K14"/>
  <c r="K13"/>
  <c r="K12"/>
  <c r="K11"/>
  <c r="K10"/>
  <c r="K9"/>
  <c r="M20"/>
  <c r="M19"/>
  <c r="M18"/>
  <c r="M17"/>
  <c r="M16"/>
  <c r="M15"/>
  <c r="M14"/>
  <c r="M13"/>
  <c r="M12"/>
  <c r="M11"/>
  <c r="M10"/>
  <c r="M9"/>
  <c r="O20"/>
  <c r="O19"/>
  <c r="O18"/>
  <c r="O17"/>
  <c r="O16"/>
  <c r="O15"/>
  <c r="O14"/>
  <c r="O13"/>
  <c r="O12"/>
  <c r="O11"/>
  <c r="O10"/>
  <c r="O9"/>
  <c r="O8"/>
  <c r="Q20"/>
  <c r="Q19"/>
  <c r="Q18"/>
  <c r="Q17"/>
  <c r="Q16"/>
  <c r="Q15"/>
  <c r="Q14"/>
  <c r="Q13"/>
  <c r="Q12"/>
  <c r="Q11"/>
  <c r="Q10"/>
  <c r="Q9"/>
  <c r="Q8"/>
  <c r="S20"/>
  <c r="S19"/>
  <c r="S18"/>
  <c r="S17"/>
  <c r="S16"/>
  <c r="S15"/>
  <c r="S14"/>
  <c r="S13"/>
  <c r="S12"/>
  <c r="S11"/>
  <c r="S10"/>
  <c r="S9"/>
  <c r="S8"/>
  <c r="U20"/>
  <c r="U19"/>
  <c r="U18"/>
  <c r="U17"/>
  <c r="U16"/>
  <c r="U15"/>
  <c r="U14"/>
  <c r="U13"/>
  <c r="U12"/>
  <c r="U11"/>
  <c r="U10"/>
  <c r="U9"/>
  <c r="U8"/>
  <c r="W20"/>
  <c r="W19"/>
  <c r="W18"/>
  <c r="W17"/>
  <c r="W16"/>
  <c r="W15"/>
  <c r="W14"/>
  <c r="W13"/>
  <c r="W12"/>
  <c r="W11"/>
  <c r="W10"/>
  <c r="W9"/>
  <c r="W8"/>
  <c r="Y20"/>
  <c r="Y19"/>
  <c r="Y18"/>
  <c r="Y17"/>
  <c r="Y16"/>
  <c r="Y15"/>
  <c r="Y14"/>
  <c r="Y13"/>
  <c r="Y12"/>
  <c r="Y11"/>
  <c r="Y10"/>
  <c r="Y9"/>
  <c r="Y8"/>
  <c r="F4"/>
  <c r="F22" s="1"/>
  <c r="H4"/>
  <c r="H22" s="1"/>
  <c r="J4"/>
  <c r="J22" s="1"/>
  <c r="L4"/>
  <c r="L22" s="1"/>
  <c r="N4"/>
  <c r="N22" s="1"/>
  <c r="P4"/>
  <c r="P22" s="1"/>
  <c r="R4"/>
  <c r="R22" s="1"/>
  <c r="T4"/>
  <c r="T22" s="1"/>
  <c r="V4"/>
  <c r="V22" s="1"/>
  <c r="X4"/>
  <c r="X22" s="1"/>
  <c r="F5"/>
  <c r="H5"/>
  <c r="J5"/>
  <c r="L5"/>
  <c r="N5"/>
  <c r="P5"/>
  <c r="R5"/>
  <c r="T5"/>
  <c r="V5"/>
  <c r="X5"/>
  <c r="F6"/>
  <c r="H6"/>
  <c r="J6"/>
  <c r="L6"/>
  <c r="N6"/>
  <c r="P6"/>
  <c r="R6"/>
  <c r="T6"/>
  <c r="V6"/>
  <c r="X6"/>
  <c r="F7"/>
  <c r="H7"/>
  <c r="J7"/>
  <c r="L7"/>
  <c r="N7"/>
  <c r="P7"/>
  <c r="R7"/>
  <c r="T7"/>
  <c r="V7"/>
  <c r="X7"/>
  <c r="G8"/>
  <c r="K8"/>
  <c r="E4" i="40"/>
  <c r="AA4" s="1"/>
  <c r="AA22" s="1"/>
  <c r="G4"/>
  <c r="G22" s="1"/>
  <c r="I4"/>
  <c r="I22" s="1"/>
  <c r="K4"/>
  <c r="K22" s="1"/>
  <c r="M4"/>
  <c r="M22" s="1"/>
  <c r="O4"/>
  <c r="O22" s="1"/>
  <c r="Q4"/>
  <c r="Q22" s="1"/>
  <c r="S4"/>
  <c r="S22" s="1"/>
  <c r="U4"/>
  <c r="U22" s="1"/>
  <c r="W4"/>
  <c r="W22" s="1"/>
  <c r="Y4"/>
  <c r="Y22" s="1"/>
  <c r="E5"/>
  <c r="AA5" s="1"/>
  <c r="G5"/>
  <c r="I5"/>
  <c r="K5"/>
  <c r="M5"/>
  <c r="O5"/>
  <c r="Q5"/>
  <c r="S5"/>
  <c r="U5"/>
  <c r="W5"/>
  <c r="Y5"/>
  <c r="E6"/>
  <c r="AA6" s="1"/>
  <c r="G6"/>
  <c r="I6"/>
  <c r="K6"/>
  <c r="M6"/>
  <c r="O6"/>
  <c r="Q6"/>
  <c r="S6"/>
  <c r="U6"/>
  <c r="W6"/>
  <c r="Y6"/>
  <c r="E7"/>
  <c r="AA7" s="1"/>
  <c r="G7"/>
  <c r="I7"/>
  <c r="K7"/>
  <c r="M7"/>
  <c r="O7"/>
  <c r="Q7"/>
  <c r="S7"/>
  <c r="U7"/>
  <c r="W7"/>
  <c r="Y7"/>
  <c r="E8"/>
  <c r="AA8" s="1"/>
  <c r="G8"/>
  <c r="I8"/>
  <c r="K8"/>
  <c r="M8"/>
  <c r="O8"/>
  <c r="Q8"/>
  <c r="S8"/>
  <c r="U8"/>
  <c r="W8"/>
  <c r="Y8"/>
  <c r="E9"/>
  <c r="AA9" s="1"/>
  <c r="G9"/>
  <c r="I9"/>
  <c r="K9"/>
  <c r="M9"/>
  <c r="O9"/>
  <c r="Q9"/>
  <c r="S9"/>
  <c r="U9"/>
  <c r="W9"/>
  <c r="Y9"/>
  <c r="E10"/>
  <c r="AA10" s="1"/>
  <c r="G10"/>
  <c r="I10"/>
  <c r="K10"/>
  <c r="M10"/>
  <c r="O10"/>
  <c r="Q10"/>
  <c r="S10"/>
  <c r="U10"/>
  <c r="W10"/>
  <c r="Y10"/>
  <c r="E11"/>
  <c r="AA11" s="1"/>
  <c r="G11"/>
  <c r="I11"/>
  <c r="K11"/>
  <c r="M11"/>
  <c r="O11"/>
  <c r="Q11"/>
  <c r="S11"/>
  <c r="U11"/>
  <c r="W11"/>
  <c r="Y11"/>
  <c r="E12"/>
  <c r="AA12" s="1"/>
  <c r="G12"/>
  <c r="I12"/>
  <c r="K12"/>
  <c r="M12"/>
  <c r="O12"/>
  <c r="Q12"/>
  <c r="S12"/>
  <c r="U12"/>
  <c r="W12"/>
  <c r="Y12"/>
  <c r="E13"/>
  <c r="AA13" s="1"/>
  <c r="G13"/>
  <c r="I13"/>
  <c r="K13"/>
  <c r="M13"/>
  <c r="O13"/>
  <c r="Q13"/>
  <c r="S13"/>
  <c r="U13"/>
  <c r="W13"/>
  <c r="Y13"/>
  <c r="E14"/>
  <c r="AA14" s="1"/>
  <c r="G14"/>
  <c r="I14"/>
  <c r="K14"/>
  <c r="M14"/>
  <c r="O14"/>
  <c r="Q14"/>
  <c r="S14"/>
  <c r="U14"/>
  <c r="W14"/>
  <c r="Y14"/>
  <c r="E15"/>
  <c r="AA15" s="1"/>
  <c r="G15"/>
  <c r="I15"/>
  <c r="K15"/>
  <c r="M15"/>
  <c r="O15"/>
  <c r="Q15"/>
  <c r="S15"/>
  <c r="U15"/>
  <c r="W15"/>
  <c r="Y15"/>
  <c r="E16"/>
  <c r="AA16" s="1"/>
  <c r="G16"/>
  <c r="I16"/>
  <c r="K16"/>
  <c r="M16"/>
  <c r="O16"/>
  <c r="Q16"/>
  <c r="S16"/>
  <c r="U16"/>
  <c r="W16"/>
  <c r="Y16"/>
  <c r="E17"/>
  <c r="AA17" s="1"/>
  <c r="G17"/>
  <c r="I17"/>
  <c r="K17"/>
  <c r="M17"/>
  <c r="O17"/>
  <c r="Q17"/>
  <c r="S17"/>
  <c r="U17"/>
  <c r="W17"/>
  <c r="Y17"/>
  <c r="E18"/>
  <c r="AA18" s="1"/>
  <c r="G18"/>
  <c r="I18"/>
  <c r="K18"/>
  <c r="M18"/>
  <c r="O18"/>
  <c r="Q18"/>
  <c r="S18"/>
  <c r="U18"/>
  <c r="W18"/>
  <c r="Y18"/>
  <c r="E19"/>
  <c r="AA19" s="1"/>
  <c r="G19"/>
  <c r="I19"/>
  <c r="K19"/>
  <c r="M19"/>
  <c r="O19"/>
  <c r="Q19"/>
  <c r="S19"/>
  <c r="U19"/>
  <c r="W19"/>
  <c r="Y19"/>
  <c r="F5"/>
  <c r="H5"/>
  <c r="J5"/>
  <c r="L5"/>
  <c r="N5"/>
  <c r="P5"/>
  <c r="R5"/>
  <c r="T5"/>
  <c r="V5"/>
  <c r="X5"/>
  <c r="F6"/>
  <c r="H6"/>
  <c r="J6"/>
  <c r="L6"/>
  <c r="N6"/>
  <c r="P6"/>
  <c r="R6"/>
  <c r="T6"/>
  <c r="V6"/>
  <c r="X6"/>
  <c r="F7"/>
  <c r="H7"/>
  <c r="J7"/>
  <c r="L7"/>
  <c r="N7"/>
  <c r="P7"/>
  <c r="R7"/>
  <c r="T7"/>
  <c r="V7"/>
  <c r="X7"/>
  <c r="F8"/>
  <c r="H8"/>
  <c r="J8"/>
  <c r="L8"/>
  <c r="N8"/>
  <c r="P8"/>
  <c r="R8"/>
  <c r="T8"/>
  <c r="V8"/>
  <c r="X8"/>
  <c r="F9"/>
  <c r="H9"/>
  <c r="J9"/>
  <c r="L9"/>
  <c r="N9"/>
  <c r="P9"/>
  <c r="R9"/>
  <c r="T9"/>
  <c r="V9"/>
  <c r="X9"/>
  <c r="F10"/>
  <c r="H10"/>
  <c r="J10"/>
  <c r="L10"/>
  <c r="N10"/>
  <c r="P10"/>
  <c r="R10"/>
  <c r="T10"/>
  <c r="V10"/>
  <c r="X10"/>
  <c r="F11"/>
  <c r="H11"/>
  <c r="J11"/>
  <c r="L11"/>
  <c r="N11"/>
  <c r="P11"/>
  <c r="R11"/>
  <c r="T11"/>
  <c r="V11"/>
  <c r="X11"/>
  <c r="F12"/>
  <c r="H12"/>
  <c r="J12"/>
  <c r="L12"/>
  <c r="N12"/>
  <c r="P12"/>
  <c r="R12"/>
  <c r="T12"/>
  <c r="V12"/>
  <c r="X12"/>
  <c r="F13"/>
  <c r="H13"/>
  <c r="J13"/>
  <c r="L13"/>
  <c r="N13"/>
  <c r="P13"/>
  <c r="R13"/>
  <c r="T13"/>
  <c r="V13"/>
  <c r="X13"/>
  <c r="F14"/>
  <c r="H14"/>
  <c r="J14"/>
  <c r="L14"/>
  <c r="N14"/>
  <c r="P14"/>
  <c r="R14"/>
  <c r="T14"/>
  <c r="V14"/>
  <c r="X14"/>
  <c r="F15"/>
  <c r="H15"/>
  <c r="J15"/>
  <c r="L15"/>
  <c r="N15"/>
  <c r="P15"/>
  <c r="R15"/>
  <c r="T15"/>
  <c r="V15"/>
  <c r="X15"/>
  <c r="F16"/>
  <c r="H16"/>
  <c r="J16"/>
  <c r="L16"/>
  <c r="N16"/>
  <c r="P16"/>
  <c r="R16"/>
  <c r="T16"/>
  <c r="V16"/>
  <c r="X16"/>
  <c r="F17"/>
  <c r="H17"/>
  <c r="J17"/>
  <c r="L17"/>
  <c r="N17"/>
  <c r="P17"/>
  <c r="R17"/>
  <c r="T17"/>
  <c r="V17"/>
  <c r="X17"/>
  <c r="F18"/>
  <c r="H18"/>
  <c r="J18"/>
  <c r="L18"/>
  <c r="N18"/>
  <c r="P18"/>
  <c r="R18"/>
  <c r="T18"/>
  <c r="V18"/>
  <c r="X18"/>
  <c r="F19"/>
  <c r="H19"/>
  <c r="J19"/>
  <c r="L19"/>
  <c r="N19"/>
  <c r="P19"/>
  <c r="R19"/>
  <c r="T19"/>
  <c r="V19"/>
  <c r="X19"/>
  <c r="D36" i="2"/>
  <c r="AD36" s="1"/>
  <c r="F24" i="21"/>
  <c r="F26"/>
  <c r="F25"/>
  <c r="D21" i="2"/>
  <c r="AD21" s="1"/>
  <c r="E3" i="17"/>
  <c r="E4"/>
  <c r="E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Z4"/>
  <c r="Z22" s="1"/>
  <c r="AB4"/>
  <c r="E5"/>
  <c r="AA5" s="1"/>
  <c r="F5"/>
  <c r="G5"/>
  <c r="H5"/>
  <c r="I5"/>
  <c r="J5"/>
  <c r="K5"/>
  <c r="L5"/>
  <c r="M5"/>
  <c r="N5"/>
  <c r="O5"/>
  <c r="P5"/>
  <c r="Q5"/>
  <c r="R5"/>
  <c r="S5"/>
  <c r="T5"/>
  <c r="U5"/>
  <c r="V5"/>
  <c r="W5"/>
  <c r="X5"/>
  <c r="Y5"/>
  <c r="Z5"/>
  <c r="AB5"/>
  <c r="E6"/>
  <c r="AA6" s="1"/>
  <c r="F6"/>
  <c r="G6"/>
  <c r="H6"/>
  <c r="I6"/>
  <c r="J6"/>
  <c r="K6"/>
  <c r="L6"/>
  <c r="M6"/>
  <c r="N6"/>
  <c r="O6"/>
  <c r="P6"/>
  <c r="Q6"/>
  <c r="R6"/>
  <c r="S6"/>
  <c r="T6"/>
  <c r="U6"/>
  <c r="V6"/>
  <c r="W6"/>
  <c r="X6"/>
  <c r="Y6"/>
  <c r="Z6"/>
  <c r="AB6"/>
  <c r="E7"/>
  <c r="AA7" s="1"/>
  <c r="F7"/>
  <c r="G7"/>
  <c r="H7"/>
  <c r="I7"/>
  <c r="J7"/>
  <c r="K7"/>
  <c r="L7"/>
  <c r="M7"/>
  <c r="N7"/>
  <c r="O7"/>
  <c r="P7"/>
  <c r="Q7"/>
  <c r="R7"/>
  <c r="S7"/>
  <c r="T7"/>
  <c r="U7"/>
  <c r="V7"/>
  <c r="W7"/>
  <c r="X7"/>
  <c r="Y7"/>
  <c r="Z7"/>
  <c r="AB7"/>
  <c r="E8"/>
  <c r="AA8" s="1"/>
  <c r="F8"/>
  <c r="G8"/>
  <c r="H8"/>
  <c r="I8"/>
  <c r="J8"/>
  <c r="K8"/>
  <c r="L8"/>
  <c r="M8"/>
  <c r="N8"/>
  <c r="O8"/>
  <c r="P8"/>
  <c r="Q8"/>
  <c r="R8"/>
  <c r="S8"/>
  <c r="T8"/>
  <c r="U8"/>
  <c r="V8"/>
  <c r="W8"/>
  <c r="X8"/>
  <c r="Y8"/>
  <c r="Z8"/>
  <c r="AB8"/>
  <c r="E9"/>
  <c r="AA9" s="1"/>
  <c r="F9"/>
  <c r="G9"/>
  <c r="H9"/>
  <c r="I9"/>
  <c r="J9"/>
  <c r="K9"/>
  <c r="L9"/>
  <c r="M9"/>
  <c r="N9"/>
  <c r="O9"/>
  <c r="P9"/>
  <c r="Q9"/>
  <c r="R9"/>
  <c r="S9"/>
  <c r="T9"/>
  <c r="U9"/>
  <c r="V9"/>
  <c r="W9"/>
  <c r="X9"/>
  <c r="Y9"/>
  <c r="Z9"/>
  <c r="AB9"/>
  <c r="E10"/>
  <c r="AA10" s="1"/>
  <c r="F10"/>
  <c r="G10"/>
  <c r="H10"/>
  <c r="I10"/>
  <c r="J10"/>
  <c r="K10"/>
  <c r="L10"/>
  <c r="M10"/>
  <c r="N10"/>
  <c r="O10"/>
  <c r="P10"/>
  <c r="Q10"/>
  <c r="R10"/>
  <c r="S10"/>
  <c r="T10"/>
  <c r="U10"/>
  <c r="V10"/>
  <c r="W10"/>
  <c r="X10"/>
  <c r="Y10"/>
  <c r="Z10"/>
  <c r="AB10"/>
  <c r="E11"/>
  <c r="AA11" s="1"/>
  <c r="F11"/>
  <c r="G11"/>
  <c r="H11"/>
  <c r="I11"/>
  <c r="J11"/>
  <c r="K11"/>
  <c r="L11"/>
  <c r="M11"/>
  <c r="N11"/>
  <c r="O11"/>
  <c r="P11"/>
  <c r="Q11"/>
  <c r="R11"/>
  <c r="S11"/>
  <c r="T11"/>
  <c r="U11"/>
  <c r="V11"/>
  <c r="W11"/>
  <c r="X11"/>
  <c r="Y11"/>
  <c r="Z11"/>
  <c r="AB11"/>
  <c r="E12"/>
  <c r="AA12" s="1"/>
  <c r="F12"/>
  <c r="G12"/>
  <c r="H12"/>
  <c r="I12"/>
  <c r="J12"/>
  <c r="K12"/>
  <c r="L12"/>
  <c r="M12"/>
  <c r="N12"/>
  <c r="O12"/>
  <c r="P12"/>
  <c r="Q12"/>
  <c r="R12"/>
  <c r="S12"/>
  <c r="T12"/>
  <c r="U12"/>
  <c r="V12"/>
  <c r="W12"/>
  <c r="X12"/>
  <c r="Y12"/>
  <c r="Z12"/>
  <c r="AB12"/>
  <c r="E13"/>
  <c r="AA13" s="1"/>
  <c r="F13"/>
  <c r="G13"/>
  <c r="H13"/>
  <c r="I13"/>
  <c r="J13"/>
  <c r="K13"/>
  <c r="L13"/>
  <c r="M13"/>
  <c r="N13"/>
  <c r="O13"/>
  <c r="P13"/>
  <c r="Q13"/>
  <c r="R13"/>
  <c r="S13"/>
  <c r="T13"/>
  <c r="U13"/>
  <c r="V13"/>
  <c r="W13"/>
  <c r="X13"/>
  <c r="Y13"/>
  <c r="Z13"/>
  <c r="AB13"/>
  <c r="E14"/>
  <c r="AA14" s="1"/>
  <c r="F14"/>
  <c r="G14"/>
  <c r="H14"/>
  <c r="I14"/>
  <c r="J14"/>
  <c r="K14"/>
  <c r="L14"/>
  <c r="M14"/>
  <c r="N14"/>
  <c r="O14"/>
  <c r="P14"/>
  <c r="Q14"/>
  <c r="R14"/>
  <c r="S14"/>
  <c r="T14"/>
  <c r="U14"/>
  <c r="V14"/>
  <c r="W14"/>
  <c r="X14"/>
  <c r="Y14"/>
  <c r="Z14"/>
  <c r="AB14"/>
  <c r="E15"/>
  <c r="AA15" s="1"/>
  <c r="F15"/>
  <c r="G15"/>
  <c r="H15"/>
  <c r="I15"/>
  <c r="J15"/>
  <c r="K15"/>
  <c r="L15"/>
  <c r="M15"/>
  <c r="N15"/>
  <c r="O15"/>
  <c r="P15"/>
  <c r="Q15"/>
  <c r="R15"/>
  <c r="S15"/>
  <c r="T15"/>
  <c r="U15"/>
  <c r="V15"/>
  <c r="W15"/>
  <c r="X15"/>
  <c r="Y15"/>
  <c r="Z15"/>
  <c r="AB15"/>
  <c r="E16"/>
  <c r="AA16" s="1"/>
  <c r="F16"/>
  <c r="G16"/>
  <c r="H16"/>
  <c r="I16"/>
  <c r="J16"/>
  <c r="K16"/>
  <c r="L16"/>
  <c r="M16"/>
  <c r="N16"/>
  <c r="O16"/>
  <c r="P16"/>
  <c r="Q16"/>
  <c r="R16"/>
  <c r="S16"/>
  <c r="T16"/>
  <c r="U16"/>
  <c r="V16"/>
  <c r="W16"/>
  <c r="X16"/>
  <c r="Y16"/>
  <c r="Z16"/>
  <c r="AB16"/>
  <c r="E17"/>
  <c r="AA17" s="1"/>
  <c r="F17"/>
  <c r="G17"/>
  <c r="H17"/>
  <c r="I17"/>
  <c r="J17"/>
  <c r="K17"/>
  <c r="L17"/>
  <c r="M17"/>
  <c r="N17"/>
  <c r="O17"/>
  <c r="P17"/>
  <c r="Q17"/>
  <c r="R17"/>
  <c r="S17"/>
  <c r="T17"/>
  <c r="U17"/>
  <c r="V17"/>
  <c r="W17"/>
  <c r="X17"/>
  <c r="Y17"/>
  <c r="Z17"/>
  <c r="AB17"/>
  <c r="E18"/>
  <c r="AA18" s="1"/>
  <c r="F18"/>
  <c r="G18"/>
  <c r="H18"/>
  <c r="I18"/>
  <c r="J18"/>
  <c r="K18"/>
  <c r="L18"/>
  <c r="M18"/>
  <c r="N18"/>
  <c r="O18"/>
  <c r="P18"/>
  <c r="Q18"/>
  <c r="R18"/>
  <c r="S18"/>
  <c r="T18"/>
  <c r="U18"/>
  <c r="V18"/>
  <c r="W18"/>
  <c r="X18"/>
  <c r="Y18"/>
  <c r="Z18"/>
  <c r="AB18"/>
  <c r="E19"/>
  <c r="AA19" s="1"/>
  <c r="F19"/>
  <c r="G19"/>
  <c r="H19"/>
  <c r="I19"/>
  <c r="J19"/>
  <c r="K19"/>
  <c r="L19"/>
  <c r="M19"/>
  <c r="N19"/>
  <c r="O19"/>
  <c r="P19"/>
  <c r="Q19"/>
  <c r="R19"/>
  <c r="S19"/>
  <c r="T19"/>
  <c r="U19"/>
  <c r="V19"/>
  <c r="W19"/>
  <c r="X19"/>
  <c r="Y19"/>
  <c r="Z19"/>
  <c r="AB19"/>
  <c r="E20"/>
  <c r="AA20" s="1"/>
  <c r="F20"/>
  <c r="G20"/>
  <c r="H20"/>
  <c r="I20"/>
  <c r="J20"/>
  <c r="K20"/>
  <c r="L20"/>
  <c r="M20"/>
  <c r="N20"/>
  <c r="O20"/>
  <c r="P20"/>
  <c r="Q20"/>
  <c r="R20"/>
  <c r="S20"/>
  <c r="T20"/>
  <c r="U20"/>
  <c r="V20"/>
  <c r="W20"/>
  <c r="X20"/>
  <c r="Y20"/>
  <c r="Z20"/>
  <c r="AB20"/>
  <c r="E24"/>
  <c r="F24"/>
  <c r="G24"/>
  <c r="H24"/>
  <c r="I24"/>
  <c r="J24"/>
  <c r="K24"/>
  <c r="L24"/>
  <c r="M24"/>
  <c r="N24"/>
  <c r="O24"/>
  <c r="P24"/>
  <c r="Q24"/>
  <c r="R24"/>
  <c r="S24"/>
  <c r="T24"/>
  <c r="U24"/>
  <c r="V24"/>
  <c r="W24"/>
  <c r="X24"/>
  <c r="Y24"/>
  <c r="Z24"/>
  <c r="AA24"/>
  <c r="E25"/>
  <c r="F25"/>
  <c r="G25"/>
  <c r="H25"/>
  <c r="I25"/>
  <c r="J25"/>
  <c r="K25"/>
  <c r="L25"/>
  <c r="M25"/>
  <c r="N25"/>
  <c r="O25"/>
  <c r="P25"/>
  <c r="Q25"/>
  <c r="R25"/>
  <c r="S25"/>
  <c r="T25"/>
  <c r="U25"/>
  <c r="V25"/>
  <c r="W25"/>
  <c r="X25"/>
  <c r="Y25"/>
  <c r="Z25"/>
  <c r="AA25"/>
  <c r="E26"/>
  <c r="F26"/>
  <c r="G26"/>
  <c r="H26"/>
  <c r="I26"/>
  <c r="J26"/>
  <c r="K26"/>
  <c r="L26"/>
  <c r="M26"/>
  <c r="N26"/>
  <c r="O26"/>
  <c r="P26"/>
  <c r="Q26"/>
  <c r="R26"/>
  <c r="S26"/>
  <c r="T26"/>
  <c r="U26"/>
  <c r="V26"/>
  <c r="W26"/>
  <c r="X26"/>
  <c r="Y26"/>
  <c r="Z26"/>
  <c r="AA26"/>
  <c r="E3" i="34"/>
  <c r="AB7"/>
  <c r="AB6"/>
  <c r="AB13"/>
  <c r="AB12"/>
  <c r="AB15"/>
  <c r="AB20"/>
  <c r="AB8"/>
  <c r="AB16"/>
  <c r="AB10"/>
  <c r="AB4"/>
  <c r="AB11"/>
  <c r="AB17"/>
  <c r="AB18"/>
  <c r="AB5"/>
  <c r="AB14"/>
  <c r="AB19"/>
  <c r="AB9"/>
  <c r="E3" i="15"/>
  <c r="E4"/>
  <c r="AA4" s="1"/>
  <c r="AA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Z4"/>
  <c r="Z22" s="1"/>
  <c r="AB4"/>
  <c r="E5"/>
  <c r="AA5" s="1"/>
  <c r="F5"/>
  <c r="G5"/>
  <c r="H5"/>
  <c r="I5"/>
  <c r="J5"/>
  <c r="K5"/>
  <c r="L5"/>
  <c r="M5"/>
  <c r="N5"/>
  <c r="O5"/>
  <c r="P5"/>
  <c r="Q5"/>
  <c r="R5"/>
  <c r="S5"/>
  <c r="T5"/>
  <c r="U5"/>
  <c r="V5"/>
  <c r="W5"/>
  <c r="X5"/>
  <c r="Y5"/>
  <c r="Z5"/>
  <c r="AB5"/>
  <c r="E6"/>
  <c r="AA6" s="1"/>
  <c r="F6"/>
  <c r="G6"/>
  <c r="H6"/>
  <c r="I6"/>
  <c r="J6"/>
  <c r="K6"/>
  <c r="L6"/>
  <c r="M6"/>
  <c r="N6"/>
  <c r="O6"/>
  <c r="P6"/>
  <c r="Q6"/>
  <c r="R6"/>
  <c r="S6"/>
  <c r="T6"/>
  <c r="U6"/>
  <c r="V6"/>
  <c r="W6"/>
  <c r="X6"/>
  <c r="Y6"/>
  <c r="Z6"/>
  <c r="AB6"/>
  <c r="E7"/>
  <c r="AA7" s="1"/>
  <c r="F7"/>
  <c r="G7"/>
  <c r="H7"/>
  <c r="I7"/>
  <c r="J7"/>
  <c r="K7"/>
  <c r="L7"/>
  <c r="M7"/>
  <c r="N7"/>
  <c r="O7"/>
  <c r="P7"/>
  <c r="Q7"/>
  <c r="R7"/>
  <c r="S7"/>
  <c r="T7"/>
  <c r="U7"/>
  <c r="V7"/>
  <c r="W7"/>
  <c r="X7"/>
  <c r="Y7"/>
  <c r="Z7"/>
  <c r="AB7"/>
  <c r="E8"/>
  <c r="AA8" s="1"/>
  <c r="F8"/>
  <c r="G8"/>
  <c r="H8"/>
  <c r="I8"/>
  <c r="J8"/>
  <c r="K8"/>
  <c r="L8"/>
  <c r="M8"/>
  <c r="N8"/>
  <c r="O8"/>
  <c r="P8"/>
  <c r="Q8"/>
  <c r="R8"/>
  <c r="S8"/>
  <c r="T8"/>
  <c r="U8"/>
  <c r="V8"/>
  <c r="W8"/>
  <c r="X8"/>
  <c r="Y8"/>
  <c r="Z8"/>
  <c r="AB8"/>
  <c r="E9"/>
  <c r="AA9" s="1"/>
  <c r="F9"/>
  <c r="G9"/>
  <c r="H9"/>
  <c r="I9"/>
  <c r="J9"/>
  <c r="K9"/>
  <c r="L9"/>
  <c r="M9"/>
  <c r="N9"/>
  <c r="O9"/>
  <c r="P9"/>
  <c r="Q9"/>
  <c r="R9"/>
  <c r="S9"/>
  <c r="T9"/>
  <c r="U9"/>
  <c r="V9"/>
  <c r="W9"/>
  <c r="X9"/>
  <c r="Y9"/>
  <c r="Z9"/>
  <c r="AB9"/>
  <c r="E10"/>
  <c r="AA10" s="1"/>
  <c r="F10"/>
  <c r="G10"/>
  <c r="H10"/>
  <c r="I10"/>
  <c r="J10"/>
  <c r="K10"/>
  <c r="L10"/>
  <c r="M10"/>
  <c r="N10"/>
  <c r="O10"/>
  <c r="P10"/>
  <c r="Q10"/>
  <c r="R10"/>
  <c r="S10"/>
  <c r="T10"/>
  <c r="U10"/>
  <c r="V10"/>
  <c r="W10"/>
  <c r="X10"/>
  <c r="Y10"/>
  <c r="Z10"/>
  <c r="AB10"/>
  <c r="E11"/>
  <c r="AA11" s="1"/>
  <c r="F11"/>
  <c r="G11"/>
  <c r="H11"/>
  <c r="I11"/>
  <c r="J11"/>
  <c r="K11"/>
  <c r="L11"/>
  <c r="M11"/>
  <c r="N11"/>
  <c r="O11"/>
  <c r="P11"/>
  <c r="Q11"/>
  <c r="R11"/>
  <c r="S11"/>
  <c r="T11"/>
  <c r="U11"/>
  <c r="V11"/>
  <c r="W11"/>
  <c r="X11"/>
  <c r="Y11"/>
  <c r="Z11"/>
  <c r="AB11"/>
  <c r="E12"/>
  <c r="AA12" s="1"/>
  <c r="F12"/>
  <c r="G12"/>
  <c r="H12"/>
  <c r="I12"/>
  <c r="J12"/>
  <c r="K12"/>
  <c r="L12"/>
  <c r="M12"/>
  <c r="N12"/>
  <c r="O12"/>
  <c r="P12"/>
  <c r="Q12"/>
  <c r="R12"/>
  <c r="S12"/>
  <c r="T12"/>
  <c r="U12"/>
  <c r="V12"/>
  <c r="W12"/>
  <c r="X12"/>
  <c r="Y12"/>
  <c r="Z12"/>
  <c r="AB12"/>
  <c r="E13"/>
  <c r="AA13" s="1"/>
  <c r="F13"/>
  <c r="G13"/>
  <c r="H13"/>
  <c r="I13"/>
  <c r="J13"/>
  <c r="K13"/>
  <c r="L13"/>
  <c r="M13"/>
  <c r="N13"/>
  <c r="O13"/>
  <c r="P13"/>
  <c r="Q13"/>
  <c r="R13"/>
  <c r="S13"/>
  <c r="T13"/>
  <c r="U13"/>
  <c r="V13"/>
  <c r="W13"/>
  <c r="X13"/>
  <c r="Y13"/>
  <c r="Z13"/>
  <c r="AB13"/>
  <c r="E14"/>
  <c r="AA14" s="1"/>
  <c r="F14"/>
  <c r="G14"/>
  <c r="H14"/>
  <c r="I14"/>
  <c r="J14"/>
  <c r="K14"/>
  <c r="L14"/>
  <c r="M14"/>
  <c r="N14"/>
  <c r="O14"/>
  <c r="P14"/>
  <c r="Q14"/>
  <c r="R14"/>
  <c r="S14"/>
  <c r="T14"/>
  <c r="U14"/>
  <c r="V14"/>
  <c r="W14"/>
  <c r="X14"/>
  <c r="Y14"/>
  <c r="Z14"/>
  <c r="AB14"/>
  <c r="E15"/>
  <c r="AA15" s="1"/>
  <c r="F15"/>
  <c r="G15"/>
  <c r="H15"/>
  <c r="I15"/>
  <c r="J15"/>
  <c r="K15"/>
  <c r="L15"/>
  <c r="M15"/>
  <c r="N15"/>
  <c r="O15"/>
  <c r="P15"/>
  <c r="Q15"/>
  <c r="R15"/>
  <c r="S15"/>
  <c r="T15"/>
  <c r="U15"/>
  <c r="V15"/>
  <c r="W15"/>
  <c r="X15"/>
  <c r="Y15"/>
  <c r="Z15"/>
  <c r="AB15"/>
  <c r="E16"/>
  <c r="AA16" s="1"/>
  <c r="F16"/>
  <c r="G16"/>
  <c r="H16"/>
  <c r="I16"/>
  <c r="J16"/>
  <c r="K16"/>
  <c r="L16"/>
  <c r="M16"/>
  <c r="N16"/>
  <c r="O16"/>
  <c r="P16"/>
  <c r="Q16"/>
  <c r="R16"/>
  <c r="S16"/>
  <c r="T16"/>
  <c r="U16"/>
  <c r="V16"/>
  <c r="W16"/>
  <c r="X16"/>
  <c r="Y16"/>
  <c r="Z16"/>
  <c r="AB16"/>
  <c r="E17"/>
  <c r="AA17" s="1"/>
  <c r="F17"/>
  <c r="G17"/>
  <c r="H17"/>
  <c r="I17"/>
  <c r="J17"/>
  <c r="K17"/>
  <c r="L17"/>
  <c r="M17"/>
  <c r="N17"/>
  <c r="O17"/>
  <c r="P17"/>
  <c r="Q17"/>
  <c r="R17"/>
  <c r="S17"/>
  <c r="T17"/>
  <c r="U17"/>
  <c r="V17"/>
  <c r="W17"/>
  <c r="X17"/>
  <c r="Y17"/>
  <c r="Z17"/>
  <c r="AB17"/>
  <c r="E18"/>
  <c r="AA18" s="1"/>
  <c r="F18"/>
  <c r="G18"/>
  <c r="H18"/>
  <c r="I18"/>
  <c r="J18"/>
  <c r="K18"/>
  <c r="L18"/>
  <c r="M18"/>
  <c r="N18"/>
  <c r="O18"/>
  <c r="P18"/>
  <c r="Q18"/>
  <c r="R18"/>
  <c r="S18"/>
  <c r="T18"/>
  <c r="U18"/>
  <c r="V18"/>
  <c r="W18"/>
  <c r="X18"/>
  <c r="Y18"/>
  <c r="Z18"/>
  <c r="AB18"/>
  <c r="E19"/>
  <c r="AA19" s="1"/>
  <c r="F19"/>
  <c r="G19"/>
  <c r="H19"/>
  <c r="I19"/>
  <c r="J19"/>
  <c r="K19"/>
  <c r="L19"/>
  <c r="M19"/>
  <c r="N19"/>
  <c r="O19"/>
  <c r="P19"/>
  <c r="Q19"/>
  <c r="R19"/>
  <c r="S19"/>
  <c r="T19"/>
  <c r="U19"/>
  <c r="V19"/>
  <c r="W19"/>
  <c r="X19"/>
  <c r="Y19"/>
  <c r="Z19"/>
  <c r="AB19"/>
  <c r="E20"/>
  <c r="AA20" s="1"/>
  <c r="F20"/>
  <c r="G20"/>
  <c r="H20"/>
  <c r="I20"/>
  <c r="J20"/>
  <c r="K20"/>
  <c r="L20"/>
  <c r="M20"/>
  <c r="N20"/>
  <c r="O20"/>
  <c r="P20"/>
  <c r="Q20"/>
  <c r="R20"/>
  <c r="S20"/>
  <c r="T20"/>
  <c r="U20"/>
  <c r="V20"/>
  <c r="W20"/>
  <c r="X20"/>
  <c r="Y20"/>
  <c r="Z20"/>
  <c r="AB20"/>
  <c r="E24"/>
  <c r="F24"/>
  <c r="G24"/>
  <c r="H24"/>
  <c r="I24"/>
  <c r="J24"/>
  <c r="K24"/>
  <c r="L24"/>
  <c r="M24"/>
  <c r="N24"/>
  <c r="O24"/>
  <c r="P24"/>
  <c r="Q24"/>
  <c r="R24"/>
  <c r="S24"/>
  <c r="T24"/>
  <c r="U24"/>
  <c r="V24"/>
  <c r="W24"/>
  <c r="X24"/>
  <c r="Y24"/>
  <c r="Z24"/>
  <c r="AA24"/>
  <c r="E25"/>
  <c r="F25"/>
  <c r="G25"/>
  <c r="H25"/>
  <c r="I25"/>
  <c r="J25"/>
  <c r="K25"/>
  <c r="L25"/>
  <c r="M25"/>
  <c r="N25"/>
  <c r="O25"/>
  <c r="P25"/>
  <c r="Q25"/>
  <c r="R25"/>
  <c r="S25"/>
  <c r="T25"/>
  <c r="U25"/>
  <c r="V25"/>
  <c r="W25"/>
  <c r="X25"/>
  <c r="Y25"/>
  <c r="Z25"/>
  <c r="AA25"/>
  <c r="E26"/>
  <c r="F26"/>
  <c r="G26"/>
  <c r="H26"/>
  <c r="I26"/>
  <c r="J26"/>
  <c r="K26"/>
  <c r="L26"/>
  <c r="M26"/>
  <c r="N26"/>
  <c r="O26"/>
  <c r="P26"/>
  <c r="Q26"/>
  <c r="R26"/>
  <c r="S26"/>
  <c r="T26"/>
  <c r="U26"/>
  <c r="V26"/>
  <c r="W26"/>
  <c r="X26"/>
  <c r="Y26"/>
  <c r="Z26"/>
  <c r="AA26"/>
  <c r="E3" i="32"/>
  <c r="E4"/>
  <c r="E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Z4"/>
  <c r="Z22" s="1"/>
  <c r="AB4"/>
  <c r="E5"/>
  <c r="AA5" s="1"/>
  <c r="F5"/>
  <c r="G5"/>
  <c r="H5"/>
  <c r="I5"/>
  <c r="J5"/>
  <c r="K5"/>
  <c r="L5"/>
  <c r="M5"/>
  <c r="N5"/>
  <c r="O5"/>
  <c r="P5"/>
  <c r="Q5"/>
  <c r="R5"/>
  <c r="S5"/>
  <c r="T5"/>
  <c r="U5"/>
  <c r="V5"/>
  <c r="W5"/>
  <c r="X5"/>
  <c r="Y5"/>
  <c r="Z5"/>
  <c r="AB5"/>
  <c r="E6"/>
  <c r="AA6" s="1"/>
  <c r="F6"/>
  <c r="G6"/>
  <c r="H6"/>
  <c r="I6"/>
  <c r="J6"/>
  <c r="K6"/>
  <c r="L6"/>
  <c r="M6"/>
  <c r="N6"/>
  <c r="O6"/>
  <c r="P6"/>
  <c r="Q6"/>
  <c r="R6"/>
  <c r="S6"/>
  <c r="T6"/>
  <c r="U6"/>
  <c r="V6"/>
  <c r="W6"/>
  <c r="X6"/>
  <c r="Y6"/>
  <c r="Z6"/>
  <c r="AB6"/>
  <c r="E7"/>
  <c r="AA7" s="1"/>
  <c r="F7"/>
  <c r="G7"/>
  <c r="H7"/>
  <c r="I7"/>
  <c r="J7"/>
  <c r="K7"/>
  <c r="L7"/>
  <c r="M7"/>
  <c r="N7"/>
  <c r="O7"/>
  <c r="P7"/>
  <c r="Q7"/>
  <c r="R7"/>
  <c r="S7"/>
  <c r="T7"/>
  <c r="U7"/>
  <c r="V7"/>
  <c r="W7"/>
  <c r="X7"/>
  <c r="Y7"/>
  <c r="Z7"/>
  <c r="AB7"/>
  <c r="E8"/>
  <c r="AA8" s="1"/>
  <c r="F8"/>
  <c r="G8"/>
  <c r="H8"/>
  <c r="I8"/>
  <c r="J8"/>
  <c r="K8"/>
  <c r="L8"/>
  <c r="M8"/>
  <c r="N8"/>
  <c r="O8"/>
  <c r="P8"/>
  <c r="Q8"/>
  <c r="R8"/>
  <c r="S8"/>
  <c r="T8"/>
  <c r="U8"/>
  <c r="V8"/>
  <c r="W8"/>
  <c r="X8"/>
  <c r="Y8"/>
  <c r="Z8"/>
  <c r="AB8"/>
  <c r="E9"/>
  <c r="AA9" s="1"/>
  <c r="F9"/>
  <c r="G9"/>
  <c r="H9"/>
  <c r="I9"/>
  <c r="J9"/>
  <c r="K9"/>
  <c r="L9"/>
  <c r="M9"/>
  <c r="N9"/>
  <c r="O9"/>
  <c r="P9"/>
  <c r="Q9"/>
  <c r="R9"/>
  <c r="S9"/>
  <c r="T9"/>
  <c r="U9"/>
  <c r="V9"/>
  <c r="W9"/>
  <c r="X9"/>
  <c r="Y9"/>
  <c r="Z9"/>
  <c r="AB9"/>
  <c r="E10"/>
  <c r="AA10" s="1"/>
  <c r="F10"/>
  <c r="G10"/>
  <c r="H10"/>
  <c r="I10"/>
  <c r="J10"/>
  <c r="K10"/>
  <c r="L10"/>
  <c r="M10"/>
  <c r="N10"/>
  <c r="O10"/>
  <c r="P10"/>
  <c r="Q10"/>
  <c r="R10"/>
  <c r="S10"/>
  <c r="T10"/>
  <c r="U10"/>
  <c r="V10"/>
  <c r="W10"/>
  <c r="X10"/>
  <c r="Y10"/>
  <c r="Z10"/>
  <c r="AB10"/>
  <c r="E11"/>
  <c r="AA11" s="1"/>
  <c r="F11"/>
  <c r="G11"/>
  <c r="H11"/>
  <c r="I11"/>
  <c r="J11"/>
  <c r="K11"/>
  <c r="L11"/>
  <c r="M11"/>
  <c r="N11"/>
  <c r="O11"/>
  <c r="P11"/>
  <c r="Q11"/>
  <c r="R11"/>
  <c r="S11"/>
  <c r="T11"/>
  <c r="U11"/>
  <c r="V11"/>
  <c r="W11"/>
  <c r="X11"/>
  <c r="Y11"/>
  <c r="Z11"/>
  <c r="AB11"/>
  <c r="E12"/>
  <c r="AA12" s="1"/>
  <c r="F12"/>
  <c r="G12"/>
  <c r="H12"/>
  <c r="I12"/>
  <c r="J12"/>
  <c r="K12"/>
  <c r="L12"/>
  <c r="M12"/>
  <c r="N12"/>
  <c r="O12"/>
  <c r="P12"/>
  <c r="Q12"/>
  <c r="R12"/>
  <c r="S12"/>
  <c r="T12"/>
  <c r="U12"/>
  <c r="V12"/>
  <c r="W12"/>
  <c r="X12"/>
  <c r="Y12"/>
  <c r="Z12"/>
  <c r="AB12"/>
  <c r="E13"/>
  <c r="AA13" s="1"/>
  <c r="F13"/>
  <c r="G13"/>
  <c r="H13"/>
  <c r="I13"/>
  <c r="J13"/>
  <c r="K13"/>
  <c r="L13"/>
  <c r="M13"/>
  <c r="N13"/>
  <c r="O13"/>
  <c r="P13"/>
  <c r="Q13"/>
  <c r="R13"/>
  <c r="S13"/>
  <c r="T13"/>
  <c r="U13"/>
  <c r="V13"/>
  <c r="W13"/>
  <c r="X13"/>
  <c r="Y13"/>
  <c r="Z13"/>
  <c r="AB13"/>
  <c r="E14"/>
  <c r="AA14" s="1"/>
  <c r="F14"/>
  <c r="G14"/>
  <c r="H14"/>
  <c r="I14"/>
  <c r="J14"/>
  <c r="K14"/>
  <c r="L14"/>
  <c r="M14"/>
  <c r="N14"/>
  <c r="O14"/>
  <c r="P14"/>
  <c r="Q14"/>
  <c r="R14"/>
  <c r="S14"/>
  <c r="T14"/>
  <c r="U14"/>
  <c r="V14"/>
  <c r="W14"/>
  <c r="X14"/>
  <c r="Y14"/>
  <c r="Z14"/>
  <c r="AB14"/>
  <c r="E15"/>
  <c r="AA15" s="1"/>
  <c r="F15"/>
  <c r="G15"/>
  <c r="H15"/>
  <c r="I15"/>
  <c r="J15"/>
  <c r="K15"/>
  <c r="L15"/>
  <c r="M15"/>
  <c r="N15"/>
  <c r="O15"/>
  <c r="P15"/>
  <c r="Q15"/>
  <c r="R15"/>
  <c r="S15"/>
  <c r="T15"/>
  <c r="U15"/>
  <c r="V15"/>
  <c r="W15"/>
  <c r="X15"/>
  <c r="Y15"/>
  <c r="Z15"/>
  <c r="AB15"/>
  <c r="E16"/>
  <c r="AA16" s="1"/>
  <c r="F16"/>
  <c r="G16"/>
  <c r="H16"/>
  <c r="I16"/>
  <c r="J16"/>
  <c r="K16"/>
  <c r="L16"/>
  <c r="M16"/>
  <c r="N16"/>
  <c r="O16"/>
  <c r="P16"/>
  <c r="Q16"/>
  <c r="R16"/>
  <c r="S16"/>
  <c r="T16"/>
  <c r="U16"/>
  <c r="V16"/>
  <c r="W16"/>
  <c r="X16"/>
  <c r="Y16"/>
  <c r="Z16"/>
  <c r="AB16"/>
  <c r="E17"/>
  <c r="AA17" s="1"/>
  <c r="F17"/>
  <c r="G17"/>
  <c r="H17"/>
  <c r="I17"/>
  <c r="J17"/>
  <c r="K17"/>
  <c r="L17"/>
  <c r="M17"/>
  <c r="N17"/>
  <c r="O17"/>
  <c r="P17"/>
  <c r="Q17"/>
  <c r="R17"/>
  <c r="S17"/>
  <c r="T17"/>
  <c r="U17"/>
  <c r="V17"/>
  <c r="W17"/>
  <c r="X17"/>
  <c r="Y17"/>
  <c r="Z17"/>
  <c r="AB17"/>
  <c r="E18"/>
  <c r="AA18" s="1"/>
  <c r="F18"/>
  <c r="G18"/>
  <c r="H18"/>
  <c r="I18"/>
  <c r="J18"/>
  <c r="K18"/>
  <c r="L18"/>
  <c r="M18"/>
  <c r="N18"/>
  <c r="O18"/>
  <c r="P18"/>
  <c r="Q18"/>
  <c r="R18"/>
  <c r="S18"/>
  <c r="T18"/>
  <c r="U18"/>
  <c r="V18"/>
  <c r="W18"/>
  <c r="X18"/>
  <c r="Y18"/>
  <c r="Z18"/>
  <c r="AB18"/>
  <c r="E19"/>
  <c r="AA19" s="1"/>
  <c r="F19"/>
  <c r="G19"/>
  <c r="H19"/>
  <c r="I19"/>
  <c r="J19"/>
  <c r="K19"/>
  <c r="L19"/>
  <c r="M19"/>
  <c r="N19"/>
  <c r="O19"/>
  <c r="P19"/>
  <c r="Q19"/>
  <c r="R19"/>
  <c r="S19"/>
  <c r="T19"/>
  <c r="U19"/>
  <c r="V19"/>
  <c r="W19"/>
  <c r="X19"/>
  <c r="Y19"/>
  <c r="Z19"/>
  <c r="AB19"/>
  <c r="E20"/>
  <c r="AA20" s="1"/>
  <c r="F20"/>
  <c r="G20"/>
  <c r="H20"/>
  <c r="I20"/>
  <c r="J20"/>
  <c r="K20"/>
  <c r="L20"/>
  <c r="M20"/>
  <c r="N20"/>
  <c r="O20"/>
  <c r="P20"/>
  <c r="Q20"/>
  <c r="R20"/>
  <c r="S20"/>
  <c r="T20"/>
  <c r="U20"/>
  <c r="V20"/>
  <c r="W20"/>
  <c r="X20"/>
  <c r="Y20"/>
  <c r="Z20"/>
  <c r="AB20"/>
  <c r="E24"/>
  <c r="F24"/>
  <c r="G24"/>
  <c r="H24"/>
  <c r="I24"/>
  <c r="J24"/>
  <c r="K24"/>
  <c r="L24"/>
  <c r="M24"/>
  <c r="N24"/>
  <c r="O24"/>
  <c r="P24"/>
  <c r="Q24"/>
  <c r="R24"/>
  <c r="S24"/>
  <c r="T24"/>
  <c r="U24"/>
  <c r="V24"/>
  <c r="W24"/>
  <c r="X24"/>
  <c r="Y24"/>
  <c r="Z24"/>
  <c r="AA24"/>
  <c r="E25"/>
  <c r="F25"/>
  <c r="G25"/>
  <c r="H25"/>
  <c r="I25"/>
  <c r="J25"/>
  <c r="K25"/>
  <c r="L25"/>
  <c r="M25"/>
  <c r="N25"/>
  <c r="O25"/>
  <c r="P25"/>
  <c r="Q25"/>
  <c r="R25"/>
  <c r="S25"/>
  <c r="T25"/>
  <c r="U25"/>
  <c r="V25"/>
  <c r="W25"/>
  <c r="X25"/>
  <c r="Y25"/>
  <c r="Z25"/>
  <c r="AA25"/>
  <c r="E26"/>
  <c r="F26"/>
  <c r="G26"/>
  <c r="H26"/>
  <c r="I26"/>
  <c r="J26"/>
  <c r="K26"/>
  <c r="L26"/>
  <c r="M26"/>
  <c r="N26"/>
  <c r="O26"/>
  <c r="P26"/>
  <c r="Q26"/>
  <c r="R26"/>
  <c r="S26"/>
  <c r="T26"/>
  <c r="U26"/>
  <c r="V26"/>
  <c r="W26"/>
  <c r="X26"/>
  <c r="Y26"/>
  <c r="Z26"/>
  <c r="AA26"/>
  <c r="E3" i="33"/>
  <c r="E4"/>
  <c r="E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Z4"/>
  <c r="Z22" s="1"/>
  <c r="AB4"/>
  <c r="E5"/>
  <c r="AA5" s="1"/>
  <c r="F5"/>
  <c r="G5"/>
  <c r="H5"/>
  <c r="I5"/>
  <c r="J5"/>
  <c r="K5"/>
  <c r="L5"/>
  <c r="M5"/>
  <c r="N5"/>
  <c r="O5"/>
  <c r="P5"/>
  <c r="Q5"/>
  <c r="R5"/>
  <c r="S5"/>
  <c r="T5"/>
  <c r="U5"/>
  <c r="V5"/>
  <c r="W5"/>
  <c r="X5"/>
  <c r="Y5"/>
  <c r="Z5"/>
  <c r="AB5"/>
  <c r="E6"/>
  <c r="AA6" s="1"/>
  <c r="F6"/>
  <c r="G6"/>
  <c r="H6"/>
  <c r="I6"/>
  <c r="J6"/>
  <c r="K6"/>
  <c r="L6"/>
  <c r="M6"/>
  <c r="N6"/>
  <c r="O6"/>
  <c r="P6"/>
  <c r="Q6"/>
  <c r="R6"/>
  <c r="S6"/>
  <c r="T6"/>
  <c r="U6"/>
  <c r="V6"/>
  <c r="W6"/>
  <c r="X6"/>
  <c r="Y6"/>
  <c r="Z6"/>
  <c r="AB6"/>
  <c r="E7"/>
  <c r="AA7" s="1"/>
  <c r="F7"/>
  <c r="G7"/>
  <c r="H7"/>
  <c r="I7"/>
  <c r="J7"/>
  <c r="K7"/>
  <c r="L7"/>
  <c r="M7"/>
  <c r="N7"/>
  <c r="O7"/>
  <c r="P7"/>
  <c r="Q7"/>
  <c r="R7"/>
  <c r="S7"/>
  <c r="T7"/>
  <c r="U7"/>
  <c r="V7"/>
  <c r="W7"/>
  <c r="X7"/>
  <c r="Y7"/>
  <c r="Z7"/>
  <c r="AB7"/>
  <c r="E8"/>
  <c r="AA8" s="1"/>
  <c r="F8"/>
  <c r="G8"/>
  <c r="H8"/>
  <c r="I8"/>
  <c r="J8"/>
  <c r="K8"/>
  <c r="L8"/>
  <c r="M8"/>
  <c r="N8"/>
  <c r="O8"/>
  <c r="P8"/>
  <c r="Q8"/>
  <c r="R8"/>
  <c r="S8"/>
  <c r="T8"/>
  <c r="U8"/>
  <c r="V8"/>
  <c r="W8"/>
  <c r="X8"/>
  <c r="Y8"/>
  <c r="Z8"/>
  <c r="AB8"/>
  <c r="E9"/>
  <c r="AA9" s="1"/>
  <c r="F9"/>
  <c r="G9"/>
  <c r="H9"/>
  <c r="I9"/>
  <c r="J9"/>
  <c r="K9"/>
  <c r="L9"/>
  <c r="M9"/>
  <c r="N9"/>
  <c r="O9"/>
  <c r="P9"/>
  <c r="Q9"/>
  <c r="R9"/>
  <c r="S9"/>
  <c r="T9"/>
  <c r="U9"/>
  <c r="V9"/>
  <c r="W9"/>
  <c r="X9"/>
  <c r="Y9"/>
  <c r="Z9"/>
  <c r="AB9"/>
  <c r="E10"/>
  <c r="AA10" s="1"/>
  <c r="F10"/>
  <c r="G10"/>
  <c r="H10"/>
  <c r="I10"/>
  <c r="J10"/>
  <c r="K10"/>
  <c r="L10"/>
  <c r="M10"/>
  <c r="N10"/>
  <c r="O10"/>
  <c r="P10"/>
  <c r="Q10"/>
  <c r="R10"/>
  <c r="S10"/>
  <c r="T10"/>
  <c r="U10"/>
  <c r="V10"/>
  <c r="W10"/>
  <c r="X10"/>
  <c r="Y10"/>
  <c r="Z10"/>
  <c r="AB10"/>
  <c r="E11"/>
  <c r="AA11" s="1"/>
  <c r="F11"/>
  <c r="G11"/>
  <c r="H11"/>
  <c r="I11"/>
  <c r="J11"/>
  <c r="K11"/>
  <c r="L11"/>
  <c r="M11"/>
  <c r="N11"/>
  <c r="O11"/>
  <c r="P11"/>
  <c r="Q11"/>
  <c r="R11"/>
  <c r="S11"/>
  <c r="T11"/>
  <c r="U11"/>
  <c r="V11"/>
  <c r="W11"/>
  <c r="X11"/>
  <c r="Y11"/>
  <c r="Z11"/>
  <c r="AB11"/>
  <c r="E12"/>
  <c r="AA12" s="1"/>
  <c r="F12"/>
  <c r="G12"/>
  <c r="H12"/>
  <c r="I12"/>
  <c r="J12"/>
  <c r="K12"/>
  <c r="L12"/>
  <c r="M12"/>
  <c r="N12"/>
  <c r="O12"/>
  <c r="P12"/>
  <c r="Q12"/>
  <c r="R12"/>
  <c r="S12"/>
  <c r="T12"/>
  <c r="U12"/>
  <c r="V12"/>
  <c r="W12"/>
  <c r="X12"/>
  <c r="Y12"/>
  <c r="Z12"/>
  <c r="AB12"/>
  <c r="E13"/>
  <c r="AA13" s="1"/>
  <c r="F13"/>
  <c r="G13"/>
  <c r="H13"/>
  <c r="I13"/>
  <c r="J13"/>
  <c r="K13"/>
  <c r="L13"/>
  <c r="M13"/>
  <c r="N13"/>
  <c r="O13"/>
  <c r="P13"/>
  <c r="Q13"/>
  <c r="R13"/>
  <c r="S13"/>
  <c r="T13"/>
  <c r="U13"/>
  <c r="V13"/>
  <c r="W13"/>
  <c r="X13"/>
  <c r="Y13"/>
  <c r="Z13"/>
  <c r="AB13"/>
  <c r="E14"/>
  <c r="AA14" s="1"/>
  <c r="F14"/>
  <c r="G14"/>
  <c r="H14"/>
  <c r="I14"/>
  <c r="J14"/>
  <c r="K14"/>
  <c r="L14"/>
  <c r="M14"/>
  <c r="N14"/>
  <c r="O14"/>
  <c r="P14"/>
  <c r="Q14"/>
  <c r="R14"/>
  <c r="S14"/>
  <c r="T14"/>
  <c r="U14"/>
  <c r="V14"/>
  <c r="W14"/>
  <c r="X14"/>
  <c r="Y14"/>
  <c r="Z14"/>
  <c r="AB14"/>
  <c r="E15"/>
  <c r="AA15" s="1"/>
  <c r="F15"/>
  <c r="G15"/>
  <c r="H15"/>
  <c r="I15"/>
  <c r="J15"/>
  <c r="K15"/>
  <c r="L15"/>
  <c r="M15"/>
  <c r="N15"/>
  <c r="O15"/>
  <c r="P15"/>
  <c r="Q15"/>
  <c r="R15"/>
  <c r="S15"/>
  <c r="T15"/>
  <c r="U15"/>
  <c r="V15"/>
  <c r="W15"/>
  <c r="X15"/>
  <c r="Y15"/>
  <c r="Z15"/>
  <c r="AB15"/>
  <c r="E16"/>
  <c r="AA16" s="1"/>
  <c r="F16"/>
  <c r="G16"/>
  <c r="H16"/>
  <c r="I16"/>
  <c r="J16"/>
  <c r="K16"/>
  <c r="L16"/>
  <c r="M16"/>
  <c r="N16"/>
  <c r="O16"/>
  <c r="P16"/>
  <c r="Q16"/>
  <c r="R16"/>
  <c r="S16"/>
  <c r="T16"/>
  <c r="U16"/>
  <c r="V16"/>
  <c r="W16"/>
  <c r="X16"/>
  <c r="Y16"/>
  <c r="Z16"/>
  <c r="AB16"/>
  <c r="E17"/>
  <c r="AA17" s="1"/>
  <c r="F17"/>
  <c r="G17"/>
  <c r="H17"/>
  <c r="I17"/>
  <c r="J17"/>
  <c r="K17"/>
  <c r="L17"/>
  <c r="M17"/>
  <c r="N17"/>
  <c r="O17"/>
  <c r="P17"/>
  <c r="Q17"/>
  <c r="R17"/>
  <c r="S17"/>
  <c r="T17"/>
  <c r="U17"/>
  <c r="V17"/>
  <c r="W17"/>
  <c r="X17"/>
  <c r="Y17"/>
  <c r="Z17"/>
  <c r="AB17"/>
  <c r="E18"/>
  <c r="AA18" s="1"/>
  <c r="F18"/>
  <c r="G18"/>
  <c r="H18"/>
  <c r="I18"/>
  <c r="J18"/>
  <c r="K18"/>
  <c r="L18"/>
  <c r="M18"/>
  <c r="N18"/>
  <c r="O18"/>
  <c r="P18"/>
  <c r="Q18"/>
  <c r="R18"/>
  <c r="S18"/>
  <c r="T18"/>
  <c r="U18"/>
  <c r="V18"/>
  <c r="W18"/>
  <c r="X18"/>
  <c r="Y18"/>
  <c r="Z18"/>
  <c r="AB18"/>
  <c r="E19"/>
  <c r="AA19" s="1"/>
  <c r="F19"/>
  <c r="G19"/>
  <c r="H19"/>
  <c r="I19"/>
  <c r="J19"/>
  <c r="K19"/>
  <c r="L19"/>
  <c r="M19"/>
  <c r="N19"/>
  <c r="O19"/>
  <c r="P19"/>
  <c r="Q19"/>
  <c r="R19"/>
  <c r="S19"/>
  <c r="T19"/>
  <c r="U19"/>
  <c r="V19"/>
  <c r="W19"/>
  <c r="X19"/>
  <c r="Y19"/>
  <c r="Z19"/>
  <c r="AB19"/>
  <c r="E20"/>
  <c r="AA20" s="1"/>
  <c r="F20"/>
  <c r="G20"/>
  <c r="H20"/>
  <c r="I20"/>
  <c r="J20"/>
  <c r="K20"/>
  <c r="L20"/>
  <c r="M20"/>
  <c r="N20"/>
  <c r="O20"/>
  <c r="P20"/>
  <c r="Q20"/>
  <c r="R20"/>
  <c r="S20"/>
  <c r="T20"/>
  <c r="U20"/>
  <c r="V20"/>
  <c r="W20"/>
  <c r="X20"/>
  <c r="Y20"/>
  <c r="Z20"/>
  <c r="AB20"/>
  <c r="E24"/>
  <c r="F24"/>
  <c r="G24"/>
  <c r="H24"/>
  <c r="I24"/>
  <c r="J24"/>
  <c r="K24"/>
  <c r="L24"/>
  <c r="M24"/>
  <c r="N24"/>
  <c r="O24"/>
  <c r="P24"/>
  <c r="Q24"/>
  <c r="R24"/>
  <c r="S24"/>
  <c r="T24"/>
  <c r="U24"/>
  <c r="V24"/>
  <c r="W24"/>
  <c r="X24"/>
  <c r="Y24"/>
  <c r="Z24"/>
  <c r="AA24"/>
  <c r="E25"/>
  <c r="F25"/>
  <c r="G25"/>
  <c r="H25"/>
  <c r="I25"/>
  <c r="J25"/>
  <c r="K25"/>
  <c r="L25"/>
  <c r="M25"/>
  <c r="N25"/>
  <c r="O25"/>
  <c r="P25"/>
  <c r="Q25"/>
  <c r="R25"/>
  <c r="S25"/>
  <c r="T25"/>
  <c r="U25"/>
  <c r="V25"/>
  <c r="W25"/>
  <c r="X25"/>
  <c r="Y25"/>
  <c r="Z25"/>
  <c r="AA25"/>
  <c r="E26"/>
  <c r="F26"/>
  <c r="G26"/>
  <c r="H26"/>
  <c r="I26"/>
  <c r="J26"/>
  <c r="K26"/>
  <c r="L26"/>
  <c r="M26"/>
  <c r="N26"/>
  <c r="O26"/>
  <c r="P26"/>
  <c r="Q26"/>
  <c r="R26"/>
  <c r="S26"/>
  <c r="T26"/>
  <c r="U26"/>
  <c r="V26"/>
  <c r="W26"/>
  <c r="X26"/>
  <c r="Y26"/>
  <c r="Z26"/>
  <c r="AA26"/>
  <c r="E3" i="36"/>
  <c r="AB9"/>
  <c r="AB14"/>
  <c r="AB5"/>
  <c r="AB8"/>
  <c r="AB6"/>
  <c r="AB15"/>
  <c r="AB13"/>
  <c r="AB7"/>
  <c r="AB20"/>
  <c r="AB16"/>
  <c r="AB19"/>
  <c r="AB17"/>
  <c r="AB12"/>
  <c r="AB11"/>
  <c r="AB18"/>
  <c r="AB10"/>
  <c r="AB4"/>
  <c r="AB7" i="25"/>
  <c r="AB6"/>
  <c r="AB12"/>
  <c r="AB11"/>
  <c r="AB4"/>
  <c r="AB13"/>
  <c r="AB10"/>
  <c r="AB8"/>
  <c r="AB9"/>
  <c r="AB5"/>
  <c r="AB16"/>
  <c r="AB17"/>
  <c r="AB20"/>
  <c r="AB18"/>
  <c r="AB14"/>
  <c r="AB15"/>
  <c r="AB19"/>
  <c r="AB4" i="40"/>
  <c r="AB5"/>
  <c r="AB6"/>
  <c r="AB7"/>
  <c r="AB8"/>
  <c r="AB9"/>
  <c r="AB10"/>
  <c r="AB11"/>
  <c r="AB12"/>
  <c r="AB13"/>
  <c r="AB14"/>
  <c r="AB15"/>
  <c r="AB16"/>
  <c r="AB17"/>
  <c r="AB18"/>
  <c r="AB19"/>
  <c r="AB20"/>
  <c r="AB19" i="16"/>
  <c r="AB8"/>
  <c r="AB9"/>
  <c r="AB14"/>
  <c r="AB20"/>
  <c r="AB18"/>
  <c r="AB17"/>
  <c r="AB13"/>
  <c r="AB15"/>
  <c r="AB16"/>
  <c r="AB12"/>
  <c r="AB5"/>
  <c r="AB6"/>
  <c r="AB11"/>
  <c r="AB4"/>
  <c r="AB7"/>
  <c r="AB10"/>
  <c r="AB14" i="12"/>
  <c r="AB15"/>
  <c r="AB16"/>
  <c r="AB17"/>
  <c r="AB18"/>
  <c r="AB19"/>
  <c r="AB20"/>
  <c r="AB4"/>
  <c r="AB5"/>
  <c r="AB6"/>
  <c r="AB7"/>
  <c r="AB8"/>
  <c r="AB9"/>
  <c r="AB10"/>
  <c r="AB11"/>
  <c r="AB12"/>
  <c r="AB13"/>
  <c r="AF21"/>
  <c r="AF22"/>
  <c r="AB9" i="28"/>
  <c r="AB8"/>
  <c r="AB5"/>
  <c r="AB13"/>
  <c r="AB14"/>
  <c r="AB11"/>
  <c r="AB10"/>
  <c r="AB12"/>
  <c r="AB18"/>
  <c r="AB4"/>
  <c r="AB20"/>
  <c r="AB17"/>
  <c r="AB15"/>
  <c r="AB16"/>
  <c r="AB19"/>
  <c r="AB6"/>
  <c r="AB7"/>
  <c r="AB17" i="35"/>
  <c r="AB11"/>
  <c r="AB18"/>
  <c r="AB16"/>
  <c r="AB19"/>
  <c r="AB7"/>
  <c r="AB10"/>
  <c r="AB6"/>
  <c r="AB12"/>
  <c r="AB5"/>
  <c r="AB20"/>
  <c r="AB9"/>
  <c r="AB4"/>
  <c r="AB13"/>
  <c r="AB8"/>
  <c r="AB14"/>
  <c r="AB15"/>
  <c r="AB6" i="14"/>
  <c r="AB17"/>
  <c r="AB19"/>
  <c r="AB8"/>
  <c r="AB9"/>
  <c r="AB12"/>
  <c r="AB13"/>
  <c r="AB5"/>
  <c r="AB20"/>
  <c r="AB11"/>
  <c r="AB10"/>
  <c r="AB7"/>
  <c r="AB4"/>
  <c r="AB16"/>
  <c r="AB14"/>
  <c r="AB15"/>
  <c r="AB18"/>
  <c r="AB4" i="30"/>
  <c r="AB5"/>
  <c r="AB6"/>
  <c r="AB7"/>
  <c r="AB8"/>
  <c r="AB9"/>
  <c r="AB10"/>
  <c r="AB11"/>
  <c r="AB12"/>
  <c r="AB13"/>
  <c r="AB14"/>
  <c r="AB15"/>
  <c r="AB16"/>
  <c r="AB17"/>
  <c r="AB18"/>
  <c r="AB19"/>
  <c r="AB20"/>
  <c r="AA21"/>
  <c r="AB8" i="37"/>
  <c r="AB6"/>
  <c r="AB20"/>
  <c r="AB19"/>
  <c r="AB17"/>
  <c r="AB15"/>
  <c r="AB18"/>
  <c r="AB13"/>
  <c r="AB14"/>
  <c r="AB9"/>
  <c r="AB16"/>
  <c r="AB4"/>
  <c r="AB7"/>
  <c r="AB12"/>
  <c r="AB10"/>
  <c r="AB11"/>
  <c r="AB5"/>
  <c r="AB4" i="21"/>
  <c r="AB5"/>
  <c r="AB13"/>
  <c r="AB6"/>
  <c r="AB7"/>
  <c r="AB8"/>
  <c r="AB9"/>
  <c r="AB10"/>
  <c r="AB11"/>
  <c r="AB12"/>
  <c r="AB14"/>
  <c r="AB15"/>
  <c r="AB16"/>
  <c r="AB17"/>
  <c r="AB18"/>
  <c r="AB19"/>
  <c r="AB20"/>
  <c r="C1" i="9"/>
  <c r="M1"/>
  <c r="E1"/>
  <c r="I1"/>
  <c r="G1"/>
  <c r="K1"/>
  <c r="A1"/>
  <c r="O1"/>
  <c r="W1"/>
  <c r="C2"/>
  <c r="M2"/>
  <c r="E2"/>
  <c r="I2"/>
  <c r="G2"/>
  <c r="K2"/>
  <c r="Q2"/>
  <c r="A2"/>
  <c r="O2"/>
  <c r="W2"/>
  <c r="C3"/>
  <c r="M3"/>
  <c r="E3"/>
  <c r="I3"/>
  <c r="G3"/>
  <c r="K3"/>
  <c r="A3"/>
  <c r="O3"/>
  <c r="C4"/>
  <c r="M4"/>
  <c r="E4"/>
  <c r="I4"/>
  <c r="G4"/>
  <c r="K4"/>
  <c r="A4"/>
  <c r="W4"/>
  <c r="E5"/>
  <c r="G5"/>
  <c r="K5"/>
  <c r="A5"/>
  <c r="O5"/>
  <c r="W5"/>
  <c r="M6"/>
  <c r="E6"/>
  <c r="I6"/>
  <c r="G6"/>
  <c r="O6"/>
  <c r="W6"/>
  <c r="M7"/>
  <c r="E7"/>
  <c r="I7"/>
  <c r="G7"/>
  <c r="K7"/>
  <c r="A7"/>
  <c r="O7"/>
  <c r="W7"/>
  <c r="M8"/>
  <c r="E8"/>
  <c r="I8"/>
  <c r="G8"/>
  <c r="K8"/>
  <c r="A8"/>
  <c r="O8"/>
  <c r="W8"/>
  <c r="M9"/>
  <c r="E9"/>
  <c r="I9"/>
  <c r="G9"/>
  <c r="O9"/>
  <c r="W9"/>
  <c r="E10"/>
  <c r="I10"/>
  <c r="G10"/>
  <c r="K10"/>
  <c r="A10"/>
  <c r="O10"/>
  <c r="W10"/>
  <c r="X10"/>
  <c r="M11"/>
  <c r="E11"/>
  <c r="K11"/>
  <c r="A11"/>
  <c r="W11"/>
  <c r="M12"/>
  <c r="I12"/>
  <c r="G12"/>
  <c r="K12"/>
  <c r="A12"/>
  <c r="W12"/>
  <c r="M13"/>
  <c r="E13"/>
  <c r="I13"/>
  <c r="K13"/>
  <c r="A13"/>
  <c r="O13"/>
  <c r="W13"/>
  <c r="C14"/>
  <c r="M14"/>
  <c r="E14"/>
  <c r="G14"/>
  <c r="A14"/>
  <c r="W14"/>
  <c r="C15"/>
  <c r="M15"/>
  <c r="E15"/>
  <c r="G15"/>
  <c r="K15"/>
  <c r="A15"/>
  <c r="W15"/>
  <c r="X15"/>
  <c r="C16"/>
  <c r="M16"/>
  <c r="E16"/>
  <c r="I16"/>
  <c r="G16"/>
  <c r="K16"/>
  <c r="A16"/>
  <c r="O16"/>
  <c r="W16"/>
  <c r="C17"/>
  <c r="M17"/>
  <c r="E17"/>
  <c r="I17"/>
  <c r="G17"/>
  <c r="K17"/>
  <c r="A17"/>
  <c r="O17"/>
  <c r="W17"/>
  <c r="C18"/>
  <c r="M18"/>
  <c r="E18"/>
  <c r="I18"/>
  <c r="G18"/>
  <c r="K18"/>
  <c r="A18"/>
  <c r="O18"/>
  <c r="W18"/>
  <c r="C19"/>
  <c r="M19"/>
  <c r="E19"/>
  <c r="I19"/>
  <c r="G19"/>
  <c r="K19"/>
  <c r="A19"/>
  <c r="O19"/>
  <c r="W19"/>
  <c r="C20"/>
  <c r="M20"/>
  <c r="E20"/>
  <c r="I20"/>
  <c r="G20"/>
  <c r="K20"/>
  <c r="X20"/>
  <c r="C21"/>
  <c r="M21"/>
  <c r="E21"/>
  <c r="I21"/>
  <c r="G21"/>
  <c r="K21"/>
  <c r="A21"/>
  <c r="O21"/>
  <c r="C22"/>
  <c r="E22"/>
  <c r="G22"/>
  <c r="A22"/>
  <c r="C23"/>
  <c r="M23"/>
  <c r="E23"/>
  <c r="I23"/>
  <c r="G23"/>
  <c r="K23"/>
  <c r="A23"/>
  <c r="O23"/>
  <c r="E24"/>
  <c r="I24"/>
  <c r="G24"/>
  <c r="O24"/>
  <c r="C25"/>
  <c r="E25"/>
  <c r="I25"/>
  <c r="G25"/>
  <c r="K25"/>
  <c r="C26"/>
  <c r="M26"/>
  <c r="E26"/>
  <c r="G26"/>
  <c r="K26"/>
  <c r="A26"/>
  <c r="O26"/>
  <c r="C21" i="2"/>
  <c r="AC21" s="1"/>
  <c r="E21"/>
  <c r="AE21" s="1"/>
  <c r="AB48"/>
  <c r="AA21" i="40"/>
  <c r="F3" i="17"/>
  <c r="F3" i="15"/>
  <c r="F3" i="33"/>
  <c r="F3" i="32"/>
  <c r="G3"/>
  <c r="G3" i="17"/>
  <c r="G3" i="15"/>
  <c r="G3" i="33"/>
  <c r="F21" i="2"/>
  <c r="AF21" s="1"/>
  <c r="H3" i="17"/>
  <c r="H3" i="15"/>
  <c r="H3" i="33"/>
  <c r="H3" i="32"/>
  <c r="Y3"/>
  <c r="Y3" i="17"/>
  <c r="Y3" i="15"/>
  <c r="Y3" i="33"/>
  <c r="F36" i="2"/>
  <c r="F49" s="1"/>
  <c r="C36"/>
  <c r="AC36" s="1"/>
  <c r="X21"/>
  <c r="AX21" s="1"/>
  <c r="X36"/>
  <c r="AX36" s="1"/>
  <c r="G21"/>
  <c r="AG21" s="1"/>
  <c r="G36"/>
  <c r="AG36" s="1"/>
  <c r="N44" i="19"/>
  <c r="N50"/>
  <c r="N56"/>
  <c r="N47"/>
  <c r="N55"/>
  <c r="N53"/>
  <c r="E25" i="21"/>
  <c r="E24"/>
  <c r="E26"/>
  <c r="I25"/>
  <c r="I24"/>
  <c r="I26"/>
  <c r="H24"/>
  <c r="H26"/>
  <c r="H25"/>
  <c r="G25"/>
  <c r="G24"/>
  <c r="G26"/>
  <c r="N43" i="19"/>
  <c r="X16" i="9"/>
  <c r="X25"/>
  <c r="X8"/>
  <c r="X5"/>
  <c r="X6"/>
  <c r="X7"/>
  <c r="X4"/>
  <c r="X22" s="1"/>
  <c r="X12"/>
  <c r="X26"/>
  <c r="X24"/>
  <c r="X19"/>
  <c r="X18"/>
  <c r="X17"/>
  <c r="X14"/>
  <c r="X13"/>
  <c r="X11"/>
  <c r="X9"/>
  <c r="AA18" i="25"/>
  <c r="I3" i="17"/>
  <c r="I3" i="33"/>
  <c r="I3" i="32"/>
  <c r="I3" i="15"/>
  <c r="E36" i="2"/>
  <c r="AE36" s="1"/>
  <c r="N45" i="19"/>
  <c r="N52"/>
  <c r="N48"/>
  <c r="N51"/>
  <c r="N46"/>
  <c r="N57"/>
  <c r="N58"/>
  <c r="N49"/>
  <c r="J24" i="21"/>
  <c r="J26"/>
  <c r="J25"/>
  <c r="H36" i="2"/>
  <c r="H49" s="1"/>
  <c r="H21"/>
  <c r="AH21" s="1"/>
  <c r="J3" i="15"/>
  <c r="J3" i="17"/>
  <c r="J3" i="33"/>
  <c r="J3" i="32"/>
  <c r="K25" i="21"/>
  <c r="K24"/>
  <c r="K3" i="17"/>
  <c r="K3" i="32"/>
  <c r="K3" i="15"/>
  <c r="K3" i="33"/>
  <c r="AH36" i="2"/>
  <c r="I21"/>
  <c r="AI21" s="1"/>
  <c r="I36"/>
  <c r="AI36" s="1"/>
  <c r="L24" i="21"/>
  <c r="L26"/>
  <c r="L25"/>
  <c r="L3" i="33"/>
  <c r="L3" i="17"/>
  <c r="L3" i="15"/>
  <c r="L3" i="32"/>
  <c r="J36" i="2"/>
  <c r="J49" s="1"/>
  <c r="J21"/>
  <c r="AJ21" s="1"/>
  <c r="I49"/>
  <c r="M25" i="21"/>
  <c r="M24"/>
  <c r="M21" s="1"/>
  <c r="M26"/>
  <c r="M3" i="33"/>
  <c r="M3" i="32"/>
  <c r="M3" i="17"/>
  <c r="M3" i="15"/>
  <c r="K36" i="2"/>
  <c r="AK36" s="1"/>
  <c r="K21"/>
  <c r="AK21" s="1"/>
  <c r="N24" i="21"/>
  <c r="N21" s="1"/>
  <c r="N26"/>
  <c r="N25"/>
  <c r="N3" i="17"/>
  <c r="N3" i="33"/>
  <c r="N3" i="32"/>
  <c r="N3" i="15"/>
  <c r="L36" i="2"/>
  <c r="AL36" s="1"/>
  <c r="L21"/>
  <c r="AL21" s="1"/>
  <c r="O25" i="21"/>
  <c r="O24"/>
  <c r="O21" s="1"/>
  <c r="O26"/>
  <c r="O3" i="32"/>
  <c r="O3" i="15"/>
  <c r="O3" i="33"/>
  <c r="O3" i="17"/>
  <c r="M36" i="2"/>
  <c r="M49" s="1"/>
  <c r="M21"/>
  <c r="AM21" s="1"/>
  <c r="P24" i="21"/>
  <c r="P21" s="1"/>
  <c r="P26"/>
  <c r="P25"/>
  <c r="P3" i="33"/>
  <c r="P3" i="32"/>
  <c r="P3" i="15"/>
  <c r="P3" i="17"/>
  <c r="N36" i="2"/>
  <c r="N49" s="1"/>
  <c r="N21"/>
  <c r="AN21" s="1"/>
  <c r="Q25" i="21"/>
  <c r="Q24"/>
  <c r="Q21" s="1"/>
  <c r="Q26"/>
  <c r="O21" i="2"/>
  <c r="AO21" s="1"/>
  <c r="O36"/>
  <c r="O49" s="1"/>
  <c r="Q3" i="17"/>
  <c r="Q3" i="15"/>
  <c r="Q3" i="33"/>
  <c r="Q3" i="32"/>
  <c r="R24" i="21"/>
  <c r="R26"/>
  <c r="R25"/>
  <c r="P21" i="2"/>
  <c r="AP21" s="1"/>
  <c r="P36"/>
  <c r="P49" s="1"/>
  <c r="R3" i="17"/>
  <c r="R3" i="33"/>
  <c r="R3" i="32"/>
  <c r="R3" i="15"/>
  <c r="S25" i="21"/>
  <c r="S24"/>
  <c r="S26"/>
  <c r="S3" i="17"/>
  <c r="S3" i="15"/>
  <c r="S3" i="33"/>
  <c r="S3" i="32"/>
  <c r="Q21" i="2"/>
  <c r="AQ21" s="1"/>
  <c r="Q36"/>
  <c r="AQ36" s="1"/>
  <c r="T26" i="21"/>
  <c r="T25"/>
  <c r="T3" i="15"/>
  <c r="T3" i="32"/>
  <c r="T3" i="33"/>
  <c r="T3" i="17"/>
  <c r="R21" i="2"/>
  <c r="AR21" s="1"/>
  <c r="R36"/>
  <c r="AR36" s="1"/>
  <c r="U25" i="21"/>
  <c r="U26"/>
  <c r="S36" i="2"/>
  <c r="S49" s="1"/>
  <c r="S21"/>
  <c r="AS21" s="1"/>
  <c r="U3" i="17"/>
  <c r="U3" i="15"/>
  <c r="U3" i="33"/>
  <c r="U3" i="32"/>
  <c r="V26" i="21"/>
  <c r="V25"/>
  <c r="T36" i="2"/>
  <c r="T49" s="1"/>
  <c r="T21"/>
  <c r="AT21" s="1"/>
  <c r="V3" i="17"/>
  <c r="V3" i="33"/>
  <c r="V3" i="32"/>
  <c r="V3" i="15"/>
  <c r="W25" i="21"/>
  <c r="W26"/>
  <c r="W3" i="33"/>
  <c r="W3" i="32"/>
  <c r="W3" i="15"/>
  <c r="W3" i="17"/>
  <c r="U21" i="2"/>
  <c r="AU21" s="1"/>
  <c r="U36"/>
  <c r="AU36" s="1"/>
  <c r="X26" i="21"/>
  <c r="X25"/>
  <c r="X3" i="33"/>
  <c r="X3" i="32"/>
  <c r="X3" i="15"/>
  <c r="X3" i="17"/>
  <c r="V36" i="2"/>
  <c r="AV36" s="1"/>
  <c r="V21"/>
  <c r="AV21" s="1"/>
  <c r="Y25" i="21"/>
  <c r="Y26"/>
  <c r="W21" i="2"/>
  <c r="AW21" s="1"/>
  <c r="W36"/>
  <c r="W49" s="1"/>
  <c r="I22" i="25"/>
  <c r="H22" i="14" l="1"/>
  <c r="AA9" i="25"/>
  <c r="X21" i="45"/>
  <c r="Y21"/>
  <c r="AA11" i="14"/>
  <c r="AA4"/>
  <c r="L22"/>
  <c r="U21" i="16"/>
  <c r="U22" s="1"/>
  <c r="P21" i="28"/>
  <c r="P22" s="1"/>
  <c r="W21" i="16"/>
  <c r="W22" s="1"/>
  <c r="T22"/>
  <c r="X21"/>
  <c r="X22" s="1"/>
  <c r="Z21"/>
  <c r="N8" i="51"/>
  <c r="N10" i="19"/>
  <c r="M21" i="14"/>
  <c r="Y21" i="21"/>
  <c r="W21"/>
  <c r="W22" s="1"/>
  <c r="U21"/>
  <c r="U22" s="1"/>
  <c r="W21" i="14"/>
  <c r="W22" s="1"/>
  <c r="V21"/>
  <c r="V22" s="1"/>
  <c r="Z21" i="21"/>
  <c r="X21"/>
  <c r="X22" s="1"/>
  <c r="V21"/>
  <c r="V22" s="1"/>
  <c r="T21"/>
  <c r="Y21" i="14"/>
  <c r="Y22" s="1"/>
  <c r="U21"/>
  <c r="U22" s="1"/>
  <c r="X21"/>
  <c r="X22" s="1"/>
  <c r="T21"/>
  <c r="Z21"/>
  <c r="Z22" s="1"/>
  <c r="T22" i="21"/>
  <c r="S21"/>
  <c r="S22" s="1"/>
  <c r="R21"/>
  <c r="R22" s="1"/>
  <c r="Y21" i="28"/>
  <c r="Y22" s="1"/>
  <c r="Q21"/>
  <c r="Q22" s="1"/>
  <c r="X21"/>
  <c r="T21"/>
  <c r="T22" s="1"/>
  <c r="Z22" i="21"/>
  <c r="Z21" i="28"/>
  <c r="Z22" s="1"/>
  <c r="W21" i="12"/>
  <c r="W22" s="1"/>
  <c r="U21" i="28"/>
  <c r="U22" s="1"/>
  <c r="V21" i="12"/>
  <c r="V22" s="1"/>
  <c r="Y21"/>
  <c r="Y22" s="1"/>
  <c r="U21"/>
  <c r="U22" s="1"/>
  <c r="W21" i="28"/>
  <c r="W22" s="1"/>
  <c r="S21"/>
  <c r="S22" s="1"/>
  <c r="X21" i="12"/>
  <c r="X22" s="1"/>
  <c r="T21"/>
  <c r="T22" s="1"/>
  <c r="V21" i="28"/>
  <c r="R21"/>
  <c r="R22" s="1"/>
  <c r="Z21" i="12"/>
  <c r="S21"/>
  <c r="S22" s="1"/>
  <c r="R21"/>
  <c r="R22" s="1"/>
  <c r="Y21" i="37"/>
  <c r="Y22" s="1"/>
  <c r="U21"/>
  <c r="U22" s="1"/>
  <c r="Q22" i="16"/>
  <c r="V21" i="37"/>
  <c r="R21"/>
  <c r="R22" s="1"/>
  <c r="Z21"/>
  <c r="S21" i="35"/>
  <c r="S22" s="1"/>
  <c r="T21"/>
  <c r="T22" s="1"/>
  <c r="Z21"/>
  <c r="Z22" s="1"/>
  <c r="R21" i="34"/>
  <c r="R22" s="1"/>
  <c r="V21"/>
  <c r="V22" s="1"/>
  <c r="Z21"/>
  <c r="Z22" s="1"/>
  <c r="Y21" i="35"/>
  <c r="Y22" s="1"/>
  <c r="U21"/>
  <c r="U22" s="1"/>
  <c r="Q21"/>
  <c r="W21" i="37"/>
  <c r="W22" s="1"/>
  <c r="S21"/>
  <c r="S22" s="1"/>
  <c r="V21" i="35"/>
  <c r="R21"/>
  <c r="R22" s="1"/>
  <c r="X21" i="37"/>
  <c r="X22" s="1"/>
  <c r="T21"/>
  <c r="T22" s="1"/>
  <c r="Q21" i="34"/>
  <c r="S21"/>
  <c r="U21"/>
  <c r="U22" s="1"/>
  <c r="W21"/>
  <c r="W22" s="1"/>
  <c r="Y21"/>
  <c r="W21" i="35"/>
  <c r="W22" s="1"/>
  <c r="X21"/>
  <c r="T21" i="34"/>
  <c r="T22" s="1"/>
  <c r="X21"/>
  <c r="X22" s="1"/>
  <c r="X22" i="28"/>
  <c r="O21"/>
  <c r="O22" s="1"/>
  <c r="M22" i="14"/>
  <c r="Q21" i="12"/>
  <c r="Q22" s="1"/>
  <c r="P21"/>
  <c r="P22" s="1"/>
  <c r="Z22"/>
  <c r="Q22" i="35"/>
  <c r="V22"/>
  <c r="N21"/>
  <c r="N22" s="1"/>
  <c r="O21" i="12"/>
  <c r="O22" s="1"/>
  <c r="O21" i="35"/>
  <c r="O22" s="1"/>
  <c r="N21" i="12"/>
  <c r="N22" s="1"/>
  <c r="P21" i="35"/>
  <c r="P22" s="1"/>
  <c r="T22" i="14"/>
  <c r="P22"/>
  <c r="O21" i="37"/>
  <c r="O22" s="1"/>
  <c r="P21"/>
  <c r="P22" s="1"/>
  <c r="Q21"/>
  <c r="Q22" s="1"/>
  <c r="M21"/>
  <c r="V22"/>
  <c r="N21"/>
  <c r="N22" s="1"/>
  <c r="Z22"/>
  <c r="U21" i="25"/>
  <c r="U22" s="1"/>
  <c r="Q21"/>
  <c r="Q22" s="1"/>
  <c r="M21"/>
  <c r="M22" s="1"/>
  <c r="X21"/>
  <c r="X22" s="1"/>
  <c r="T21"/>
  <c r="T22" s="1"/>
  <c r="P21"/>
  <c r="P22" s="1"/>
  <c r="Z21"/>
  <c r="Z22" s="1"/>
  <c r="M21" i="34"/>
  <c r="M22" s="1"/>
  <c r="O21"/>
  <c r="O22" s="1"/>
  <c r="Q22"/>
  <c r="S22"/>
  <c r="Y22"/>
  <c r="N21"/>
  <c r="N22" s="1"/>
  <c r="P21"/>
  <c r="P22" s="1"/>
  <c r="Y21" i="25"/>
  <c r="Y22" s="1"/>
  <c r="W21"/>
  <c r="W22" s="1"/>
  <c r="S21"/>
  <c r="S22" s="1"/>
  <c r="O21"/>
  <c r="O22" s="1"/>
  <c r="R21"/>
  <c r="R22" s="1"/>
  <c r="N21"/>
  <c r="N22" s="1"/>
  <c r="V21"/>
  <c r="V22" s="1"/>
  <c r="L22"/>
  <c r="Z21" i="36"/>
  <c r="Z22" s="1"/>
  <c r="V21"/>
  <c r="V22" s="1"/>
  <c r="R21"/>
  <c r="R22" s="1"/>
  <c r="N21"/>
  <c r="X21"/>
  <c r="X22" s="1"/>
  <c r="T21"/>
  <c r="T22" s="1"/>
  <c r="P21"/>
  <c r="P22" s="1"/>
  <c r="L21"/>
  <c r="L22" s="1"/>
  <c r="Y21"/>
  <c r="Y22" s="1"/>
  <c r="W21"/>
  <c r="W22" s="1"/>
  <c r="U21"/>
  <c r="U22" s="1"/>
  <c r="S21"/>
  <c r="S22" s="1"/>
  <c r="Q21"/>
  <c r="Q22" s="1"/>
  <c r="O21"/>
  <c r="O22" s="1"/>
  <c r="M21"/>
  <c r="M22" s="1"/>
  <c r="N22"/>
  <c r="AA17" i="16"/>
  <c r="AA5" i="36"/>
  <c r="J22" i="16"/>
  <c r="AA8"/>
  <c r="R22" i="14"/>
  <c r="N22"/>
  <c r="J22"/>
  <c r="AA19"/>
  <c r="AA17"/>
  <c r="F22"/>
  <c r="H22" i="25"/>
  <c r="AA13"/>
  <c r="AA7"/>
  <c r="AA14"/>
  <c r="E22"/>
  <c r="E22" i="35"/>
  <c r="AA17" i="36"/>
  <c r="F22"/>
  <c r="AA10"/>
  <c r="V22" i="16"/>
  <c r="Z22" i="45"/>
  <c r="N22" i="16"/>
  <c r="I22"/>
  <c r="AA16"/>
  <c r="AA14"/>
  <c r="F22"/>
  <c r="AA13"/>
  <c r="AA11"/>
  <c r="F24" i="9"/>
  <c r="M22" i="35"/>
  <c r="J22"/>
  <c r="AA11"/>
  <c r="V24" i="9"/>
  <c r="V20"/>
  <c r="V26"/>
  <c r="AA26" i="45"/>
  <c r="AA25"/>
  <c r="V12" i="9"/>
  <c r="V5"/>
  <c r="V17"/>
  <c r="AA24" i="45"/>
  <c r="V4" i="9"/>
  <c r="V16"/>
  <c r="V7"/>
  <c r="AA5" i="45"/>
  <c r="V10" i="9"/>
  <c r="V11"/>
  <c r="AA19" i="45"/>
  <c r="AA17"/>
  <c r="AA15"/>
  <c r="AA13"/>
  <c r="AA11"/>
  <c r="AA9"/>
  <c r="AA7"/>
  <c r="W22"/>
  <c r="S22"/>
  <c r="O22"/>
  <c r="K22"/>
  <c r="G22"/>
  <c r="X22"/>
  <c r="T22"/>
  <c r="N22"/>
  <c r="F22"/>
  <c r="H22"/>
  <c r="V9" i="9"/>
  <c r="AA18" i="45"/>
  <c r="AA16"/>
  <c r="AA14"/>
  <c r="AA12"/>
  <c r="AA10"/>
  <c r="AA8"/>
  <c r="AA6"/>
  <c r="Y22"/>
  <c r="U22"/>
  <c r="Q22"/>
  <c r="M22"/>
  <c r="I22"/>
  <c r="E22"/>
  <c r="V22"/>
  <c r="R22"/>
  <c r="J22"/>
  <c r="P22"/>
  <c r="L22"/>
  <c r="AA20"/>
  <c r="AW36" i="2"/>
  <c r="C49"/>
  <c r="Q49"/>
  <c r="G49"/>
  <c r="J15" i="9"/>
  <c r="AA6" i="14"/>
  <c r="AA13"/>
  <c r="AA9"/>
  <c r="AA18"/>
  <c r="AA16"/>
  <c r="L22" i="35"/>
  <c r="J22" i="36"/>
  <c r="AA19"/>
  <c r="Z22" i="16"/>
  <c r="R22"/>
  <c r="P22"/>
  <c r="M22"/>
  <c r="L22"/>
  <c r="H22"/>
  <c r="AA4"/>
  <c r="AA19"/>
  <c r="AA15"/>
  <c r="AA9"/>
  <c r="AA7"/>
  <c r="AA5"/>
  <c r="AA12"/>
  <c r="AA6"/>
  <c r="E22"/>
  <c r="N22" i="19"/>
  <c r="N16"/>
  <c r="N21"/>
  <c r="N29"/>
  <c r="T16" i="9"/>
  <c r="N28" i="19"/>
  <c r="L14" i="9"/>
  <c r="AA7" i="35"/>
  <c r="F22"/>
  <c r="AA18" i="36"/>
  <c r="AA6"/>
  <c r="AA13"/>
  <c r="AA16"/>
  <c r="AA4"/>
  <c r="AA20" i="16"/>
  <c r="AA18"/>
  <c r="AA10"/>
  <c r="AA20" i="14"/>
  <c r="AA14"/>
  <c r="AA12"/>
  <c r="AA10"/>
  <c r="AA8"/>
  <c r="AA7"/>
  <c r="AA5"/>
  <c r="AA20" i="25"/>
  <c r="AA5"/>
  <c r="AA4"/>
  <c r="AA17"/>
  <c r="AA15"/>
  <c r="AA12"/>
  <c r="AA8"/>
  <c r="AA6"/>
  <c r="T9" i="9"/>
  <c r="T5"/>
  <c r="T6"/>
  <c r="J11"/>
  <c r="T13"/>
  <c r="T19"/>
  <c r="T4"/>
  <c r="J5"/>
  <c r="J13"/>
  <c r="N25"/>
  <c r="B25"/>
  <c r="B6"/>
  <c r="B18"/>
  <c r="B24"/>
  <c r="H11"/>
  <c r="R19"/>
  <c r="AA24" i="16"/>
  <c r="S22" i="14"/>
  <c r="G22"/>
  <c r="AA15"/>
  <c r="O22"/>
  <c r="K22"/>
  <c r="E22"/>
  <c r="J26" i="9"/>
  <c r="L24"/>
  <c r="D11"/>
  <c r="Y22" i="16"/>
  <c r="O22"/>
  <c r="K22"/>
  <c r="G22"/>
  <c r="D16" i="9"/>
  <c r="P25"/>
  <c r="F7"/>
  <c r="J14"/>
  <c r="AA16" i="25"/>
  <c r="R7" i="9"/>
  <c r="R10"/>
  <c r="E22" i="36"/>
  <c r="AA10" i="25"/>
  <c r="AA12" i="36"/>
  <c r="AA8"/>
  <c r="AA15"/>
  <c r="AA9"/>
  <c r="AA7"/>
  <c r="L6" i="9"/>
  <c r="B20"/>
  <c r="R5"/>
  <c r="K22" i="36"/>
  <c r="I22"/>
  <c r="G22"/>
  <c r="R26" i="9"/>
  <c r="K22" i="25"/>
  <c r="J22"/>
  <c r="AA19"/>
  <c r="G22"/>
  <c r="AA11"/>
  <c r="F22"/>
  <c r="P14" i="9"/>
  <c r="P11"/>
  <c r="P6"/>
  <c r="D49" i="2"/>
  <c r="AT36"/>
  <c r="AS36"/>
  <c r="AF36"/>
  <c r="X49"/>
  <c r="AP36"/>
  <c r="E49"/>
  <c r="V49"/>
  <c r="U49"/>
  <c r="R49"/>
  <c r="AO36"/>
  <c r="AN36"/>
  <c r="AM36"/>
  <c r="L49"/>
  <c r="K49"/>
  <c r="AJ36"/>
  <c r="AA11" i="36"/>
  <c r="X22" i="35"/>
  <c r="I22"/>
  <c r="H22"/>
  <c r="G22"/>
  <c r="AA4" i="30"/>
  <c r="AA22" s="1"/>
  <c r="AA13" i="12"/>
  <c r="AA20" i="36"/>
  <c r="AA14"/>
  <c r="AA14" i="28"/>
  <c r="I22" i="12"/>
  <c r="G22"/>
  <c r="AA5" i="35"/>
  <c r="AA12"/>
  <c r="J22" i="12"/>
  <c r="Q22" i="21"/>
  <c r="AA6" i="35"/>
  <c r="AA19"/>
  <c r="AA17"/>
  <c r="AA14"/>
  <c r="AA18"/>
  <c r="G22" i="28"/>
  <c r="AA17" i="12"/>
  <c r="J22" i="21"/>
  <c r="AA16"/>
  <c r="G22" i="37"/>
  <c r="AA7" i="21"/>
  <c r="AA15" i="28"/>
  <c r="AA9"/>
  <c r="AA7" i="12"/>
  <c r="AA16"/>
  <c r="AA4" i="21"/>
  <c r="O22"/>
  <c r="V22" i="28"/>
  <c r="N22"/>
  <c r="M22"/>
  <c r="K22"/>
  <c r="AA16"/>
  <c r="F22"/>
  <c r="E22"/>
  <c r="H22" i="12"/>
  <c r="AA14"/>
  <c r="AA10"/>
  <c r="F22"/>
  <c r="AA19"/>
  <c r="AA11"/>
  <c r="AA5"/>
  <c r="AA16" i="35"/>
  <c r="AA8"/>
  <c r="AA15"/>
  <c r="AA13"/>
  <c r="AA20"/>
  <c r="AA4"/>
  <c r="AA10"/>
  <c r="AA9"/>
  <c r="AA15" i="21"/>
  <c r="AA4" i="28"/>
  <c r="E22" i="12"/>
  <c r="Q22" i="14"/>
  <c r="M22" i="21"/>
  <c r="I22"/>
  <c r="AA18"/>
  <c r="E22"/>
  <c r="AA11" i="28"/>
  <c r="AA12"/>
  <c r="J22" i="37"/>
  <c r="F22"/>
  <c r="Y22" i="21"/>
  <c r="P22"/>
  <c r="N22"/>
  <c r="L22"/>
  <c r="H22"/>
  <c r="G22"/>
  <c r="AA10"/>
  <c r="F22"/>
  <c r="AA17"/>
  <c r="AA11"/>
  <c r="AA5"/>
  <c r="L22" i="28"/>
  <c r="J22"/>
  <c r="I22"/>
  <c r="H22"/>
  <c r="AA20"/>
  <c r="AA18"/>
  <c r="AA10"/>
  <c r="AA8"/>
  <c r="AA6"/>
  <c r="AA19"/>
  <c r="AA17"/>
  <c r="AA13"/>
  <c r="AA7"/>
  <c r="AA5"/>
  <c r="AA12" i="12"/>
  <c r="AA6"/>
  <c r="AA15"/>
  <c r="AA9"/>
  <c r="AA20"/>
  <c r="AA18"/>
  <c r="AA8"/>
  <c r="AA4"/>
  <c r="AA19" i="37"/>
  <c r="AA13"/>
  <c r="AA19" i="34"/>
  <c r="K22"/>
  <c r="AA9" i="37"/>
  <c r="P7" i="9"/>
  <c r="AA24" i="36"/>
  <c r="AA26" i="34"/>
  <c r="AA4"/>
  <c r="AA25" i="36"/>
  <c r="L22" i="37"/>
  <c r="I22"/>
  <c r="H22"/>
  <c r="AA20"/>
  <c r="AA14"/>
  <c r="AA10"/>
  <c r="AA8"/>
  <c r="AA15"/>
  <c r="AA5"/>
  <c r="AA12" i="21"/>
  <c r="AA6"/>
  <c r="AA19"/>
  <c r="AA13"/>
  <c r="AA9"/>
  <c r="AA20"/>
  <c r="AA14"/>
  <c r="AA8"/>
  <c r="E22" i="37"/>
  <c r="AA26" i="36"/>
  <c r="AA18" i="34"/>
  <c r="AA16"/>
  <c r="B5" i="9"/>
  <c r="B4"/>
  <c r="T20"/>
  <c r="L18"/>
  <c r="D13"/>
  <c r="N7"/>
  <c r="H12"/>
  <c r="D10"/>
  <c r="L22" i="34"/>
  <c r="AA9"/>
  <c r="AA5"/>
  <c r="AA14"/>
  <c r="AA15"/>
  <c r="AA25" i="16"/>
  <c r="N19" i="9"/>
  <c r="D7"/>
  <c r="F11"/>
  <c r="L25"/>
  <c r="J8"/>
  <c r="R6"/>
  <c r="R14"/>
  <c r="P20"/>
  <c r="Z22" i="10"/>
  <c r="R24" i="9"/>
  <c r="H6"/>
  <c r="H20"/>
  <c r="F8"/>
  <c r="H17"/>
  <c r="P8"/>
  <c r="N16"/>
  <c r="N11"/>
  <c r="N14"/>
  <c r="D19"/>
  <c r="H10"/>
  <c r="F10"/>
  <c r="N12"/>
  <c r="Z34" i="10"/>
  <c r="L19" i="9"/>
  <c r="N26"/>
  <c r="L16"/>
  <c r="R11"/>
  <c r="B26"/>
  <c r="Z27" i="10"/>
  <c r="R17" i="9"/>
  <c r="J18"/>
  <c r="F25"/>
  <c r="D4"/>
  <c r="P13"/>
  <c r="J7"/>
  <c r="D6"/>
  <c r="Z5" i="10"/>
  <c r="Z17"/>
  <c r="N16" i="51" s="1"/>
  <c r="N18" i="9"/>
  <c r="H5"/>
  <c r="T25"/>
  <c r="H25"/>
  <c r="Z32" i="10"/>
  <c r="H16" i="9"/>
  <c r="Z29" i="10"/>
  <c r="N26" i="51" s="1"/>
  <c r="P9" i="9"/>
  <c r="B9"/>
  <c r="F14"/>
  <c r="L11"/>
  <c r="J12"/>
  <c r="P17"/>
  <c r="L5"/>
  <c r="D15"/>
  <c r="J4"/>
  <c r="F5"/>
  <c r="L10"/>
  <c r="F20"/>
  <c r="F9"/>
  <c r="J25"/>
  <c r="T10"/>
  <c r="AA24" i="25"/>
  <c r="AA26" i="16"/>
  <c r="AA4" i="33"/>
  <c r="AA22" s="1"/>
  <c r="AA4" i="45"/>
  <c r="E22" i="40"/>
  <c r="AA4" i="32"/>
  <c r="AA22" s="1"/>
  <c r="AA24" i="12"/>
  <c r="AA26" i="14"/>
  <c r="L13" i="9"/>
  <c r="H26"/>
  <c r="Z18" i="10"/>
  <c r="N6" i="51" s="1"/>
  <c r="R12" i="9"/>
  <c r="Z4" i="10"/>
  <c r="N15" i="9"/>
  <c r="N24"/>
  <c r="B15"/>
  <c r="B17"/>
  <c r="J20"/>
  <c r="F6"/>
  <c r="N6"/>
  <c r="H18"/>
  <c r="D17"/>
  <c r="J16"/>
  <c r="N20"/>
  <c r="R9"/>
  <c r="T18"/>
  <c r="R13"/>
  <c r="AA26" i="21"/>
  <c r="AA24"/>
  <c r="AA25" i="37"/>
  <c r="AA24" i="28"/>
  <c r="E22" i="15"/>
  <c r="R16" i="9"/>
  <c r="B13"/>
  <c r="F16"/>
  <c r="R18"/>
  <c r="L4"/>
  <c r="Z19" i="10"/>
  <c r="N7" i="51" s="1"/>
  <c r="N9" i="9"/>
  <c r="T11"/>
  <c r="Z13" i="10"/>
  <c r="N15" i="51" s="1"/>
  <c r="H15" i="9"/>
  <c r="D9"/>
  <c r="Z42" i="10"/>
  <c r="N24" i="19" s="1"/>
  <c r="D18" i="9"/>
  <c r="B8"/>
  <c r="J10"/>
  <c r="Z3" i="10"/>
  <c r="N4" i="9"/>
  <c r="Z7" i="10"/>
  <c r="P26" i="9"/>
  <c r="H9"/>
  <c r="B11"/>
  <c r="F26"/>
  <c r="N13"/>
  <c r="B12"/>
  <c r="L7"/>
  <c r="J17"/>
  <c r="D14"/>
  <c r="R15"/>
  <c r="H14"/>
  <c r="P18"/>
  <c r="H8"/>
  <c r="D26"/>
  <c r="J19"/>
  <c r="F18"/>
  <c r="AA26" i="12"/>
  <c r="AA24" i="37"/>
  <c r="AA24" i="14"/>
  <c r="N10" i="9"/>
  <c r="AA24" i="34"/>
  <c r="AA25"/>
  <c r="J22"/>
  <c r="I22"/>
  <c r="AA12"/>
  <c r="AA10"/>
  <c r="AA8"/>
  <c r="AA6"/>
  <c r="AA17"/>
  <c r="G22"/>
  <c r="F22"/>
  <c r="AA20"/>
  <c r="AA13"/>
  <c r="AA11"/>
  <c r="AA7"/>
  <c r="E22"/>
  <c r="AA16" i="37"/>
  <c r="AA12"/>
  <c r="AA17"/>
  <c r="AA11"/>
  <c r="AA18"/>
  <c r="AA6"/>
  <c r="AA4"/>
  <c r="AA7"/>
  <c r="AA26" i="28"/>
  <c r="AA25" i="14"/>
  <c r="AA25" i="28"/>
  <c r="B14" i="9"/>
  <c r="T8"/>
  <c r="D20"/>
  <c r="N8"/>
  <c r="D12"/>
  <c r="H7"/>
  <c r="B19"/>
  <c r="Z6" i="10"/>
  <c r="N36" i="51" s="1"/>
  <c r="B10" i="9"/>
  <c r="Z33" i="10"/>
  <c r="N11" i="51" s="1"/>
  <c r="B16" i="9"/>
  <c r="T26"/>
  <c r="L12"/>
  <c r="J9"/>
  <c r="J24"/>
  <c r="P4"/>
  <c r="D25"/>
  <c r="H24"/>
  <c r="R8"/>
  <c r="P24"/>
  <c r="Z35" i="10"/>
  <c r="N13" i="51" s="1"/>
  <c r="L15" i="9"/>
  <c r="R4"/>
  <c r="F17"/>
  <c r="Z15" i="10"/>
  <c r="N34" i="51" s="1"/>
  <c r="N17" i="9"/>
  <c r="T15"/>
  <c r="AA4" i="17"/>
  <c r="AA22" s="1"/>
  <c r="F4" i="9"/>
  <c r="T7"/>
  <c r="T14"/>
  <c r="P16"/>
  <c r="P19"/>
  <c r="L20"/>
  <c r="F19"/>
  <c r="AA25" i="21"/>
  <c r="M22" i="12"/>
  <c r="AA25"/>
  <c r="AA25" i="35"/>
  <c r="AA24"/>
  <c r="AA26"/>
  <c r="AA26" i="37"/>
  <c r="AA25" i="25"/>
  <c r="AA26"/>
  <c r="S22" i="16"/>
  <c r="H22" i="36"/>
  <c r="L22" i="12"/>
  <c r="H22" i="34"/>
  <c r="K22" i="35"/>
  <c r="I22" i="14"/>
  <c r="K22" i="21"/>
  <c r="N38" i="19"/>
  <c r="K22" i="37"/>
  <c r="K22" i="12"/>
  <c r="T17" i="9"/>
  <c r="N5"/>
  <c r="L9"/>
  <c r="P15"/>
  <c r="D24"/>
  <c r="H13"/>
  <c r="F12"/>
  <c r="P12"/>
  <c r="AA21" i="45" l="1"/>
  <c r="AA22" s="1"/>
  <c r="AA21" i="36"/>
  <c r="AA21" i="28"/>
  <c r="AA22" s="1"/>
  <c r="AA21" i="12"/>
  <c r="AA22" s="1"/>
  <c r="AA21" i="21"/>
  <c r="M22" i="37"/>
  <c r="AA21"/>
  <c r="AA22" s="1"/>
  <c r="AA21" i="14"/>
  <c r="AA22" s="1"/>
  <c r="AA21" i="34"/>
  <c r="AA21" i="35"/>
  <c r="AA21" i="25"/>
  <c r="AA22" s="1"/>
  <c r="AA21" i="16"/>
  <c r="AA22" i="21"/>
  <c r="N40" i="19"/>
  <c r="N17" i="51"/>
  <c r="N32" i="19"/>
  <c r="N33" i="51"/>
  <c r="N39" i="19"/>
  <c r="N39" i="51"/>
  <c r="N31" i="19"/>
  <c r="N12" i="51"/>
  <c r="N23" i="19"/>
  <c r="N25" i="51"/>
  <c r="N17" i="19"/>
  <c r="N4" i="51"/>
  <c r="N19" i="19"/>
  <c r="N23" i="51"/>
  <c r="N11" i="19"/>
  <c r="N2" i="51"/>
  <c r="N26" i="19"/>
  <c r="N4"/>
  <c r="V22" i="9"/>
  <c r="N15" i="19"/>
  <c r="N12"/>
  <c r="N6"/>
  <c r="N14"/>
  <c r="N7"/>
  <c r="AA22" i="16"/>
  <c r="N2" i="19"/>
  <c r="N9"/>
  <c r="N37"/>
  <c r="N8"/>
  <c r="N33"/>
  <c r="N25"/>
  <c r="N27"/>
  <c r="N35"/>
  <c r="N30"/>
  <c r="N20"/>
  <c r="AA22" i="36"/>
  <c r="AA22" i="35"/>
  <c r="AA22" i="34"/>
  <c r="Z2" i="10"/>
  <c r="R20" i="9"/>
  <c r="Z12" i="10"/>
  <c r="H19" i="9"/>
  <c r="L17"/>
  <c r="T12"/>
  <c r="T22" s="1"/>
  <c r="B7"/>
  <c r="B22" s="1"/>
  <c r="Z40" i="10"/>
  <c r="L8" i="9"/>
  <c r="F15"/>
  <c r="H4"/>
  <c r="P10"/>
  <c r="F13"/>
  <c r="J6"/>
  <c r="J22" s="1"/>
  <c r="D8"/>
  <c r="P5"/>
  <c r="R25"/>
  <c r="D5"/>
  <c r="L26"/>
  <c r="R22"/>
  <c r="N5" i="19"/>
  <c r="N22" i="9"/>
  <c r="P22" l="1"/>
  <c r="L22"/>
  <c r="M60" i="51"/>
  <c r="N3" i="19"/>
  <c r="N5" i="51"/>
  <c r="N36" i="19"/>
  <c r="N35" i="51"/>
  <c r="M3"/>
  <c r="M5"/>
  <c r="M7"/>
  <c r="M9"/>
  <c r="M11"/>
  <c r="M13"/>
  <c r="M15"/>
  <c r="M17"/>
  <c r="M19"/>
  <c r="M21"/>
  <c r="M23"/>
  <c r="M25"/>
  <c r="M27"/>
  <c r="M29"/>
  <c r="M31"/>
  <c r="M33"/>
  <c r="M35"/>
  <c r="M37"/>
  <c r="M39"/>
  <c r="M41"/>
  <c r="M43"/>
  <c r="M45"/>
  <c r="M47"/>
  <c r="M49"/>
  <c r="M51"/>
  <c r="M53"/>
  <c r="M55"/>
  <c r="M57"/>
  <c r="M59"/>
  <c r="M61"/>
  <c r="N41" i="19"/>
  <c r="N9" i="51"/>
  <c r="M2"/>
  <c r="M4"/>
  <c r="M6"/>
  <c r="M8"/>
  <c r="M10"/>
  <c r="M12"/>
  <c r="M14"/>
  <c r="M16"/>
  <c r="M18"/>
  <c r="M20"/>
  <c r="M22"/>
  <c r="M24"/>
  <c r="M26"/>
  <c r="M28"/>
  <c r="M30"/>
  <c r="M32"/>
  <c r="M34"/>
  <c r="M36"/>
  <c r="M38"/>
  <c r="M40"/>
  <c r="M42"/>
  <c r="M44"/>
  <c r="M46"/>
  <c r="M48"/>
  <c r="M50"/>
  <c r="M52"/>
  <c r="M54"/>
  <c r="M56"/>
  <c r="M58"/>
  <c r="N13" i="19"/>
  <c r="N18"/>
  <c r="N34"/>
  <c r="AA47" i="10"/>
  <c r="AA11"/>
  <c r="AB49"/>
  <c r="AB31"/>
  <c r="AB30"/>
  <c r="AA15"/>
  <c r="AB25"/>
  <c r="M60" i="19"/>
  <c r="AB38" i="10"/>
  <c r="AA45"/>
  <c r="AA13"/>
  <c r="AA4"/>
  <c r="M53" i="19"/>
  <c r="AB37" i="10"/>
  <c r="AB54"/>
  <c r="AB28"/>
  <c r="AB51"/>
  <c r="AB53"/>
  <c r="AB47"/>
  <c r="M58" i="19"/>
  <c r="F22" i="9"/>
  <c r="M61" i="19"/>
  <c r="AA9" i="10"/>
  <c r="AA25"/>
  <c r="AA36"/>
  <c r="M57" i="19"/>
  <c r="AA55" i="10"/>
  <c r="AB14"/>
  <c r="AB35"/>
  <c r="D22" i="9"/>
  <c r="AA35" i="10"/>
  <c r="AB6"/>
  <c r="AA40"/>
  <c r="AA3"/>
  <c r="AA42"/>
  <c r="AA41"/>
  <c r="AA10"/>
  <c r="AA2"/>
  <c r="AA46"/>
  <c r="M51" i="19"/>
  <c r="AA34" i="10"/>
  <c r="AA18"/>
  <c r="AA33"/>
  <c r="AA50"/>
  <c r="M43" i="19"/>
  <c r="AA19" i="10"/>
  <c r="AA16"/>
  <c r="AA6"/>
  <c r="M52" i="19"/>
  <c r="M54"/>
  <c r="AA21" i="10"/>
  <c r="AB40"/>
  <c r="AB39"/>
  <c r="AB44"/>
  <c r="AB22"/>
  <c r="AB23"/>
  <c r="AB43"/>
  <c r="AB3"/>
  <c r="AB26"/>
  <c r="AB34"/>
  <c r="AA17"/>
  <c r="N42" i="19"/>
  <c r="AB36" i="10"/>
  <c r="AB20"/>
  <c r="AB13"/>
  <c r="AB48"/>
  <c r="AB4"/>
  <c r="AB21"/>
  <c r="AB5"/>
  <c r="AA24"/>
  <c r="AA8"/>
  <c r="AA43"/>
  <c r="AA20"/>
  <c r="AA54"/>
  <c r="M50" i="19"/>
  <c r="AA26" i="10"/>
  <c r="AA14"/>
  <c r="AA22"/>
  <c r="M44" i="19"/>
  <c r="AA48" i="10"/>
  <c r="M49" i="19"/>
  <c r="AA37" i="10"/>
  <c r="AA5"/>
  <c r="AA23"/>
  <c r="M56" i="19"/>
  <c r="AA27" i="10"/>
  <c r="M45" i="19"/>
  <c r="M48"/>
  <c r="M46"/>
  <c r="AA12" i="10"/>
  <c r="AA38"/>
  <c r="AA29"/>
  <c r="AA44"/>
  <c r="AA51"/>
  <c r="M55" i="19"/>
  <c r="AA31" i="10"/>
  <c r="AA53"/>
  <c r="M59" i="19"/>
  <c r="AA7" i="10"/>
  <c r="AA32"/>
  <c r="AA30"/>
  <c r="M47" i="19"/>
  <c r="AA28" i="10"/>
  <c r="AA39"/>
  <c r="AA52"/>
  <c r="AA49"/>
  <c r="AB29"/>
  <c r="AB15"/>
  <c r="AB2"/>
  <c r="AB33"/>
  <c r="AB7"/>
  <c r="AB52"/>
  <c r="AB10"/>
  <c r="AB9"/>
  <c r="AB50"/>
  <c r="AB32"/>
  <c r="AB27"/>
  <c r="AB12"/>
  <c r="AB8"/>
  <c r="AB42"/>
  <c r="AB11"/>
  <c r="AB18"/>
  <c r="AB16"/>
  <c r="AB46"/>
  <c r="AB41"/>
  <c r="AB55"/>
  <c r="AB45"/>
  <c r="AB19"/>
  <c r="AB17"/>
  <c r="AB24"/>
  <c r="H22" i="9"/>
  <c r="M8" i="19" l="1"/>
  <c r="M34"/>
  <c r="M17"/>
  <c r="M7"/>
  <c r="M12"/>
  <c r="M40"/>
  <c r="M35"/>
  <c r="M25"/>
  <c r="M9"/>
  <c r="M10"/>
  <c r="M41"/>
  <c r="M31"/>
  <c r="M28"/>
  <c r="M20"/>
  <c r="M24"/>
  <c r="M42"/>
  <c r="M32"/>
  <c r="M23"/>
  <c r="M18"/>
  <c r="M13"/>
  <c r="M39"/>
  <c r="M33"/>
  <c r="M26"/>
  <c r="M19"/>
  <c r="M5"/>
  <c r="M4"/>
  <c r="M36"/>
  <c r="M30"/>
  <c r="M21"/>
  <c r="M6"/>
  <c r="M2"/>
  <c r="M37"/>
  <c r="M27"/>
  <c r="M16"/>
  <c r="M14"/>
  <c r="M3"/>
  <c r="M38"/>
  <c r="M29"/>
  <c r="M22"/>
  <c r="M15"/>
  <c r="M11"/>
  <c r="AD10" i="10"/>
  <c r="AF10" s="1"/>
  <c r="AD12"/>
  <c r="AF12" s="1"/>
  <c r="AD3"/>
  <c r="AF3" s="1"/>
  <c r="AE16"/>
  <c r="AE17"/>
  <c r="AE44"/>
  <c r="AE35"/>
  <c r="AE39"/>
  <c r="AD17"/>
  <c r="AF17" s="1"/>
  <c r="AE54"/>
  <c r="AD42"/>
  <c r="AD39"/>
  <c r="AE13"/>
  <c r="AE40"/>
  <c r="AD15"/>
  <c r="AF15" s="1"/>
  <c r="AD5"/>
  <c r="AF5" s="1"/>
  <c r="AE23"/>
  <c r="AD34"/>
  <c r="AE46"/>
  <c r="AD40"/>
  <c r="AD46"/>
  <c r="AE28"/>
  <c r="AD29"/>
  <c r="AE37"/>
  <c r="AE26"/>
  <c r="AD8"/>
  <c r="AF8" s="1"/>
  <c r="AE52"/>
  <c r="AD13"/>
  <c r="AF13" s="1"/>
  <c r="AE55"/>
  <c r="AD9"/>
  <c r="AF9" s="1"/>
  <c r="AE4"/>
  <c r="AD54"/>
  <c r="AD44"/>
  <c r="AD55"/>
  <c r="AD41"/>
  <c r="AD53"/>
  <c r="AE51"/>
  <c r="AD22"/>
  <c r="AE42"/>
  <c r="AD18"/>
  <c r="AF18" s="1"/>
  <c r="AD28"/>
  <c r="AE10"/>
  <c r="AE50"/>
  <c r="AE18"/>
  <c r="AE33"/>
  <c r="AE7"/>
  <c r="AE25"/>
  <c r="AD33"/>
  <c r="AD35"/>
  <c r="AD11"/>
  <c r="AF11" s="1"/>
  <c r="AE24"/>
  <c r="AD14"/>
  <c r="AF14" s="1"/>
  <c r="AE29"/>
  <c r="AD45"/>
  <c r="AD2"/>
  <c r="AF2" s="1"/>
  <c r="AE32"/>
  <c r="AE12"/>
  <c r="AD24"/>
  <c r="AD6"/>
  <c r="AF6" s="1"/>
  <c r="AD20"/>
  <c r="AE27"/>
  <c r="AD50"/>
  <c r="AE21"/>
  <c r="AD23"/>
  <c r="AE30"/>
  <c r="AD52"/>
  <c r="AE15"/>
  <c r="AE43"/>
  <c r="AD32"/>
  <c r="AD21"/>
  <c r="AE53"/>
  <c r="AD31"/>
  <c r="AD43"/>
  <c r="AD7"/>
  <c r="AF7" s="1"/>
  <c r="AE34"/>
  <c r="AE38"/>
  <c r="AE48"/>
  <c r="AE14"/>
  <c r="AD38"/>
  <c r="AD30"/>
  <c r="AD47"/>
  <c r="AE5"/>
  <c r="AD49"/>
  <c r="AE45"/>
  <c r="AE49"/>
  <c r="AD19"/>
  <c r="AD25"/>
  <c r="AD48"/>
  <c r="AD4"/>
  <c r="AF4" s="1"/>
  <c r="AE8"/>
  <c r="AE36"/>
  <c r="AE22"/>
  <c r="AE31"/>
  <c r="AD37"/>
  <c r="AE20"/>
  <c r="AE11"/>
  <c r="AE47"/>
  <c r="AD51"/>
  <c r="AE9"/>
  <c r="AD26"/>
  <c r="AE6"/>
  <c r="AE41"/>
  <c r="AD27"/>
  <c r="AE19"/>
  <c r="AD16"/>
  <c r="AF16" s="1"/>
  <c r="AE3"/>
  <c r="AE2"/>
  <c r="AD36"/>
  <c r="C34" i="19"/>
  <c r="H34"/>
  <c r="I34"/>
  <c r="J34"/>
  <c r="B34"/>
  <c r="G34"/>
  <c r="D34"/>
  <c r="F34"/>
  <c r="E34"/>
  <c r="L40"/>
  <c r="K40"/>
  <c r="F40"/>
  <c r="G40"/>
  <c r="C40"/>
  <c r="I40"/>
  <c r="J40"/>
  <c r="E40"/>
  <c r="B40"/>
  <c r="D40"/>
  <c r="H40"/>
  <c r="J25"/>
  <c r="F25"/>
  <c r="G25"/>
  <c r="K25"/>
  <c r="B25"/>
  <c r="C25"/>
  <c r="K10"/>
  <c r="I10"/>
  <c r="C31"/>
  <c r="D31"/>
  <c r="J31"/>
  <c r="K31"/>
  <c r="G31"/>
  <c r="I31"/>
  <c r="E31"/>
  <c r="F31"/>
  <c r="D20"/>
  <c r="F20"/>
  <c r="G20"/>
  <c r="L20"/>
  <c r="J42"/>
  <c r="E42"/>
  <c r="B42"/>
  <c r="G42"/>
  <c r="I42"/>
  <c r="L42"/>
  <c r="K42"/>
  <c r="F42"/>
  <c r="C42"/>
  <c r="H42"/>
  <c r="D42"/>
  <c r="E23"/>
  <c r="H23"/>
  <c r="L23"/>
  <c r="F23"/>
  <c r="I23"/>
  <c r="C33"/>
  <c r="D33"/>
  <c r="K33"/>
  <c r="J33"/>
  <c r="B33"/>
  <c r="H33"/>
  <c r="I33"/>
  <c r="F33"/>
  <c r="E33"/>
  <c r="I19"/>
  <c r="C19"/>
  <c r="J19"/>
  <c r="J30"/>
  <c r="E30"/>
  <c r="B30"/>
  <c r="D30"/>
  <c r="K30"/>
  <c r="F30"/>
  <c r="G30"/>
  <c r="H30"/>
  <c r="G37"/>
  <c r="D37"/>
  <c r="J37"/>
  <c r="B37"/>
  <c r="K37"/>
  <c r="C37"/>
  <c r="H37"/>
  <c r="I37"/>
  <c r="E37"/>
  <c r="L37"/>
  <c r="F37"/>
  <c r="G16"/>
  <c r="K16"/>
  <c r="E16"/>
  <c r="L29"/>
  <c r="E29"/>
  <c r="C29"/>
  <c r="G29"/>
  <c r="J29"/>
  <c r="B29"/>
  <c r="I29"/>
  <c r="D29"/>
  <c r="L15"/>
  <c r="C15"/>
  <c r="F7"/>
  <c r="J13"/>
  <c r="J4"/>
  <c r="H6"/>
  <c r="L3"/>
  <c r="K8"/>
  <c r="F8"/>
  <c r="I17"/>
  <c r="B17"/>
  <c r="L17"/>
  <c r="J12"/>
  <c r="E12"/>
  <c r="K35"/>
  <c r="B35"/>
  <c r="D35"/>
  <c r="H35"/>
  <c r="L35"/>
  <c r="F35"/>
  <c r="G35"/>
  <c r="C35"/>
  <c r="I35"/>
  <c r="K9"/>
  <c r="J9"/>
  <c r="G41"/>
  <c r="D41"/>
  <c r="J41"/>
  <c r="B41"/>
  <c r="K41"/>
  <c r="C41"/>
  <c r="H41"/>
  <c r="I41"/>
  <c r="E41"/>
  <c r="L41"/>
  <c r="F41"/>
  <c r="G28"/>
  <c r="D28"/>
  <c r="B28"/>
  <c r="F28"/>
  <c r="H28"/>
  <c r="E28"/>
  <c r="K28"/>
  <c r="C24"/>
  <c r="D24"/>
  <c r="E24"/>
  <c r="H24"/>
  <c r="K24"/>
  <c r="L32"/>
  <c r="E32"/>
  <c r="B32"/>
  <c r="H32"/>
  <c r="G32"/>
  <c r="J32"/>
  <c r="F32"/>
  <c r="C32"/>
  <c r="I32"/>
  <c r="I18"/>
  <c r="E18"/>
  <c r="G18"/>
  <c r="G39"/>
  <c r="D39"/>
  <c r="L39"/>
  <c r="F39"/>
  <c r="E39"/>
  <c r="C39"/>
  <c r="H39"/>
  <c r="I39"/>
  <c r="K39"/>
  <c r="J39"/>
  <c r="B39"/>
  <c r="C26"/>
  <c r="H26"/>
  <c r="E26"/>
  <c r="G26"/>
  <c r="L26"/>
  <c r="B26"/>
  <c r="J36"/>
  <c r="E36"/>
  <c r="B36"/>
  <c r="D36"/>
  <c r="H36"/>
  <c r="L36"/>
  <c r="K36"/>
  <c r="F36"/>
  <c r="G36"/>
  <c r="C36"/>
  <c r="I36"/>
  <c r="K21"/>
  <c r="D21"/>
  <c r="I21"/>
  <c r="B21"/>
  <c r="C21"/>
  <c r="H27"/>
  <c r="I27"/>
  <c r="K27"/>
  <c r="C27"/>
  <c r="D27"/>
  <c r="B27"/>
  <c r="L14"/>
  <c r="H14"/>
  <c r="J38"/>
  <c r="E38"/>
  <c r="B38"/>
  <c r="H38"/>
  <c r="G38"/>
  <c r="L38"/>
  <c r="K38"/>
  <c r="F38"/>
  <c r="C38"/>
  <c r="I38"/>
  <c r="D38"/>
  <c r="L22"/>
  <c r="B22"/>
  <c r="D22"/>
  <c r="F22"/>
  <c r="H22"/>
  <c r="G11"/>
  <c r="L11"/>
  <c r="D5"/>
  <c r="L2"/>
  <c r="AH7" i="10" l="1"/>
  <c r="AH14"/>
  <c r="AH11"/>
  <c r="AH18"/>
  <c r="AH9"/>
  <c r="AH13"/>
  <c r="AH8"/>
  <c r="AH5"/>
  <c r="AH12"/>
  <c r="AH16"/>
  <c r="AH4"/>
  <c r="AH6"/>
  <c r="AH15"/>
  <c r="AH17"/>
  <c r="AH3"/>
  <c r="AH10"/>
  <c r="AH2"/>
  <c r="L63" i="19"/>
  <c r="G63"/>
  <c r="B63"/>
  <c r="H63"/>
  <c r="D63"/>
  <c r="C63"/>
  <c r="E63"/>
  <c r="F63"/>
  <c r="K63"/>
  <c r="J63"/>
  <c r="I63"/>
  <c r="AG18" i="10"/>
  <c r="C68" i="19" l="1"/>
  <c r="C62" s="1"/>
  <c r="L68"/>
  <c r="L62" s="1"/>
  <c r="I68"/>
  <c r="I62" s="1"/>
  <c r="H68"/>
  <c r="H62" s="1"/>
  <c r="F68"/>
  <c r="F62" s="1"/>
  <c r="D68"/>
  <c r="D62" s="1"/>
  <c r="B68"/>
  <c r="B62" s="1"/>
  <c r="E68"/>
  <c r="E62" s="1"/>
  <c r="K68"/>
  <c r="K62" s="1"/>
  <c r="G68"/>
  <c r="G62" s="1"/>
  <c r="J68"/>
  <c r="J62" s="1"/>
  <c r="L25" i="51"/>
  <c r="L21"/>
  <c r="D18"/>
  <c r="D4"/>
  <c r="H58"/>
  <c r="H20"/>
  <c r="K17"/>
  <c r="K44"/>
  <c r="C49"/>
  <c r="F47"/>
  <c r="G55"/>
  <c r="K21"/>
  <c r="H45"/>
  <c r="E32"/>
  <c r="J3"/>
  <c r="H46"/>
  <c r="I50"/>
  <c r="G37"/>
  <c r="J56"/>
  <c r="C40"/>
  <c r="J13"/>
  <c r="C44"/>
  <c r="I8" i="2"/>
  <c r="C39" i="51"/>
  <c r="U12" i="2"/>
  <c r="F31" i="51"/>
  <c r="E44"/>
  <c r="K55"/>
  <c r="C7"/>
  <c r="L32"/>
  <c r="H32"/>
  <c r="B34"/>
  <c r="I13"/>
  <c r="G18"/>
  <c r="J24"/>
  <c r="I34"/>
  <c r="R7" i="2"/>
  <c r="L12" i="51"/>
  <c r="H49"/>
  <c r="W6" i="2"/>
  <c r="I24" i="51"/>
  <c r="K7" i="2"/>
  <c r="C61" i="51"/>
  <c r="J28"/>
  <c r="C5"/>
  <c r="D42"/>
  <c r="E48"/>
  <c r="J60"/>
  <c r="J32"/>
  <c r="V5" i="2"/>
  <c r="J50" i="51"/>
  <c r="J7"/>
  <c r="J4"/>
  <c r="H33"/>
  <c r="D20"/>
  <c r="D60"/>
  <c r="I35"/>
  <c r="J5"/>
  <c r="K2"/>
  <c r="K33"/>
  <c r="L4"/>
  <c r="G36"/>
  <c r="N19" i="2"/>
  <c r="H57" i="51"/>
  <c r="I60"/>
  <c r="D19"/>
  <c r="G34"/>
  <c r="C18"/>
  <c r="F4"/>
  <c r="L10"/>
  <c r="H54"/>
  <c r="D61"/>
  <c r="E10"/>
  <c r="D8"/>
  <c r="B3"/>
  <c r="I33"/>
  <c r="I40"/>
  <c r="H23"/>
  <c r="C51"/>
  <c r="F17"/>
  <c r="F2"/>
  <c r="K24"/>
  <c r="C47"/>
  <c r="E51"/>
  <c r="T8" i="2"/>
  <c r="B25" i="51"/>
  <c r="D39"/>
  <c r="D37"/>
  <c r="J47"/>
  <c r="K15"/>
  <c r="E33"/>
  <c r="K35"/>
  <c r="J29"/>
  <c r="L49"/>
  <c r="B51"/>
  <c r="F11"/>
  <c r="K53"/>
  <c r="J20"/>
  <c r="L4" i="2"/>
  <c r="G46" i="51"/>
  <c r="B4"/>
  <c r="L17"/>
  <c r="D53"/>
  <c r="D6"/>
  <c r="K25"/>
  <c r="B57"/>
  <c r="J2"/>
  <c r="B47"/>
  <c r="B44"/>
  <c r="K42"/>
  <c r="G56"/>
  <c r="X3" i="2"/>
  <c r="I61" i="51"/>
  <c r="B8"/>
  <c r="E11"/>
  <c r="F36"/>
  <c r="U19" i="2"/>
  <c r="K60" i="51"/>
  <c r="C23"/>
  <c r="L2"/>
  <c r="F19"/>
  <c r="I42"/>
  <c r="O3" i="2"/>
  <c r="B10"/>
  <c r="F18"/>
  <c r="E18" i="51"/>
  <c r="H19"/>
  <c r="J35"/>
  <c r="L50"/>
  <c r="L45"/>
  <c r="L15"/>
  <c r="H42"/>
  <c r="K29"/>
  <c r="I11"/>
  <c r="G26"/>
  <c r="G4" i="2"/>
  <c r="G6" i="51"/>
  <c r="K32"/>
  <c r="B26"/>
  <c r="X9" i="2"/>
  <c r="F14" i="51"/>
  <c r="C28"/>
  <c r="G2"/>
  <c r="C27"/>
  <c r="C19"/>
  <c r="O5" i="2"/>
  <c r="H6"/>
  <c r="G41" i="51"/>
  <c r="J43"/>
  <c r="G20"/>
  <c r="D11"/>
  <c r="G39"/>
  <c r="G3"/>
  <c r="K52"/>
  <c r="K47"/>
  <c r="G9"/>
  <c r="E9"/>
  <c r="C15"/>
  <c r="D30"/>
  <c r="J25"/>
  <c r="L9"/>
  <c r="F52"/>
  <c r="I25"/>
  <c r="J42"/>
  <c r="D23"/>
  <c r="L24"/>
  <c r="I39"/>
  <c r="B37"/>
  <c r="E21"/>
  <c r="F35"/>
  <c r="G21"/>
  <c r="C42"/>
  <c r="E2"/>
  <c r="B10"/>
  <c r="K40"/>
  <c r="E35"/>
  <c r="I49"/>
  <c r="B58"/>
  <c r="B18"/>
  <c r="C35"/>
  <c r="P5" i="2"/>
  <c r="K54" i="51"/>
  <c r="C14"/>
  <c r="F25"/>
  <c r="J38"/>
  <c r="C16"/>
  <c r="J23"/>
  <c r="L36"/>
  <c r="E42"/>
  <c r="I55"/>
  <c r="D2"/>
  <c r="H8"/>
  <c r="D7" i="2"/>
  <c r="B32" i="51"/>
  <c r="G25"/>
  <c r="B9"/>
  <c r="E40"/>
  <c r="C21"/>
  <c r="G31"/>
  <c r="L59"/>
  <c r="C10"/>
  <c r="D58"/>
  <c r="J58"/>
  <c r="B27"/>
  <c r="Q5" i="2"/>
  <c r="F24" i="51"/>
  <c r="J13" i="2"/>
  <c r="D13" i="51"/>
  <c r="L61"/>
  <c r="C41"/>
  <c r="K3"/>
  <c r="C45"/>
  <c r="H21"/>
  <c r="J36"/>
  <c r="K30"/>
  <c r="G5"/>
  <c r="L47"/>
  <c r="I28"/>
  <c r="I58"/>
  <c r="X7" i="2"/>
  <c r="L13"/>
  <c r="J26" i="51"/>
  <c r="K9"/>
  <c r="H3"/>
  <c r="F42"/>
  <c r="F53"/>
  <c r="B13"/>
  <c r="F43"/>
  <c r="H51"/>
  <c r="C25"/>
  <c r="G33"/>
  <c r="D35"/>
  <c r="L58"/>
  <c r="H53"/>
  <c r="C24"/>
  <c r="I29"/>
  <c r="L44"/>
  <c r="E5"/>
  <c r="G54"/>
  <c r="L37"/>
  <c r="J33"/>
  <c r="I14"/>
  <c r="E15" i="2"/>
  <c r="N16"/>
  <c r="G49" i="51"/>
  <c r="K61"/>
  <c r="I23"/>
  <c r="D51"/>
  <c r="F6"/>
  <c r="G15"/>
  <c r="C4"/>
  <c r="I53"/>
  <c r="F21"/>
  <c r="L20"/>
  <c r="L27"/>
  <c r="K26"/>
  <c r="B56"/>
  <c r="B7"/>
  <c r="I27"/>
  <c r="F16"/>
  <c r="J39"/>
  <c r="B45"/>
  <c r="K48"/>
  <c r="E31"/>
  <c r="B46"/>
  <c r="G47"/>
  <c r="I11" i="2"/>
  <c r="B20" i="51"/>
  <c r="W5" i="2"/>
  <c r="U16"/>
  <c r="S7"/>
  <c r="E60" i="51"/>
  <c r="H47"/>
  <c r="L57"/>
  <c r="I16" i="2"/>
  <c r="C11"/>
  <c r="B35" i="51"/>
  <c r="L14"/>
  <c r="I43"/>
  <c r="R3" i="2"/>
  <c r="J57" i="51"/>
  <c r="L60"/>
  <c r="H12" i="2"/>
  <c r="D36" i="51"/>
  <c r="K11" i="2"/>
  <c r="K15"/>
  <c r="I17" i="51"/>
  <c r="R13" i="2"/>
  <c r="C14"/>
  <c r="I36" i="51"/>
  <c r="I16"/>
  <c r="I45"/>
  <c r="B5" i="2"/>
  <c r="F17"/>
  <c r="X10"/>
  <c r="N14"/>
  <c r="U6"/>
  <c r="I10"/>
  <c r="E14" i="51"/>
  <c r="B33"/>
  <c r="G14" i="2"/>
  <c r="P4"/>
  <c r="O8"/>
  <c r="J5"/>
  <c r="K12" i="51"/>
  <c r="J44"/>
  <c r="Q15" i="2"/>
  <c r="H34" i="51"/>
  <c r="D17" i="2"/>
  <c r="R14"/>
  <c r="E57" i="51"/>
  <c r="N7" i="2"/>
  <c r="G11" i="51"/>
  <c r="G43"/>
  <c r="C12" i="2"/>
  <c r="G30" i="51"/>
  <c r="F7" i="2"/>
  <c r="E10"/>
  <c r="J61" i="51"/>
  <c r="L3" i="2"/>
  <c r="L52" i="51"/>
  <c r="H15"/>
  <c r="C7" i="2"/>
  <c r="I52" i="51"/>
  <c r="H30"/>
  <c r="I10"/>
  <c r="U3" i="2"/>
  <c r="K11" i="51"/>
  <c r="E49"/>
  <c r="I3"/>
  <c r="I26"/>
  <c r="G28"/>
  <c r="J48"/>
  <c r="D5"/>
  <c r="H9" i="2"/>
  <c r="W10"/>
  <c r="V8"/>
  <c r="D29" i="51"/>
  <c r="G23"/>
  <c r="F50"/>
  <c r="L9" i="2"/>
  <c r="F28" i="51"/>
  <c r="G29"/>
  <c r="H48"/>
  <c r="H59"/>
  <c r="C9"/>
  <c r="H26"/>
  <c r="F41"/>
  <c r="X4" i="2"/>
  <c r="G32" i="51"/>
  <c r="W8" i="2"/>
  <c r="E12"/>
  <c r="H10"/>
  <c r="Q18"/>
  <c r="L26" i="51"/>
  <c r="J14"/>
  <c r="H9"/>
  <c r="K46"/>
  <c r="I32"/>
  <c r="G24"/>
  <c r="J11" i="2"/>
  <c r="M18"/>
  <c r="W7"/>
  <c r="B3"/>
  <c r="N10"/>
  <c r="L56" i="51"/>
  <c r="E24"/>
  <c r="B14"/>
  <c r="L13"/>
  <c r="L18" i="2"/>
  <c r="G27" i="51"/>
  <c r="O7" i="2"/>
  <c r="J18" i="51"/>
  <c r="O13" i="2"/>
  <c r="D6"/>
  <c r="T12"/>
  <c r="H18"/>
  <c r="B16"/>
  <c r="C52" i="51"/>
  <c r="M17" i="2"/>
  <c r="G40" i="51"/>
  <c r="Q17" i="2"/>
  <c r="L8"/>
  <c r="B15"/>
  <c r="K58" i="51"/>
  <c r="T4" i="2"/>
  <c r="J10"/>
  <c r="H43" i="51"/>
  <c r="D33"/>
  <c r="N3" i="2"/>
  <c r="C33" i="51"/>
  <c r="C15" i="2"/>
  <c r="I51" i="51"/>
  <c r="C9" i="2"/>
  <c r="F12"/>
  <c r="K23" i="51"/>
  <c r="F9"/>
  <c r="K56"/>
  <c r="I30"/>
  <c r="W9" i="2"/>
  <c r="I22" i="51"/>
  <c r="D10"/>
  <c r="I57"/>
  <c r="D28"/>
  <c r="N6" i="2"/>
  <c r="V10"/>
  <c r="D40" i="51"/>
  <c r="S10" i="2"/>
  <c r="D44" i="51"/>
  <c r="E19" i="2"/>
  <c r="L14"/>
  <c r="O4"/>
  <c r="K3"/>
  <c r="D10"/>
  <c r="D13"/>
  <c r="H17" i="51"/>
  <c r="B18" i="2"/>
  <c r="C37" i="51"/>
  <c r="F30"/>
  <c r="J8"/>
  <c r="D31"/>
  <c r="N12" i="2"/>
  <c r="M9"/>
  <c r="F46" i="51"/>
  <c r="F37"/>
  <c r="D26"/>
  <c r="F6" i="2"/>
  <c r="C56" i="51"/>
  <c r="J53"/>
  <c r="F23"/>
  <c r="R4" i="2"/>
  <c r="O10"/>
  <c r="E27" i="51"/>
  <c r="X13" i="2"/>
  <c r="C36" i="51"/>
  <c r="V18" i="2"/>
  <c r="C59" i="51"/>
  <c r="S12" i="2"/>
  <c r="G9"/>
  <c r="O16"/>
  <c r="T9"/>
  <c r="J17"/>
  <c r="J4"/>
  <c r="V7"/>
  <c r="N11"/>
  <c r="F56" i="51"/>
  <c r="J11"/>
  <c r="I12"/>
  <c r="K39"/>
  <c r="Q11" i="2"/>
  <c r="F40" i="51"/>
  <c r="H36"/>
  <c r="K9" i="2"/>
  <c r="O6"/>
  <c r="V12"/>
  <c r="E39" i="51"/>
  <c r="K5" i="2"/>
  <c r="C10"/>
  <c r="F9"/>
  <c r="F26" i="51"/>
  <c r="G18" i="2"/>
  <c r="T13"/>
  <c r="U11"/>
  <c r="H28" i="51"/>
  <c r="S18" i="2"/>
  <c r="B2" i="51"/>
  <c r="N18" i="2"/>
  <c r="W14"/>
  <c r="I8" i="51"/>
  <c r="T15" i="2"/>
  <c r="F10" i="51"/>
  <c r="J16"/>
  <c r="U7" i="2"/>
  <c r="K34" i="51"/>
  <c r="L39"/>
  <c r="N17" i="2"/>
  <c r="B38" i="51"/>
  <c r="D25"/>
  <c r="J14" i="2"/>
  <c r="B41" i="51"/>
  <c r="H25"/>
  <c r="J34"/>
  <c r="K14"/>
  <c r="J15" i="2"/>
  <c r="K17"/>
  <c r="I15"/>
  <c r="N5"/>
  <c r="I17"/>
  <c r="N8"/>
  <c r="G61" i="51"/>
  <c r="E5" i="2"/>
  <c r="J16"/>
  <c r="O15"/>
  <c r="B6"/>
  <c r="G19"/>
  <c r="K36" i="51"/>
  <c r="H3" i="2"/>
  <c r="H22" i="51"/>
  <c r="W16" i="2"/>
  <c r="H38" i="51"/>
  <c r="I21"/>
  <c r="U13" i="2"/>
  <c r="E30" i="51"/>
  <c r="J18" i="2"/>
  <c r="L6" i="51"/>
  <c r="J49"/>
  <c r="J9"/>
  <c r="C31"/>
  <c r="V11" i="2"/>
  <c r="L33" i="51"/>
  <c r="B11"/>
  <c r="L46"/>
  <c r="J30"/>
  <c r="R6" i="2"/>
  <c r="I4"/>
  <c r="L10"/>
  <c r="Q13"/>
  <c r="I19"/>
  <c r="E46" i="51"/>
  <c r="G10" i="2"/>
  <c r="H24" i="51"/>
  <c r="K19"/>
  <c r="V13" i="2"/>
  <c r="I18"/>
  <c r="W12"/>
  <c r="B7"/>
  <c r="R12"/>
  <c r="P14"/>
  <c r="B6" i="51"/>
  <c r="Q8" i="2"/>
  <c r="H12" i="51"/>
  <c r="C32"/>
  <c r="E58"/>
  <c r="D49"/>
  <c r="B15"/>
  <c r="L19"/>
  <c r="H15" i="2"/>
  <c r="E17"/>
  <c r="K8" i="51"/>
  <c r="B28"/>
  <c r="I46"/>
  <c r="E29"/>
  <c r="E16" i="2"/>
  <c r="C19"/>
  <c r="H7"/>
  <c r="B12" i="51"/>
  <c r="N15" i="2"/>
  <c r="F5"/>
  <c r="H14"/>
  <c r="G53" i="51"/>
  <c r="F4" i="2"/>
  <c r="F39" i="51"/>
  <c r="V16" i="2"/>
  <c r="P16"/>
  <c r="X11"/>
  <c r="H5" i="51"/>
  <c r="Q16" i="2"/>
  <c r="V15"/>
  <c r="L53" i="51"/>
  <c r="C12"/>
  <c r="H8" i="2"/>
  <c r="E8"/>
  <c r="C17"/>
  <c r="H16"/>
  <c r="F22" i="51"/>
  <c r="U15" i="2"/>
  <c r="T6"/>
  <c r="W15"/>
  <c r="J7"/>
  <c r="F3"/>
  <c r="H44" i="51"/>
  <c r="D46"/>
  <c r="J45"/>
  <c r="E61"/>
  <c r="R10" i="2"/>
  <c r="N4"/>
  <c r="F38" i="51"/>
  <c r="F18"/>
  <c r="P18" i="2"/>
  <c r="L38" i="51"/>
  <c r="C17"/>
  <c r="V17" i="2"/>
  <c r="L29" i="51"/>
  <c r="X8" i="2"/>
  <c r="J19"/>
  <c r="R18"/>
  <c r="D43" i="51"/>
  <c r="K10"/>
  <c r="K59"/>
  <c r="E6"/>
  <c r="B42"/>
  <c r="I6"/>
  <c r="K7"/>
  <c r="F54"/>
  <c r="C58"/>
  <c r="K4" i="2"/>
  <c r="J31" i="51"/>
  <c r="F58"/>
  <c r="H40"/>
  <c r="F3"/>
  <c r="F8"/>
  <c r="G16"/>
  <c r="I7"/>
  <c r="H55"/>
  <c r="F12"/>
  <c r="H56"/>
  <c r="H16"/>
  <c r="B31"/>
  <c r="F16" i="2"/>
  <c r="E19" i="51"/>
  <c r="E23"/>
  <c r="G57"/>
  <c r="C60"/>
  <c r="B22"/>
  <c r="X5" i="2"/>
  <c r="E54" i="51"/>
  <c r="D9"/>
  <c r="D16"/>
  <c r="E41"/>
  <c r="J6"/>
  <c r="E45"/>
  <c r="H4" i="2"/>
  <c r="J12" i="51"/>
  <c r="F5"/>
  <c r="D27"/>
  <c r="G45"/>
  <c r="I59"/>
  <c r="D50"/>
  <c r="D14"/>
  <c r="D48"/>
  <c r="E4"/>
  <c r="D34"/>
  <c r="K57"/>
  <c r="H29"/>
  <c r="B48"/>
  <c r="Q12" i="2"/>
  <c r="B29" i="51"/>
  <c r="K45"/>
  <c r="W3" i="2"/>
  <c r="G51" i="51"/>
  <c r="I9"/>
  <c r="H60"/>
  <c r="C6"/>
  <c r="G42"/>
  <c r="L5"/>
  <c r="J27"/>
  <c r="L42"/>
  <c r="F11" i="2"/>
  <c r="S16"/>
  <c r="D56" i="51"/>
  <c r="R15" i="2"/>
  <c r="H50" i="51"/>
  <c r="L54"/>
  <c r="E53"/>
  <c r="B11" i="2"/>
  <c r="X6"/>
  <c r="G13" i="51"/>
  <c r="H2"/>
  <c r="L11" i="2"/>
  <c r="E34" i="51"/>
  <c r="D8" i="2"/>
  <c r="I54" i="51"/>
  <c r="C26"/>
  <c r="O19" i="2"/>
  <c r="F45" i="51"/>
  <c r="I6" i="2"/>
  <c r="T5"/>
  <c r="J37" i="51"/>
  <c r="B61"/>
  <c r="Q9" i="2"/>
  <c r="B59" i="51"/>
  <c r="L40"/>
  <c r="H14"/>
  <c r="E15"/>
  <c r="Q4" i="2"/>
  <c r="J3"/>
  <c r="R11"/>
  <c r="K49" i="51"/>
  <c r="B36"/>
  <c r="C48"/>
  <c r="D5" i="2"/>
  <c r="D15"/>
  <c r="D22" i="51"/>
  <c r="K22"/>
  <c r="B50"/>
  <c r="G5" i="2"/>
  <c r="B55" i="51"/>
  <c r="J59"/>
  <c r="K14" i="2"/>
  <c r="F27" i="51"/>
  <c r="R16" i="2"/>
  <c r="U5"/>
  <c r="E18"/>
  <c r="E55" i="51"/>
  <c r="E6" i="2"/>
  <c r="F48" i="51"/>
  <c r="C13" i="2"/>
  <c r="C29" i="51"/>
  <c r="X12" i="2"/>
  <c r="E37" i="51"/>
  <c r="B9" i="2"/>
  <c r="E3"/>
  <c r="D57" i="51"/>
  <c r="H13" i="2"/>
  <c r="M10"/>
  <c r="Q10"/>
  <c r="B12"/>
  <c r="F59" i="51"/>
  <c r="U17" i="2"/>
  <c r="V19"/>
  <c r="C13" i="51"/>
  <c r="G48"/>
  <c r="X18" i="2"/>
  <c r="G35" i="51"/>
  <c r="L51"/>
  <c r="S15" i="2"/>
  <c r="D15" i="51"/>
  <c r="B5"/>
  <c r="C55"/>
  <c r="B13" i="2"/>
  <c r="D7" i="51"/>
  <c r="L48"/>
  <c r="K6" i="2"/>
  <c r="M5"/>
  <c r="C4"/>
  <c r="L41" i="51"/>
  <c r="D14" i="2"/>
  <c r="K12"/>
  <c r="C57" i="51"/>
  <c r="O12" i="2"/>
  <c r="S13"/>
  <c r="K10"/>
  <c r="V4"/>
  <c r="J15" i="51"/>
  <c r="M19" i="2"/>
  <c r="C2" i="51"/>
  <c r="C8"/>
  <c r="Q14" i="2"/>
  <c r="D18"/>
  <c r="S3"/>
  <c r="F8"/>
  <c r="B30" i="51"/>
  <c r="I12" i="2"/>
  <c r="B8"/>
  <c r="M15"/>
  <c r="G15"/>
  <c r="G14" i="51"/>
  <c r="C6" i="2"/>
  <c r="G7"/>
  <c r="B17"/>
  <c r="T17"/>
  <c r="H5"/>
  <c r="L23" i="51"/>
  <c r="E11" i="2"/>
  <c r="O9"/>
  <c r="G44" i="51"/>
  <c r="M4" i="2"/>
  <c r="K18"/>
  <c r="P8"/>
  <c r="F20" i="51"/>
  <c r="E7"/>
  <c r="M16" i="2"/>
  <c r="F19"/>
  <c r="E52" i="51"/>
  <c r="B4" i="2"/>
  <c r="G13"/>
  <c r="J8"/>
  <c r="G3"/>
  <c r="I44" i="51"/>
  <c r="E38"/>
  <c r="J46"/>
  <c r="H39"/>
  <c r="K28"/>
  <c r="B17"/>
  <c r="P9" i="2"/>
  <c r="D12" i="51"/>
  <c r="U9" i="2"/>
  <c r="D38" i="51"/>
  <c r="D32"/>
  <c r="E13" i="2"/>
  <c r="Q6"/>
  <c r="F51" i="51"/>
  <c r="K37"/>
  <c r="K4"/>
  <c r="L16"/>
  <c r="L11"/>
  <c r="B24"/>
  <c r="N13" i="2"/>
  <c r="X19"/>
  <c r="U10"/>
  <c r="H19"/>
  <c r="L30" i="51"/>
  <c r="H4"/>
  <c r="H11" i="2"/>
  <c r="E9"/>
  <c r="F13" i="51"/>
  <c r="H17" i="2"/>
  <c r="G59" i="51"/>
  <c r="O14" i="2"/>
  <c r="F29" i="51"/>
  <c r="R5" i="2"/>
  <c r="M6"/>
  <c r="P3"/>
  <c r="E59" i="51"/>
  <c r="L7"/>
  <c r="F61"/>
  <c r="R8" i="2"/>
  <c r="C8"/>
  <c r="B19"/>
  <c r="C18"/>
  <c r="D47" i="51"/>
  <c r="G8"/>
  <c r="I5" i="2"/>
  <c r="I7"/>
  <c r="W13"/>
  <c r="L31" i="51"/>
  <c r="W17" i="2"/>
  <c r="U18"/>
  <c r="M13"/>
  <c r="D41" i="51"/>
  <c r="K6"/>
  <c r="H27"/>
  <c r="B49"/>
  <c r="E47"/>
  <c r="D3"/>
  <c r="E28"/>
  <c r="E17"/>
  <c r="F7"/>
  <c r="B40"/>
  <c r="U4" i="2"/>
  <c r="B19" i="51"/>
  <c r="J22"/>
  <c r="H41"/>
  <c r="B43"/>
  <c r="B39"/>
  <c r="B23"/>
  <c r="G22"/>
  <c r="L34"/>
  <c r="B54"/>
  <c r="E20"/>
  <c r="D3" i="2"/>
  <c r="C11" i="51"/>
  <c r="G16" i="2"/>
  <c r="G12" i="51"/>
  <c r="H61"/>
  <c r="D59"/>
  <c r="I38"/>
  <c r="G4"/>
  <c r="K41"/>
  <c r="K13"/>
  <c r="K27"/>
  <c r="C46"/>
  <c r="G38"/>
  <c r="C20"/>
  <c r="J51"/>
  <c r="S5" i="2"/>
  <c r="T11"/>
  <c r="C54" i="51"/>
  <c r="T3" i="2"/>
  <c r="G60" i="51"/>
  <c r="K31"/>
  <c r="L22"/>
  <c r="C22"/>
  <c r="H37"/>
  <c r="D55"/>
  <c r="H31"/>
  <c r="B60"/>
  <c r="F57"/>
  <c r="H10"/>
  <c r="P13" i="2"/>
  <c r="K8"/>
  <c r="G10" i="51"/>
  <c r="K43"/>
  <c r="K38"/>
  <c r="L55"/>
  <c r="L28"/>
  <c r="L3"/>
  <c r="F34"/>
  <c r="E13"/>
  <c r="R9" i="2"/>
  <c r="J12"/>
  <c r="B16" i="51"/>
  <c r="J55"/>
  <c r="G19"/>
  <c r="F33"/>
  <c r="G17" i="2"/>
  <c r="K5" i="51"/>
  <c r="B53"/>
  <c r="O17" i="2"/>
  <c r="T14"/>
  <c r="K18" i="51"/>
  <c r="J17"/>
  <c r="M8" i="2"/>
  <c r="E16" i="51"/>
  <c r="G58"/>
  <c r="C53"/>
  <c r="P19" i="2"/>
  <c r="T18"/>
  <c r="E36" i="51"/>
  <c r="I5"/>
  <c r="O18" i="2"/>
  <c r="L19"/>
  <c r="L8" i="51"/>
  <c r="M7" i="2"/>
  <c r="Q19"/>
  <c r="M11"/>
  <c r="W18"/>
  <c r="H6" i="51"/>
  <c r="P11" i="2"/>
  <c r="T7"/>
  <c r="G7" i="51"/>
  <c r="J41"/>
  <c r="B52"/>
  <c r="I47"/>
  <c r="L35"/>
  <c r="I18"/>
  <c r="D54"/>
  <c r="K50"/>
  <c r="J19"/>
  <c r="W19" i="2"/>
  <c r="S4"/>
  <c r="I56" i="51"/>
  <c r="P17" i="2"/>
  <c r="Q3"/>
  <c r="O11"/>
  <c r="P12"/>
  <c r="S9"/>
  <c r="C5"/>
  <c r="G6"/>
  <c r="E26" i="51"/>
  <c r="F14" i="2"/>
  <c r="S14"/>
  <c r="G8"/>
  <c r="U14"/>
  <c r="C3" i="51"/>
  <c r="P6" i="2"/>
  <c r="V6"/>
  <c r="C38" i="51"/>
  <c r="S11" i="2"/>
  <c r="E8" i="51"/>
  <c r="F15" i="2"/>
  <c r="H11" i="51"/>
  <c r="F10" i="2"/>
  <c r="D17" i="51"/>
  <c r="E14" i="2"/>
  <c r="K51" i="51"/>
  <c r="P7" i="2"/>
  <c r="L7"/>
  <c r="B14"/>
  <c r="J52" i="51"/>
  <c r="I41"/>
  <c r="F55"/>
  <c r="E12"/>
  <c r="K16" i="2"/>
  <c r="J9"/>
  <c r="N9"/>
  <c r="J54" i="51"/>
  <c r="E50"/>
  <c r="I4"/>
  <c r="I48"/>
  <c r="H35"/>
  <c r="C50"/>
  <c r="C30"/>
  <c r="G17"/>
  <c r="I19"/>
  <c r="C34"/>
  <c r="L17" i="2"/>
  <c r="V14"/>
  <c r="M3"/>
  <c r="J21" i="51"/>
  <c r="D9" i="2"/>
  <c r="F44" i="51"/>
  <c r="S19" i="2"/>
  <c r="D19"/>
  <c r="I3"/>
  <c r="M12"/>
  <c r="F15" i="51"/>
  <c r="I13" i="2"/>
  <c r="S6"/>
  <c r="E4"/>
  <c r="L16"/>
  <c r="E3" i="51"/>
  <c r="V3" i="2"/>
  <c r="I15" i="51"/>
  <c r="L18"/>
  <c r="T16" i="2"/>
  <c r="F49" i="51"/>
  <c r="G50"/>
  <c r="E25"/>
  <c r="E7" i="2"/>
  <c r="K19"/>
  <c r="R17"/>
  <c r="E22" i="51"/>
  <c r="X15" i="2"/>
  <c r="L6"/>
  <c r="J40" i="51"/>
  <c r="G11" i="2"/>
  <c r="D24" i="51"/>
  <c r="I2"/>
  <c r="X14" i="2"/>
  <c r="J6"/>
  <c r="J10" i="51"/>
  <c r="F60"/>
  <c r="C3" i="2"/>
  <c r="L5"/>
  <c r="T19"/>
  <c r="Q7"/>
  <c r="D21" i="51"/>
  <c r="D4" i="2"/>
  <c r="D11"/>
  <c r="D45" i="51"/>
  <c r="S8" i="2"/>
  <c r="B21" i="51"/>
  <c r="L12" i="2"/>
  <c r="K16" i="51"/>
  <c r="K20"/>
  <c r="I37"/>
  <c r="H7"/>
  <c r="W11" i="2"/>
  <c r="H18" i="51"/>
  <c r="X16" i="2"/>
  <c r="U8"/>
  <c r="F13"/>
  <c r="D52" i="51"/>
  <c r="P10" i="2"/>
  <c r="C43" i="51"/>
  <c r="C16" i="2"/>
  <c r="E56" i="51"/>
  <c r="P15" i="2"/>
  <c r="D16"/>
  <c r="I31" i="51"/>
  <c r="X17" i="2"/>
  <c r="I20" i="51"/>
  <c r="S17" i="2"/>
  <c r="L43" i="51"/>
  <c r="W4" i="2"/>
  <c r="L15"/>
  <c r="G12"/>
  <c r="F32" i="51"/>
  <c r="I14" i="2"/>
  <c r="I9"/>
  <c r="R19"/>
  <c r="E43" i="51"/>
  <c r="T10" i="2"/>
  <c r="D12"/>
  <c r="G52" i="51"/>
  <c r="H52"/>
  <c r="V9" i="2"/>
  <c r="M14"/>
  <c r="K13"/>
  <c r="H13" i="51"/>
  <c r="Y16" i="2" l="1"/>
  <c r="Z16" s="1"/>
  <c r="C22"/>
  <c r="D22" s="1"/>
  <c r="E22" s="1"/>
  <c r="Y3"/>
  <c r="I68" i="51"/>
  <c r="I62" s="1"/>
  <c r="I63"/>
  <c r="Y5" i="2"/>
  <c r="C24"/>
  <c r="D24" s="1"/>
  <c r="E24" s="1"/>
  <c r="Y18"/>
  <c r="Z18" s="1"/>
  <c r="Y8"/>
  <c r="C27"/>
  <c r="D27" s="1"/>
  <c r="B23"/>
  <c r="B38" s="1"/>
  <c r="AB38" s="1"/>
  <c r="C25"/>
  <c r="Y6"/>
  <c r="B27"/>
  <c r="C63" i="51"/>
  <c r="C68"/>
  <c r="C62" s="1"/>
  <c r="Y4" i="2"/>
  <c r="C23"/>
  <c r="D23" s="1"/>
  <c r="B32"/>
  <c r="B47" s="1"/>
  <c r="AB47" s="1"/>
  <c r="B31"/>
  <c r="B28"/>
  <c r="B43" s="1"/>
  <c r="AB43" s="1"/>
  <c r="C32"/>
  <c r="Y13"/>
  <c r="H68" i="51"/>
  <c r="H62" s="1"/>
  <c r="H63"/>
  <c r="B30" i="2"/>
  <c r="Y17"/>
  <c r="Z17" s="1"/>
  <c r="Y19"/>
  <c r="Z19" s="1"/>
  <c r="B26"/>
  <c r="AB26" s="1"/>
  <c r="B25"/>
  <c r="B63" i="51"/>
  <c r="B68"/>
  <c r="B62" s="1"/>
  <c r="Y10" i="2"/>
  <c r="C29"/>
  <c r="C28"/>
  <c r="D28" s="1"/>
  <c r="Y9"/>
  <c r="Y15"/>
  <c r="Z15" s="1"/>
  <c r="D25"/>
  <c r="E25" s="1"/>
  <c r="B22"/>
  <c r="AB22" s="1"/>
  <c r="Y7"/>
  <c r="C26"/>
  <c r="D26" s="1"/>
  <c r="E26" s="1"/>
  <c r="F26" s="1"/>
  <c r="C31"/>
  <c r="Y12"/>
  <c r="B24"/>
  <c r="Y14"/>
  <c r="Z14" s="1"/>
  <c r="Y11"/>
  <c r="C30"/>
  <c r="D30" s="1"/>
  <c r="D63" i="51"/>
  <c r="D68"/>
  <c r="D62" s="1"/>
  <c r="E68"/>
  <c r="E62" s="1"/>
  <c r="E63"/>
  <c r="G68"/>
  <c r="G62" s="1"/>
  <c r="G63"/>
  <c r="B29" i="2"/>
  <c r="L63" i="51"/>
  <c r="L68"/>
  <c r="L62" s="1"/>
  <c r="J68"/>
  <c r="J62" s="1"/>
  <c r="J63"/>
  <c r="F68"/>
  <c r="F62" s="1"/>
  <c r="F63"/>
  <c r="K68"/>
  <c r="K62" s="1"/>
  <c r="K63"/>
  <c r="J64" i="19"/>
  <c r="F22" i="2"/>
  <c r="E23"/>
  <c r="B39"/>
  <c r="AB39" s="1"/>
  <c r="AB24"/>
  <c r="D29"/>
  <c r="AB27"/>
  <c r="B42"/>
  <c r="AB42" s="1"/>
  <c r="B64" i="19"/>
  <c r="B65" s="1"/>
  <c r="E27" i="2"/>
  <c r="L64" i="19"/>
  <c r="B44" i="2"/>
  <c r="AB44" s="1"/>
  <c r="AB29"/>
  <c r="AB30"/>
  <c r="B45"/>
  <c r="AB45" s="1"/>
  <c r="D31"/>
  <c r="AB31"/>
  <c r="B46"/>
  <c r="AB46" s="1"/>
  <c r="AB25"/>
  <c r="B40"/>
  <c r="AB40" s="1"/>
  <c r="Z7"/>
  <c r="G64" i="19"/>
  <c r="K64"/>
  <c r="E64"/>
  <c r="Z13" i="2"/>
  <c r="D64" i="19"/>
  <c r="D32" i="2"/>
  <c r="F25"/>
  <c r="F64" i="19"/>
  <c r="H64"/>
  <c r="I64"/>
  <c r="C64"/>
  <c r="Z3" i="2" l="1"/>
  <c r="AC33"/>
  <c r="AC22" s="1"/>
  <c r="AB23"/>
  <c r="AB32"/>
  <c r="L64" i="51"/>
  <c r="L65" s="1"/>
  <c r="Z12" i="2"/>
  <c r="E64" i="51"/>
  <c r="E65" s="1"/>
  <c r="Z6" i="2"/>
  <c r="B52" s="1"/>
  <c r="Z8"/>
  <c r="J64" i="51"/>
  <c r="J65" s="1"/>
  <c r="C64"/>
  <c r="C65" s="1"/>
  <c r="B37" i="2"/>
  <c r="AB37" s="1"/>
  <c r="G64" i="51"/>
  <c r="G65" s="1"/>
  <c r="Z10" i="2"/>
  <c r="B60" s="1"/>
  <c r="B64" i="51"/>
  <c r="B65" s="1"/>
  <c r="H64"/>
  <c r="H65" s="1"/>
  <c r="Z4" i="2"/>
  <c r="I64" i="51"/>
  <c r="I65" s="1"/>
  <c r="Z11" i="2"/>
  <c r="AC23"/>
  <c r="D64" i="51"/>
  <c r="D65" s="1"/>
  <c r="B41" i="2"/>
  <c r="AB41" s="1"/>
  <c r="AB28"/>
  <c r="K64" i="51"/>
  <c r="K65" s="1"/>
  <c r="Z9" i="2"/>
  <c r="F64" i="51"/>
  <c r="F65" s="1"/>
  <c r="Z5" i="2"/>
  <c r="I65" i="19"/>
  <c r="AA13" i="2" s="1"/>
  <c r="F65" i="19"/>
  <c r="AA4" i="2" s="1"/>
  <c r="D65" i="19"/>
  <c r="AA7" i="2" s="1"/>
  <c r="K65" i="19"/>
  <c r="AA9" i="2" s="1"/>
  <c r="L65" i="19"/>
  <c r="AA8" i="2" s="1"/>
  <c r="J65" i="19"/>
  <c r="AA10" i="2" s="1"/>
  <c r="C65" i="19"/>
  <c r="AA11" i="2" s="1"/>
  <c r="H65" i="19"/>
  <c r="AA3" i="2" s="1"/>
  <c r="E65" i="19"/>
  <c r="AA12" i="2" s="1"/>
  <c r="G65" i="19"/>
  <c r="AA6" i="2" s="1"/>
  <c r="AA5"/>
  <c r="F24"/>
  <c r="G25"/>
  <c r="E32"/>
  <c r="F27"/>
  <c r="E29"/>
  <c r="E30"/>
  <c r="G22"/>
  <c r="AC31"/>
  <c r="E28"/>
  <c r="F28" s="1"/>
  <c r="G28" s="1"/>
  <c r="E31"/>
  <c r="B56"/>
  <c r="B50"/>
  <c r="F23"/>
  <c r="G26"/>
  <c r="AD33"/>
  <c r="AD30" s="1"/>
  <c r="AC28"/>
  <c r="AC29"/>
  <c r="AC30"/>
  <c r="AC32" l="1"/>
  <c r="B59"/>
  <c r="AC26"/>
  <c r="AC27"/>
  <c r="AC24"/>
  <c r="AC25"/>
  <c r="D46"/>
  <c r="C46"/>
  <c r="D40"/>
  <c r="C40"/>
  <c r="Y37"/>
  <c r="E37"/>
  <c r="B55"/>
  <c r="B53"/>
  <c r="B51"/>
  <c r="X51" s="1"/>
  <c r="E40"/>
  <c r="B57"/>
  <c r="B58"/>
  <c r="C58" s="1"/>
  <c r="B54"/>
  <c r="E54" s="1"/>
  <c r="C45"/>
  <c r="D45"/>
  <c r="Y44"/>
  <c r="C44"/>
  <c r="D44"/>
  <c r="Y40"/>
  <c r="E42"/>
  <c r="Y42"/>
  <c r="F42"/>
  <c r="D42"/>
  <c r="C42"/>
  <c r="C43"/>
  <c r="Y43"/>
  <c r="D43"/>
  <c r="F40"/>
  <c r="G43"/>
  <c r="D37"/>
  <c r="Y45"/>
  <c r="Y41"/>
  <c r="F41"/>
  <c r="C41"/>
  <c r="D41"/>
  <c r="E41"/>
  <c r="C47"/>
  <c r="Y47"/>
  <c r="D47"/>
  <c r="Y38"/>
  <c r="C38"/>
  <c r="D38"/>
  <c r="E38"/>
  <c r="E47"/>
  <c r="G41"/>
  <c r="Y46"/>
  <c r="G40"/>
  <c r="F37"/>
  <c r="C37"/>
  <c r="C39"/>
  <c r="E39"/>
  <c r="D39"/>
  <c r="Y39"/>
  <c r="M58"/>
  <c r="D58"/>
  <c r="J51"/>
  <c r="O51"/>
  <c r="S51"/>
  <c r="U51"/>
  <c r="Q51"/>
  <c r="T51"/>
  <c r="L51"/>
  <c r="W51"/>
  <c r="M51"/>
  <c r="F51"/>
  <c r="C51"/>
  <c r="X54"/>
  <c r="M54"/>
  <c r="G54"/>
  <c r="K54"/>
  <c r="O54"/>
  <c r="T54"/>
  <c r="S54"/>
  <c r="H54"/>
  <c r="W54"/>
  <c r="P54"/>
  <c r="U54"/>
  <c r="T55"/>
  <c r="W55"/>
  <c r="S55"/>
  <c r="G55"/>
  <c r="O55"/>
  <c r="M55"/>
  <c r="I55"/>
  <c r="X55"/>
  <c r="R55"/>
  <c r="E55"/>
  <c r="K55"/>
  <c r="C55"/>
  <c r="N55"/>
  <c r="H55"/>
  <c r="V55"/>
  <c r="F55"/>
  <c r="U55"/>
  <c r="Q55"/>
  <c r="J55"/>
  <c r="L55"/>
  <c r="D55"/>
  <c r="P55"/>
  <c r="F31"/>
  <c r="H22"/>
  <c r="F29"/>
  <c r="E44"/>
  <c r="G27"/>
  <c r="F32"/>
  <c r="H25"/>
  <c r="G24"/>
  <c r="AC48"/>
  <c r="AC37" s="1"/>
  <c r="AD28"/>
  <c r="E43"/>
  <c r="AE33"/>
  <c r="I57"/>
  <c r="P57"/>
  <c r="W57"/>
  <c r="M57"/>
  <c r="R57"/>
  <c r="V57"/>
  <c r="F57"/>
  <c r="T57"/>
  <c r="N57"/>
  <c r="D57"/>
  <c r="X57"/>
  <c r="G57"/>
  <c r="U57"/>
  <c r="S57"/>
  <c r="L57"/>
  <c r="C57"/>
  <c r="J57"/>
  <c r="H57"/>
  <c r="E57"/>
  <c r="Q57"/>
  <c r="O57"/>
  <c r="K57"/>
  <c r="AD26"/>
  <c r="AD25"/>
  <c r="AD24"/>
  <c r="AD23"/>
  <c r="AD27"/>
  <c r="AD22"/>
  <c r="H26"/>
  <c r="G23"/>
  <c r="M59"/>
  <c r="S59"/>
  <c r="V59"/>
  <c r="K59"/>
  <c r="W59"/>
  <c r="I59"/>
  <c r="O59"/>
  <c r="L59"/>
  <c r="N59"/>
  <c r="E59"/>
  <c r="X59"/>
  <c r="G59"/>
  <c r="R59"/>
  <c r="Q59"/>
  <c r="C59"/>
  <c r="J59"/>
  <c r="T59"/>
  <c r="F59"/>
  <c r="P59"/>
  <c r="U59"/>
  <c r="D59"/>
  <c r="H59"/>
  <c r="E50"/>
  <c r="C50"/>
  <c r="G50"/>
  <c r="J50"/>
  <c r="N50"/>
  <c r="D50"/>
  <c r="I50"/>
  <c r="R50"/>
  <c r="M50"/>
  <c r="P50"/>
  <c r="T50"/>
  <c r="W50"/>
  <c r="Q50"/>
  <c r="L50"/>
  <c r="F50"/>
  <c r="O50"/>
  <c r="U50"/>
  <c r="K50"/>
  <c r="H50"/>
  <c r="S50"/>
  <c r="V50"/>
  <c r="X50"/>
  <c r="J52"/>
  <c r="P52"/>
  <c r="Q52"/>
  <c r="N52"/>
  <c r="E52"/>
  <c r="W52"/>
  <c r="L52"/>
  <c r="U52"/>
  <c r="R52"/>
  <c r="O52"/>
  <c r="D52"/>
  <c r="C52"/>
  <c r="K52"/>
  <c r="H52"/>
  <c r="S52"/>
  <c r="V52"/>
  <c r="X52"/>
  <c r="G52"/>
  <c r="M52"/>
  <c r="T52"/>
  <c r="F52"/>
  <c r="I52"/>
  <c r="M56"/>
  <c r="T56"/>
  <c r="H56"/>
  <c r="S56"/>
  <c r="D56"/>
  <c r="F56"/>
  <c r="X56"/>
  <c r="G56"/>
  <c r="P56"/>
  <c r="O56"/>
  <c r="K56"/>
  <c r="N56"/>
  <c r="I56"/>
  <c r="C56"/>
  <c r="R56"/>
  <c r="J56"/>
  <c r="E56"/>
  <c r="V56"/>
  <c r="L56"/>
  <c r="Q56"/>
  <c r="W56"/>
  <c r="U56"/>
  <c r="I53"/>
  <c r="S53"/>
  <c r="W53"/>
  <c r="T53"/>
  <c r="Q53"/>
  <c r="R53"/>
  <c r="L53"/>
  <c r="P53"/>
  <c r="D53"/>
  <c r="K53"/>
  <c r="N53"/>
  <c r="M53"/>
  <c r="U53"/>
  <c r="V53"/>
  <c r="E53"/>
  <c r="H53"/>
  <c r="F53"/>
  <c r="O53"/>
  <c r="G53"/>
  <c r="C53"/>
  <c r="X53"/>
  <c r="J53"/>
  <c r="D60"/>
  <c r="L60"/>
  <c r="W60"/>
  <c r="E60"/>
  <c r="H60"/>
  <c r="M60"/>
  <c r="K60"/>
  <c r="G60"/>
  <c r="F60"/>
  <c r="P60"/>
  <c r="I60"/>
  <c r="O60"/>
  <c r="S60"/>
  <c r="T60"/>
  <c r="V60"/>
  <c r="U60"/>
  <c r="Q60"/>
  <c r="X60"/>
  <c r="N60"/>
  <c r="C60"/>
  <c r="J60"/>
  <c r="R60"/>
  <c r="H28"/>
  <c r="F30"/>
  <c r="AD48"/>
  <c r="AD44" s="1"/>
  <c r="AD31"/>
  <c r="F38"/>
  <c r="AD29"/>
  <c r="F39"/>
  <c r="F43"/>
  <c r="E46"/>
  <c r="AD32"/>
  <c r="G37"/>
  <c r="E45"/>
  <c r="F58" l="1"/>
  <c r="W58"/>
  <c r="G58"/>
  <c r="P58"/>
  <c r="K58"/>
  <c r="I58"/>
  <c r="U58"/>
  <c r="E58"/>
  <c r="O58"/>
  <c r="O62" s="1"/>
  <c r="R54"/>
  <c r="D54"/>
  <c r="Q54"/>
  <c r="C54"/>
  <c r="C63" s="1"/>
  <c r="J54"/>
  <c r="N54"/>
  <c r="F54"/>
  <c r="F63" s="1"/>
  <c r="V54"/>
  <c r="I54"/>
  <c r="L54"/>
  <c r="K51"/>
  <c r="D51"/>
  <c r="AD51" s="1"/>
  <c r="N51"/>
  <c r="E51"/>
  <c r="E63" s="1"/>
  <c r="V51"/>
  <c r="H51"/>
  <c r="H63" s="1"/>
  <c r="R51"/>
  <c r="I51"/>
  <c r="I62" s="1"/>
  <c r="P51"/>
  <c r="P63" s="1"/>
  <c r="G51"/>
  <c r="G63" s="1"/>
  <c r="T58"/>
  <c r="T62" s="1"/>
  <c r="L58"/>
  <c r="S58"/>
  <c r="S62" s="1"/>
  <c r="J58"/>
  <c r="V58"/>
  <c r="Q58"/>
  <c r="R58"/>
  <c r="R62" s="1"/>
  <c r="H58"/>
  <c r="N58"/>
  <c r="X58"/>
  <c r="X62" s="1"/>
  <c r="AC46"/>
  <c r="AC47"/>
  <c r="AD47"/>
  <c r="AD45"/>
  <c r="AC38"/>
  <c r="AC40"/>
  <c r="AC42"/>
  <c r="AD46"/>
  <c r="AD43"/>
  <c r="AD39"/>
  <c r="AD42"/>
  <c r="AD37"/>
  <c r="AC45"/>
  <c r="AC43"/>
  <c r="AC39"/>
  <c r="AF33"/>
  <c r="AF28" s="1"/>
  <c r="AE28"/>
  <c r="AE22"/>
  <c r="AE26"/>
  <c r="AE25"/>
  <c r="AE24"/>
  <c r="AE27"/>
  <c r="AE23"/>
  <c r="I25"/>
  <c r="H40"/>
  <c r="G32"/>
  <c r="F47"/>
  <c r="H27"/>
  <c r="G42"/>
  <c r="AE51"/>
  <c r="AC51"/>
  <c r="AD41"/>
  <c r="AE29"/>
  <c r="AE31"/>
  <c r="G30"/>
  <c r="F45"/>
  <c r="I28"/>
  <c r="H43"/>
  <c r="AC60"/>
  <c r="AF60"/>
  <c r="Z60"/>
  <c r="AB60" s="1"/>
  <c r="AD60"/>
  <c r="AE60"/>
  <c r="AE53"/>
  <c r="Z53"/>
  <c r="AB53" s="1"/>
  <c r="AF53"/>
  <c r="AD53"/>
  <c r="AC53"/>
  <c r="AC56"/>
  <c r="AF56"/>
  <c r="Z56"/>
  <c r="AB56" s="1"/>
  <c r="AE56"/>
  <c r="AD56"/>
  <c r="AE52"/>
  <c r="AD52"/>
  <c r="AF52"/>
  <c r="AC52"/>
  <c r="Z52"/>
  <c r="AB52" s="1"/>
  <c r="X63"/>
  <c r="S63"/>
  <c r="K63"/>
  <c r="O63"/>
  <c r="L63"/>
  <c r="W63"/>
  <c r="W62"/>
  <c r="P62"/>
  <c r="R63"/>
  <c r="J63"/>
  <c r="AC50"/>
  <c r="AD50"/>
  <c r="AE50"/>
  <c r="AF50"/>
  <c r="Z50"/>
  <c r="C62"/>
  <c r="H23"/>
  <c r="G38"/>
  <c r="I26"/>
  <c r="H41"/>
  <c r="AE57"/>
  <c r="Z57"/>
  <c r="AB57" s="1"/>
  <c r="AC57"/>
  <c r="AD57"/>
  <c r="AF57"/>
  <c r="V62"/>
  <c r="U62"/>
  <c r="U63"/>
  <c r="F62"/>
  <c r="Q63"/>
  <c r="T63"/>
  <c r="M63"/>
  <c r="M62"/>
  <c r="G62"/>
  <c r="AF59"/>
  <c r="AE59"/>
  <c r="AD59"/>
  <c r="AC59"/>
  <c r="Z59"/>
  <c r="AB59" s="1"/>
  <c r="AC41"/>
  <c r="AC44"/>
  <c r="H24"/>
  <c r="G39"/>
  <c r="G29"/>
  <c r="F44"/>
  <c r="I22"/>
  <c r="H37"/>
  <c r="F46"/>
  <c r="G31"/>
  <c r="Z55"/>
  <c r="AB55" s="1"/>
  <c r="AE55"/>
  <c r="AD55"/>
  <c r="AC55"/>
  <c r="AF55"/>
  <c r="AE54"/>
  <c r="AF54"/>
  <c r="AC54"/>
  <c r="AD54"/>
  <c r="Z58"/>
  <c r="AB58" s="1"/>
  <c r="AD58"/>
  <c r="AF58"/>
  <c r="AE58"/>
  <c r="AC58"/>
  <c r="AE48"/>
  <c r="AE44" s="1"/>
  <c r="AE30"/>
  <c r="AD38"/>
  <c r="AD40"/>
  <c r="AE32"/>
  <c r="D63" l="1"/>
  <c r="K62"/>
  <c r="H62"/>
  <c r="E62"/>
  <c r="L62"/>
  <c r="N63"/>
  <c r="D62"/>
  <c r="AF51"/>
  <c r="Z51"/>
  <c r="AB51" s="1"/>
  <c r="N62"/>
  <c r="V63"/>
  <c r="I63"/>
  <c r="J62"/>
  <c r="Q62"/>
  <c r="Z54"/>
  <c r="AB54" s="1"/>
  <c r="AG58"/>
  <c r="AG55"/>
  <c r="AG54"/>
  <c r="AF32"/>
  <c r="AF24"/>
  <c r="AF26"/>
  <c r="AF48"/>
  <c r="AF42" s="1"/>
  <c r="AF31"/>
  <c r="AF29"/>
  <c r="AF30"/>
  <c r="AF23"/>
  <c r="AF25"/>
  <c r="AF27"/>
  <c r="AF22"/>
  <c r="AG53"/>
  <c r="I24"/>
  <c r="H39"/>
  <c r="I23"/>
  <c r="H38"/>
  <c r="J28"/>
  <c r="I43"/>
  <c r="H30"/>
  <c r="G45"/>
  <c r="I27"/>
  <c r="H42"/>
  <c r="J25"/>
  <c r="I40"/>
  <c r="AG57"/>
  <c r="AG52"/>
  <c r="AE43"/>
  <c r="AE40"/>
  <c r="AE39"/>
  <c r="AE42"/>
  <c r="AE41"/>
  <c r="AE47"/>
  <c r="AE37"/>
  <c r="AE38"/>
  <c r="H31"/>
  <c r="G46"/>
  <c r="J22"/>
  <c r="I37"/>
  <c r="G44"/>
  <c r="H29"/>
  <c r="J26"/>
  <c r="I41"/>
  <c r="Z62"/>
  <c r="AB50"/>
  <c r="H32"/>
  <c r="G47"/>
  <c r="AE46"/>
  <c r="AE45"/>
  <c r="AG59"/>
  <c r="AG50"/>
  <c r="AG56"/>
  <c r="AG60"/>
  <c r="AG51"/>
  <c r="AG33"/>
  <c r="AG30" s="1"/>
  <c r="AF45" l="1"/>
  <c r="Z63"/>
  <c r="AG48"/>
  <c r="AG44" s="1"/>
  <c r="AF39"/>
  <c r="AF47"/>
  <c r="AF46"/>
  <c r="AF38"/>
  <c r="AH33"/>
  <c r="AH28" s="1"/>
  <c r="AH53"/>
  <c r="AH52"/>
  <c r="AH57"/>
  <c r="AF40"/>
  <c r="AF41"/>
  <c r="AF44"/>
  <c r="AF43"/>
  <c r="AF37"/>
  <c r="I32"/>
  <c r="H47"/>
  <c r="K26"/>
  <c r="J41"/>
  <c r="I29"/>
  <c r="H44"/>
  <c r="AH54"/>
  <c r="AH55"/>
  <c r="AH58"/>
  <c r="K22"/>
  <c r="J37"/>
  <c r="I31"/>
  <c r="H46"/>
  <c r="J27"/>
  <c r="I42"/>
  <c r="K28"/>
  <c r="J43"/>
  <c r="J24"/>
  <c r="I39"/>
  <c r="AH60"/>
  <c r="AH50"/>
  <c r="AH59"/>
  <c r="AG22"/>
  <c r="AG25"/>
  <c r="AG26"/>
  <c r="AG28"/>
  <c r="AG27"/>
  <c r="AG23"/>
  <c r="AG24"/>
  <c r="K25"/>
  <c r="J40"/>
  <c r="I30"/>
  <c r="H45"/>
  <c r="J23"/>
  <c r="I38"/>
  <c r="AG32"/>
  <c r="AG29"/>
  <c r="AG31"/>
  <c r="AH51"/>
  <c r="AH56"/>
  <c r="AH22" l="1"/>
  <c r="AH27"/>
  <c r="AH30"/>
  <c r="AH23"/>
  <c r="AH31"/>
  <c r="AH29"/>
  <c r="AH25"/>
  <c r="AG47"/>
  <c r="AG37"/>
  <c r="AG38"/>
  <c r="AG43"/>
  <c r="AI55"/>
  <c r="AG46"/>
  <c r="AG39"/>
  <c r="AG42"/>
  <c r="AG40"/>
  <c r="AG41"/>
  <c r="AG45"/>
  <c r="AH24"/>
  <c r="AI58"/>
  <c r="AH32"/>
  <c r="AH26"/>
  <c r="AH48"/>
  <c r="AH41" s="1"/>
  <c r="AI54"/>
  <c r="AH46"/>
  <c r="K23"/>
  <c r="J38"/>
  <c r="L25"/>
  <c r="K40"/>
  <c r="K24"/>
  <c r="J39"/>
  <c r="K27"/>
  <c r="J42"/>
  <c r="J29"/>
  <c r="I44"/>
  <c r="AI57"/>
  <c r="AI52"/>
  <c r="AI56"/>
  <c r="AI51"/>
  <c r="AI33"/>
  <c r="AI29" s="1"/>
  <c r="AI59"/>
  <c r="AI50"/>
  <c r="AI60"/>
  <c r="J32"/>
  <c r="I47"/>
  <c r="AI53"/>
  <c r="J30"/>
  <c r="I45"/>
  <c r="L28"/>
  <c r="K43"/>
  <c r="J31"/>
  <c r="I46"/>
  <c r="L22"/>
  <c r="K37"/>
  <c r="L26"/>
  <c r="K41"/>
  <c r="AH42"/>
  <c r="AI30" l="1"/>
  <c r="AH43"/>
  <c r="AH47"/>
  <c r="AH45"/>
  <c r="AH40"/>
  <c r="AH44"/>
  <c r="AH38"/>
  <c r="AH39"/>
  <c r="AH37"/>
  <c r="AJ55"/>
  <c r="AI31"/>
  <c r="AJ33"/>
  <c r="AJ24" s="1"/>
  <c r="AJ53"/>
  <c r="AJ58"/>
  <c r="AJ57"/>
  <c r="AJ50"/>
  <c r="AJ60"/>
  <c r="M26"/>
  <c r="L41"/>
  <c r="M22"/>
  <c r="L37"/>
  <c r="AJ31"/>
  <c r="K31"/>
  <c r="J46"/>
  <c r="K30"/>
  <c r="J45"/>
  <c r="AI48"/>
  <c r="AI44" s="1"/>
  <c r="L27"/>
  <c r="K42"/>
  <c r="M25"/>
  <c r="L40"/>
  <c r="AJ54"/>
  <c r="AJ56"/>
  <c r="AJ25"/>
  <c r="M28"/>
  <c r="L43"/>
  <c r="K32"/>
  <c r="J47"/>
  <c r="AI32"/>
  <c r="AI28"/>
  <c r="AI22"/>
  <c r="AI26"/>
  <c r="AI25"/>
  <c r="AI27"/>
  <c r="AI24"/>
  <c r="AI23"/>
  <c r="K29"/>
  <c r="J44"/>
  <c r="L24"/>
  <c r="K39"/>
  <c r="L23"/>
  <c r="K38"/>
  <c r="AI46"/>
  <c r="AJ52"/>
  <c r="AJ51"/>
  <c r="AJ59"/>
  <c r="AJ32" l="1"/>
  <c r="AJ27"/>
  <c r="AJ22"/>
  <c r="AJ29"/>
  <c r="AJ28"/>
  <c r="AJ26"/>
  <c r="AJ23"/>
  <c r="AJ30"/>
  <c r="AI45"/>
  <c r="AI47"/>
  <c r="L29"/>
  <c r="K44"/>
  <c r="AK60"/>
  <c r="AK50"/>
  <c r="AK55"/>
  <c r="AK53"/>
  <c r="AK57"/>
  <c r="AK33"/>
  <c r="AK30" s="1"/>
  <c r="AK51"/>
  <c r="AK56"/>
  <c r="AK59"/>
  <c r="AK58"/>
  <c r="AK52"/>
  <c r="AK54"/>
  <c r="N28"/>
  <c r="M43"/>
  <c r="N25"/>
  <c r="M40"/>
  <c r="L30"/>
  <c r="K45"/>
  <c r="M23"/>
  <c r="L38"/>
  <c r="M24"/>
  <c r="L39"/>
  <c r="AJ48"/>
  <c r="L32"/>
  <c r="K47"/>
  <c r="M27"/>
  <c r="L42"/>
  <c r="AI37"/>
  <c r="AI43"/>
  <c r="AI41"/>
  <c r="AI40"/>
  <c r="AI38"/>
  <c r="AI39"/>
  <c r="AI42"/>
  <c r="L31"/>
  <c r="K46"/>
  <c r="N22"/>
  <c r="M37"/>
  <c r="N26"/>
  <c r="M41"/>
  <c r="AJ45"/>
  <c r="AL51" l="1"/>
  <c r="AL50"/>
  <c r="AL59"/>
  <c r="AL58"/>
  <c r="AL53"/>
  <c r="AL33"/>
  <c r="AL24" s="1"/>
  <c r="AL57"/>
  <c r="AL56"/>
  <c r="AK48"/>
  <c r="AK40" s="1"/>
  <c r="AK31"/>
  <c r="AK32"/>
  <c r="AL32"/>
  <c r="M32"/>
  <c r="L47"/>
  <c r="AJ37"/>
  <c r="AJ41"/>
  <c r="AJ43"/>
  <c r="AJ40"/>
  <c r="AJ38"/>
  <c r="AJ42"/>
  <c r="AJ39"/>
  <c r="N23"/>
  <c r="M38"/>
  <c r="AL30"/>
  <c r="M30"/>
  <c r="L45"/>
  <c r="O28"/>
  <c r="N43"/>
  <c r="M29"/>
  <c r="L44"/>
  <c r="AL54"/>
  <c r="AJ46"/>
  <c r="AJ47"/>
  <c r="AL52"/>
  <c r="O26"/>
  <c r="N41"/>
  <c r="O22"/>
  <c r="N37"/>
  <c r="M31"/>
  <c r="L46"/>
  <c r="N27"/>
  <c r="M42"/>
  <c r="N24"/>
  <c r="M39"/>
  <c r="O25"/>
  <c r="N40"/>
  <c r="AK23"/>
  <c r="AK25"/>
  <c r="AK22"/>
  <c r="AK26"/>
  <c r="AK28"/>
  <c r="AK27"/>
  <c r="AK24"/>
  <c r="AJ44"/>
  <c r="AL60"/>
  <c r="AL55"/>
  <c r="AK39"/>
  <c r="AK29"/>
  <c r="AK44" l="1"/>
  <c r="AL26"/>
  <c r="AL31"/>
  <c r="AL25"/>
  <c r="AK45"/>
  <c r="AK42"/>
  <c r="AK47"/>
  <c r="AK38"/>
  <c r="AK46"/>
  <c r="AK37"/>
  <c r="AK41"/>
  <c r="AK43"/>
  <c r="AL22"/>
  <c r="AL28"/>
  <c r="AL23"/>
  <c r="AL27"/>
  <c r="AL29"/>
  <c r="P25"/>
  <c r="O40"/>
  <c r="O27"/>
  <c r="N42"/>
  <c r="P28"/>
  <c r="O43"/>
  <c r="O23"/>
  <c r="N38"/>
  <c r="N32"/>
  <c r="M47"/>
  <c r="AL48"/>
  <c r="AL45" s="1"/>
  <c r="O24"/>
  <c r="N39"/>
  <c r="N31"/>
  <c r="M46"/>
  <c r="P22"/>
  <c r="O37"/>
  <c r="P26"/>
  <c r="O41"/>
  <c r="N29"/>
  <c r="M44"/>
  <c r="AM33"/>
  <c r="AM29" s="1"/>
  <c r="AM51"/>
  <c r="AM56"/>
  <c r="AM59"/>
  <c r="AM58"/>
  <c r="AM52"/>
  <c r="AM54"/>
  <c r="AM60"/>
  <c r="AM50"/>
  <c r="AM55"/>
  <c r="AM53"/>
  <c r="AM57"/>
  <c r="AM30"/>
  <c r="N30"/>
  <c r="M45"/>
  <c r="AL47"/>
  <c r="AN55" l="1"/>
  <c r="AN50"/>
  <c r="AN53"/>
  <c r="AN33"/>
  <c r="AN32" s="1"/>
  <c r="AN57"/>
  <c r="AN58"/>
  <c r="AN60"/>
  <c r="AN52"/>
  <c r="O30"/>
  <c r="N45"/>
  <c r="Q26"/>
  <c r="P41"/>
  <c r="Q22"/>
  <c r="P37"/>
  <c r="O31"/>
  <c r="N46"/>
  <c r="O32"/>
  <c r="N47"/>
  <c r="Q28"/>
  <c r="P43"/>
  <c r="Q25"/>
  <c r="P40"/>
  <c r="AM48"/>
  <c r="AM46" s="1"/>
  <c r="AN51"/>
  <c r="AN59"/>
  <c r="AM28"/>
  <c r="AM25"/>
  <c r="AM22"/>
  <c r="AM26"/>
  <c r="AM23"/>
  <c r="AM27"/>
  <c r="AM24"/>
  <c r="O29"/>
  <c r="N44"/>
  <c r="P24"/>
  <c r="O39"/>
  <c r="AL38"/>
  <c r="AL37"/>
  <c r="AL41"/>
  <c r="AL43"/>
  <c r="AL40"/>
  <c r="AL42"/>
  <c r="AL39"/>
  <c r="P23"/>
  <c r="O38"/>
  <c r="P27"/>
  <c r="O42"/>
  <c r="AM31"/>
  <c r="AL44"/>
  <c r="AN54"/>
  <c r="AN56"/>
  <c r="AL46"/>
  <c r="AM32"/>
  <c r="AM47" l="1"/>
  <c r="AN23"/>
  <c r="AN24"/>
  <c r="AN26"/>
  <c r="AN30"/>
  <c r="AN28"/>
  <c r="AN29"/>
  <c r="AN27"/>
  <c r="AN31"/>
  <c r="AN22"/>
  <c r="AN25"/>
  <c r="Q27"/>
  <c r="P42"/>
  <c r="P29"/>
  <c r="O44"/>
  <c r="AO60"/>
  <c r="AO50"/>
  <c r="AO55"/>
  <c r="AO53"/>
  <c r="AO57"/>
  <c r="AO33"/>
  <c r="AO31" s="1"/>
  <c r="AO51"/>
  <c r="AO56"/>
  <c r="AO59"/>
  <c r="AO58"/>
  <c r="AO52"/>
  <c r="AO54"/>
  <c r="AM37"/>
  <c r="AM41"/>
  <c r="AM40"/>
  <c r="AM43"/>
  <c r="AM39"/>
  <c r="AM38"/>
  <c r="AM42"/>
  <c r="R25"/>
  <c r="Q40"/>
  <c r="R28"/>
  <c r="Q43"/>
  <c r="AO30"/>
  <c r="P30"/>
  <c r="O45"/>
  <c r="AM45"/>
  <c r="Q23"/>
  <c r="P38"/>
  <c r="Q24"/>
  <c r="P39"/>
  <c r="AO32"/>
  <c r="P32"/>
  <c r="O47"/>
  <c r="P31"/>
  <c r="AP50" s="1"/>
  <c r="O46"/>
  <c r="R22"/>
  <c r="Q37"/>
  <c r="R26"/>
  <c r="Q41"/>
  <c r="AN48"/>
  <c r="AN45" s="1"/>
  <c r="AM44"/>
  <c r="AP55"/>
  <c r="AP57" l="1"/>
  <c r="AP60"/>
  <c r="AP33"/>
  <c r="AP23" s="1"/>
  <c r="AP53"/>
  <c r="AP58"/>
  <c r="AP52"/>
  <c r="AN37"/>
  <c r="AN41"/>
  <c r="AN40"/>
  <c r="AN43"/>
  <c r="AN39"/>
  <c r="AN38"/>
  <c r="AN42"/>
  <c r="S26"/>
  <c r="R41"/>
  <c r="S22"/>
  <c r="R37"/>
  <c r="Q31"/>
  <c r="P46"/>
  <c r="R24"/>
  <c r="Q39"/>
  <c r="S28"/>
  <c r="R43"/>
  <c r="AO25"/>
  <c r="AO28"/>
  <c r="AO22"/>
  <c r="AO26"/>
  <c r="AO27"/>
  <c r="AO24"/>
  <c r="AO23"/>
  <c r="AO48"/>
  <c r="AO44" s="1"/>
  <c r="R27"/>
  <c r="Q42"/>
  <c r="AP51"/>
  <c r="AP59"/>
  <c r="AN47"/>
  <c r="AO45"/>
  <c r="AO29"/>
  <c r="AP25"/>
  <c r="Q32"/>
  <c r="P47"/>
  <c r="R23"/>
  <c r="Q38"/>
  <c r="Q30"/>
  <c r="P45"/>
  <c r="S25"/>
  <c r="R40"/>
  <c r="Q29"/>
  <c r="P44"/>
  <c r="AN44"/>
  <c r="AP54"/>
  <c r="AP56"/>
  <c r="AN46"/>
  <c r="AP32" l="1"/>
  <c r="AO46"/>
  <c r="AP29"/>
  <c r="AP26"/>
  <c r="AP27"/>
  <c r="AP24"/>
  <c r="AP30"/>
  <c r="AP22"/>
  <c r="AP28"/>
  <c r="AP31"/>
  <c r="AO47"/>
  <c r="R29"/>
  <c r="Q44"/>
  <c r="AQ60"/>
  <c r="AQ50"/>
  <c r="AQ55"/>
  <c r="AQ53"/>
  <c r="AQ57"/>
  <c r="AQ33"/>
  <c r="AQ30" s="1"/>
  <c r="AQ51"/>
  <c r="AQ56"/>
  <c r="AQ59"/>
  <c r="AQ58"/>
  <c r="AQ52"/>
  <c r="AQ54"/>
  <c r="R30"/>
  <c r="Q45"/>
  <c r="S24"/>
  <c r="R39"/>
  <c r="T25"/>
  <c r="S40"/>
  <c r="S23"/>
  <c r="R38"/>
  <c r="R32"/>
  <c r="Q47"/>
  <c r="S27"/>
  <c r="R42"/>
  <c r="AO37"/>
  <c r="AO40"/>
  <c r="AO41"/>
  <c r="AO43"/>
  <c r="AO38"/>
  <c r="AO39"/>
  <c r="AO42"/>
  <c r="T28"/>
  <c r="S43"/>
  <c r="R31"/>
  <c r="Q46"/>
  <c r="T22"/>
  <c r="S37"/>
  <c r="T26"/>
  <c r="S41"/>
  <c r="AP48"/>
  <c r="AQ31" l="1"/>
  <c r="AQ32"/>
  <c r="AR55"/>
  <c r="AR33"/>
  <c r="AR26" s="1"/>
  <c r="AR57"/>
  <c r="AR56"/>
  <c r="AR53"/>
  <c r="AR51"/>
  <c r="AR59"/>
  <c r="AR58"/>
  <c r="AP37"/>
  <c r="AP41"/>
  <c r="AP43"/>
  <c r="AP40"/>
  <c r="AP39"/>
  <c r="AP42"/>
  <c r="AP38"/>
  <c r="U26"/>
  <c r="T41"/>
  <c r="U28"/>
  <c r="T43"/>
  <c r="T27"/>
  <c r="S42"/>
  <c r="T23"/>
  <c r="S38"/>
  <c r="T24"/>
  <c r="S39"/>
  <c r="AR29"/>
  <c r="S29"/>
  <c r="R44"/>
  <c r="AP44"/>
  <c r="AR60"/>
  <c r="AP47"/>
  <c r="AR52"/>
  <c r="U22"/>
  <c r="T37"/>
  <c r="S31"/>
  <c r="R46"/>
  <c r="S32"/>
  <c r="R47"/>
  <c r="U25"/>
  <c r="T40"/>
  <c r="S30"/>
  <c r="R45"/>
  <c r="AQ23"/>
  <c r="AQ28"/>
  <c r="AQ22"/>
  <c r="AQ26"/>
  <c r="AQ25"/>
  <c r="AQ24"/>
  <c r="AQ27"/>
  <c r="AQ48"/>
  <c r="AP45"/>
  <c r="AR54"/>
  <c r="AR50"/>
  <c r="AP46"/>
  <c r="AQ29"/>
  <c r="AR25" l="1"/>
  <c r="AR24"/>
  <c r="AR23"/>
  <c r="AR32"/>
  <c r="AR22"/>
  <c r="AR27"/>
  <c r="AR30"/>
  <c r="AR31"/>
  <c r="AR28"/>
  <c r="AQ37"/>
  <c r="AQ41"/>
  <c r="AQ43"/>
  <c r="AQ40"/>
  <c r="AQ38"/>
  <c r="AQ42"/>
  <c r="AQ39"/>
  <c r="T30"/>
  <c r="S45"/>
  <c r="T32"/>
  <c r="S47"/>
  <c r="AR48"/>
  <c r="AR45" s="1"/>
  <c r="U24"/>
  <c r="T39"/>
  <c r="U27"/>
  <c r="T42"/>
  <c r="V26"/>
  <c r="U41"/>
  <c r="AQ46"/>
  <c r="V25"/>
  <c r="U40"/>
  <c r="T31"/>
  <c r="S46"/>
  <c r="V22"/>
  <c r="U37"/>
  <c r="T29"/>
  <c r="S44"/>
  <c r="AS48" s="1"/>
  <c r="AS51"/>
  <c r="AS56"/>
  <c r="AS59"/>
  <c r="AS58"/>
  <c r="AS52"/>
  <c r="AS54"/>
  <c r="AS60"/>
  <c r="AS50"/>
  <c r="AS55"/>
  <c r="AS53"/>
  <c r="AS57"/>
  <c r="U23"/>
  <c r="T38"/>
  <c r="V28"/>
  <c r="U43"/>
  <c r="AS33"/>
  <c r="AQ44"/>
  <c r="AQ45"/>
  <c r="AQ47"/>
  <c r="AR47" l="1"/>
  <c r="AS42"/>
  <c r="AS37"/>
  <c r="AS40"/>
  <c r="AS41"/>
  <c r="AS43"/>
  <c r="AS39"/>
  <c r="AS38"/>
  <c r="AS26"/>
  <c r="AS28"/>
  <c r="AS25"/>
  <c r="AS22"/>
  <c r="AS27"/>
  <c r="AS24"/>
  <c r="AS23"/>
  <c r="W28"/>
  <c r="V43"/>
  <c r="U29"/>
  <c r="T44"/>
  <c r="AT33"/>
  <c r="AT29" s="1"/>
  <c r="AT53"/>
  <c r="AT57"/>
  <c r="AT58"/>
  <c r="AT60"/>
  <c r="AT50"/>
  <c r="AT55"/>
  <c r="AT52"/>
  <c r="AT54"/>
  <c r="AT51"/>
  <c r="AT56"/>
  <c r="AT59"/>
  <c r="W22"/>
  <c r="V37"/>
  <c r="AT31"/>
  <c r="U31"/>
  <c r="T46"/>
  <c r="W26"/>
  <c r="V41"/>
  <c r="V24"/>
  <c r="U39"/>
  <c r="AR37"/>
  <c r="AR41"/>
  <c r="AR40"/>
  <c r="AR43"/>
  <c r="AR42"/>
  <c r="AR38"/>
  <c r="AR39"/>
  <c r="AT30"/>
  <c r="U30"/>
  <c r="T45"/>
  <c r="AS47"/>
  <c r="AS32"/>
  <c r="V23"/>
  <c r="U38"/>
  <c r="W25"/>
  <c r="V40"/>
  <c r="V27"/>
  <c r="U42"/>
  <c r="U32"/>
  <c r="T47"/>
  <c r="AS44"/>
  <c r="AS29"/>
  <c r="AS46"/>
  <c r="AS31"/>
  <c r="AR46"/>
  <c r="AR44"/>
  <c r="AS45"/>
  <c r="AS30"/>
  <c r="AU50" l="1"/>
  <c r="AU55"/>
  <c r="AU53"/>
  <c r="AU60"/>
  <c r="AT48"/>
  <c r="AT37" s="1"/>
  <c r="AT32"/>
  <c r="AU57"/>
  <c r="V32"/>
  <c r="U47"/>
  <c r="V30"/>
  <c r="U45"/>
  <c r="W24"/>
  <c r="V39"/>
  <c r="AU51"/>
  <c r="AU59"/>
  <c r="AU52"/>
  <c r="W27"/>
  <c r="V42"/>
  <c r="X25"/>
  <c r="W40"/>
  <c r="W23"/>
  <c r="V38"/>
  <c r="X26"/>
  <c r="W41"/>
  <c r="V31"/>
  <c r="U46"/>
  <c r="X22"/>
  <c r="W37"/>
  <c r="AT23"/>
  <c r="AT26"/>
  <c r="AT28"/>
  <c r="AT22"/>
  <c r="AT25"/>
  <c r="AT24"/>
  <c r="AT27"/>
  <c r="V29"/>
  <c r="U44"/>
  <c r="X28"/>
  <c r="W43"/>
  <c r="AU56"/>
  <c r="AU58"/>
  <c r="AU54"/>
  <c r="AU33"/>
  <c r="AU32" s="1"/>
  <c r="AT45" l="1"/>
  <c r="AT47"/>
  <c r="AV59"/>
  <c r="AT44"/>
  <c r="AT40"/>
  <c r="AT39"/>
  <c r="AT43"/>
  <c r="AT46"/>
  <c r="AT38"/>
  <c r="AT42"/>
  <c r="AT41"/>
  <c r="AV54"/>
  <c r="AV51"/>
  <c r="AV53"/>
  <c r="AV58"/>
  <c r="AV50"/>
  <c r="W29"/>
  <c r="V44"/>
  <c r="X41"/>
  <c r="X23"/>
  <c r="W38"/>
  <c r="X40"/>
  <c r="X27"/>
  <c r="W42"/>
  <c r="X24"/>
  <c r="W39"/>
  <c r="W30"/>
  <c r="V45"/>
  <c r="AU31"/>
  <c r="AV52"/>
  <c r="AV60"/>
  <c r="AV57"/>
  <c r="AU25"/>
  <c r="AU26"/>
  <c r="AU22"/>
  <c r="AU28"/>
  <c r="AU24"/>
  <c r="AU23"/>
  <c r="AU27"/>
  <c r="X43"/>
  <c r="AU48"/>
  <c r="AU45" s="1"/>
  <c r="X37"/>
  <c r="W31"/>
  <c r="V46"/>
  <c r="W32"/>
  <c r="AW33" s="1"/>
  <c r="AW24" s="1"/>
  <c r="V47"/>
  <c r="AU29"/>
  <c r="AV55"/>
  <c r="AV56"/>
  <c r="AU30"/>
  <c r="AV33"/>
  <c r="AV48" l="1"/>
  <c r="AV42" s="1"/>
  <c r="AV26"/>
  <c r="AV22"/>
  <c r="AV28"/>
  <c r="AV25"/>
  <c r="AV24"/>
  <c r="AV27"/>
  <c r="AV23"/>
  <c r="AW31"/>
  <c r="X31"/>
  <c r="W46"/>
  <c r="AU37"/>
  <c r="AU40"/>
  <c r="AU43"/>
  <c r="AU41"/>
  <c r="AU42"/>
  <c r="AU38"/>
  <c r="AU39"/>
  <c r="X42"/>
  <c r="AW29"/>
  <c r="X29"/>
  <c r="W44"/>
  <c r="AW60"/>
  <c r="AW56"/>
  <c r="AW57"/>
  <c r="AW51"/>
  <c r="AW59"/>
  <c r="AW58"/>
  <c r="AW53"/>
  <c r="AW50"/>
  <c r="AW54"/>
  <c r="AW52"/>
  <c r="AW55"/>
  <c r="AV32"/>
  <c r="AV46"/>
  <c r="AV30"/>
  <c r="AV40"/>
  <c r="AW23"/>
  <c r="AW25"/>
  <c r="AW26"/>
  <c r="AW22"/>
  <c r="AW28"/>
  <c r="AW32"/>
  <c r="X32"/>
  <c r="W47"/>
  <c r="AW30"/>
  <c r="X30"/>
  <c r="W45"/>
  <c r="X39"/>
  <c r="X38"/>
  <c r="AV31"/>
  <c r="AU44"/>
  <c r="AU47"/>
  <c r="AU46"/>
  <c r="AW27"/>
  <c r="AV29"/>
  <c r="AV37" l="1"/>
  <c r="AV45"/>
  <c r="AV38"/>
  <c r="AV47"/>
  <c r="AV41"/>
  <c r="AV43"/>
  <c r="AV44"/>
  <c r="AV39"/>
  <c r="AW48"/>
  <c r="AW39" s="1"/>
  <c r="X47"/>
  <c r="X44"/>
  <c r="AX33"/>
  <c r="AX53"/>
  <c r="AX57"/>
  <c r="AX58"/>
  <c r="AX60"/>
  <c r="AX50"/>
  <c r="AX55"/>
  <c r="AX52"/>
  <c r="AX54"/>
  <c r="AX51"/>
  <c r="AX56"/>
  <c r="AX59"/>
  <c r="AX31"/>
  <c r="X46"/>
  <c r="AX30"/>
  <c r="X45"/>
  <c r="AW44" l="1"/>
  <c r="AW37"/>
  <c r="AW41"/>
  <c r="AW38"/>
  <c r="AW46"/>
  <c r="AW47"/>
  <c r="AW43"/>
  <c r="AW40"/>
  <c r="AW45"/>
  <c r="AW42"/>
  <c r="AX48"/>
  <c r="AX45" s="1"/>
  <c r="AX22"/>
  <c r="AX25"/>
  <c r="AX28"/>
  <c r="AX26"/>
  <c r="AX27"/>
  <c r="AX24"/>
  <c r="AX23"/>
  <c r="AX46"/>
  <c r="AX29"/>
  <c r="AX32"/>
  <c r="AX47" l="1"/>
  <c r="AX38"/>
  <c r="AX37"/>
  <c r="AX43"/>
  <c r="AX40"/>
  <c r="AX41"/>
  <c r="AX39"/>
  <c r="AX42"/>
  <c r="AX44"/>
</calcChain>
</file>

<file path=xl/comments1.xml><?xml version="1.0" encoding="utf-8"?>
<comments xmlns="http://schemas.openxmlformats.org/spreadsheetml/2006/main">
  <authors>
    <author>Ernest Berkhout</author>
  </authors>
  <commentList>
    <comment ref="C11" authorId="0">
      <text>
        <r>
          <rPr>
            <b/>
            <sz val="8"/>
            <color indexed="81"/>
            <rFont val="Tahoma"/>
            <family val="2"/>
          </rPr>
          <t>Ernest Berkhout:</t>
        </r>
        <r>
          <rPr>
            <sz val="8"/>
            <color indexed="81"/>
            <rFont val="Tahoma"/>
            <family val="2"/>
          </rPr>
          <t xml:space="preserve">
plus Aselect/10 om exact gelijke stand te vermijden</t>
        </r>
      </text>
    </comment>
  </commentList>
</comments>
</file>

<file path=xl/sharedStrings.xml><?xml version="1.0" encoding="utf-8"?>
<sst xmlns="http://schemas.openxmlformats.org/spreadsheetml/2006/main" count="1262" uniqueCount="246">
  <si>
    <t>Aantal etappe-overwinningen</t>
  </si>
  <si>
    <t>Bonus</t>
  </si>
  <si>
    <t>B</t>
  </si>
  <si>
    <t>Originaliteit:</t>
  </si>
  <si>
    <t>Gemiddeld:</t>
  </si>
  <si>
    <t>daguitslag</t>
  </si>
  <si>
    <t>cumulatief</t>
  </si>
  <si>
    <t>rekenblad</t>
  </si>
  <si>
    <t>afwijking, cumulatief</t>
  </si>
  <si>
    <t># deelnemers</t>
  </si>
  <si>
    <t>sprinter</t>
  </si>
  <si>
    <t>orig1</t>
  </si>
  <si>
    <t>cumulatief, gecorrigeerd voor originaliteit</t>
  </si>
  <si>
    <t xml:space="preserve"> </t>
  </si>
  <si>
    <t xml:space="preserve">  </t>
  </si>
  <si>
    <t>evt. jokers:</t>
  </si>
  <si>
    <t>Etappe uitslag</t>
  </si>
  <si>
    <t>Positie</t>
  </si>
  <si>
    <t>Gele Trui</t>
  </si>
  <si>
    <t>Bolletjes Trui</t>
  </si>
  <si>
    <t xml:space="preserve">Groene Trui </t>
  </si>
  <si>
    <t>BONUS-punten eindklassement (eenmalig):</t>
  </si>
  <si>
    <t>P</t>
  </si>
  <si>
    <t>E</t>
  </si>
  <si>
    <t>F</t>
  </si>
  <si>
    <t>G</t>
  </si>
  <si>
    <t>H</t>
  </si>
  <si>
    <t>I</t>
  </si>
  <si>
    <t>J</t>
  </si>
  <si>
    <t>K</t>
  </si>
  <si>
    <t>L</t>
  </si>
  <si>
    <t>M</t>
  </si>
  <si>
    <t>N</t>
  </si>
  <si>
    <t>O</t>
  </si>
  <si>
    <t>Q</t>
  </si>
  <si>
    <t>R</t>
  </si>
  <si>
    <t>S</t>
  </si>
  <si>
    <t>T</t>
  </si>
  <si>
    <t>U</t>
  </si>
  <si>
    <t>V</t>
  </si>
  <si>
    <t>W</t>
  </si>
  <si>
    <t>X</t>
  </si>
  <si>
    <t>teamnaam</t>
  </si>
  <si>
    <t>Cavendish</t>
  </si>
  <si>
    <t>Martin</t>
  </si>
  <si>
    <t>Peter K.</t>
  </si>
  <si>
    <t>Kees</t>
  </si>
  <si>
    <t>Rojas</t>
  </si>
  <si>
    <t>Voeckler</t>
  </si>
  <si>
    <t>Populariteit</t>
  </si>
  <si>
    <t>Willem</t>
  </si>
  <si>
    <t xml:space="preserve">Bolletjes Trui </t>
  </si>
  <si>
    <t xml:space="preserve">Gele Trui </t>
  </si>
  <si>
    <t>Mollema</t>
  </si>
  <si>
    <t>Greipel</t>
  </si>
  <si>
    <t>Goss</t>
  </si>
  <si>
    <t>Van Den Broeck</t>
  </si>
  <si>
    <t>Gemiddeld eerste 8 overall:</t>
  </si>
  <si>
    <t>Y</t>
  </si>
  <si>
    <t>afwijking, cumulatief gecorrigeerd voor originaliteit</t>
  </si>
  <si>
    <t>Kopieer de kolommen B:C uit de formulieren naar de blauwe sheets</t>
  </si>
  <si>
    <t>Pas de namen van de sheets aan</t>
  </si>
  <si>
    <t>Neem die namen over boven de sheet originaliteit…</t>
  </si>
  <si>
    <t>… en hoop dat nu alles in 1x goed gaat.</t>
  </si>
  <si>
    <t>Rang</t>
  </si>
  <si>
    <t>LET OP: als je formules mooi wilt meekopieren moet je niet aan het eind invoegen, maar een rij kopieren en invoegen tussen de eerste en de laatste</t>
  </si>
  <si>
    <t>vervolgens stap 1, 2 en 3 doorlopen</t>
  </si>
  <si>
    <t>Dit gaat goed tot max 17 deelnemers.</t>
  </si>
  <si>
    <t>Mochten er meer dan 10 teams zijn, dan kun je een bestaande deelnemerssheet kopieren…</t>
  </si>
  <si>
    <r>
      <t xml:space="preserve">en op sheet Originaliteit een kolom </t>
    </r>
    <r>
      <rPr>
        <u/>
        <sz val="10"/>
        <color rgb="FFFF0000"/>
        <rFont val="Arial"/>
        <family val="2"/>
      </rPr>
      <t>tussenkopieren</t>
    </r>
    <r>
      <rPr>
        <sz val="10"/>
        <color rgb="FFFF0000"/>
        <rFont val="Arial"/>
        <family val="2"/>
      </rPr>
      <t>.</t>
    </r>
  </si>
  <si>
    <t>Zo niet, dan mag je lekker gaan puzzelen. :-)</t>
  </si>
  <si>
    <t>Wel zul je nog wat moeten aanpassen in de weergave van de scores op de sheet Teams en op de sheet Etappes. Dat kan evt. ook automatisch mbv de functie verschuiven, ik daag je uit het te proberen. :-)</t>
  </si>
  <si>
    <t>Sagan</t>
  </si>
  <si>
    <t>Kittel</t>
  </si>
  <si>
    <t>Valverde</t>
  </si>
  <si>
    <t>Froome</t>
  </si>
  <si>
    <t>Matthijs</t>
  </si>
  <si>
    <t>Thomas</t>
  </si>
  <si>
    <t>Am Selfkant</t>
  </si>
  <si>
    <t>Rolland</t>
  </si>
  <si>
    <t>De Lange Man</t>
  </si>
  <si>
    <t>El Gran</t>
  </si>
  <si>
    <t>Lothar</t>
  </si>
  <si>
    <t>Selfkant</t>
  </si>
  <si>
    <t>Lange</t>
  </si>
  <si>
    <t>Contador</t>
  </si>
  <si>
    <t>Pinot</t>
  </si>
  <si>
    <t>Porte</t>
  </si>
  <si>
    <t>Fuglsang</t>
  </si>
  <si>
    <t>Costa</t>
  </si>
  <si>
    <t>Rodriguez</t>
  </si>
  <si>
    <t>van Garderen</t>
  </si>
  <si>
    <t>Degenkolb</t>
  </si>
  <si>
    <t>Kristoff</t>
  </si>
  <si>
    <t>Talansky</t>
  </si>
  <si>
    <t>Gerard Brinksma</t>
  </si>
  <si>
    <t>Geraint</t>
  </si>
  <si>
    <t>Niet geschoten</t>
  </si>
  <si>
    <t>Doet niet mee:</t>
  </si>
  <si>
    <t>Equipe l'Ami</t>
  </si>
  <si>
    <t>Lothar Matthäus</t>
  </si>
  <si>
    <t>Carin Kruiskamp</t>
  </si>
  <si>
    <t>Démare</t>
  </si>
  <si>
    <t>Kwiatkowski</t>
  </si>
  <si>
    <t>Coquard</t>
  </si>
  <si>
    <t>Nibali</t>
  </si>
  <si>
    <t>Dumoulin</t>
  </si>
  <si>
    <t>Cancellara</t>
  </si>
  <si>
    <t>Bardet</t>
  </si>
  <si>
    <t>aanvaller/tijdrijder</t>
  </si>
  <si>
    <t>Kangert</t>
  </si>
  <si>
    <t>Leen</t>
  </si>
  <si>
    <t>selecteer type renner:</t>
  </si>
  <si>
    <t>Gerrans</t>
  </si>
  <si>
    <t>Modolo</t>
  </si>
  <si>
    <t>Navarro</t>
  </si>
  <si>
    <t>Matthews</t>
  </si>
  <si>
    <t>van Poppel</t>
  </si>
  <si>
    <t/>
  </si>
  <si>
    <t>Z</t>
  </si>
  <si>
    <t>Boasson Hagen</t>
  </si>
  <si>
    <t>klimmer/klassement</t>
  </si>
  <si>
    <t>Uran</t>
  </si>
  <si>
    <t>Majka</t>
  </si>
  <si>
    <t>Barguil</t>
  </si>
  <si>
    <t>Kruijswijk</t>
  </si>
  <si>
    <t>Bangkok</t>
  </si>
  <si>
    <t>D.Martin</t>
  </si>
  <si>
    <t>RESERVES:</t>
  </si>
  <si>
    <t>Rangverloop:</t>
  </si>
  <si>
    <t xml:space="preserve">Witte Trui </t>
  </si>
  <si>
    <t>Bart en Jolanthe</t>
  </si>
  <si>
    <t>Quintana</t>
  </si>
  <si>
    <t>Landa</t>
  </si>
  <si>
    <t>Roglic</t>
  </si>
  <si>
    <t>Groenewegen</t>
  </si>
  <si>
    <t>Bernal</t>
  </si>
  <si>
    <t>Nairo</t>
  </si>
  <si>
    <t>Romain</t>
  </si>
  <si>
    <t>Mikel</t>
  </si>
  <si>
    <t>Peter</t>
  </si>
  <si>
    <t>Alexander</t>
  </si>
  <si>
    <t>Onder de vod</t>
  </si>
  <si>
    <t>Egan</t>
  </si>
  <si>
    <t>Rigoberto</t>
  </si>
  <si>
    <t>Laporte</t>
  </si>
  <si>
    <t>Jan Appelman</t>
  </si>
  <si>
    <t>Warren</t>
  </si>
  <si>
    <t>Daniel</t>
  </si>
  <si>
    <t>Prajak Mahawong</t>
  </si>
  <si>
    <t>Sonny</t>
  </si>
  <si>
    <t>Colbrelli</t>
  </si>
  <si>
    <t>Latour</t>
  </si>
  <si>
    <t>Julian</t>
  </si>
  <si>
    <t>Alaphilippe</t>
  </si>
  <si>
    <t>Zakarin</t>
  </si>
  <si>
    <t>Dennis</t>
  </si>
  <si>
    <t>Guillaume</t>
  </si>
  <si>
    <t>Cort Nielsen</t>
  </si>
  <si>
    <t>G.Martin</t>
  </si>
  <si>
    <t>Jodi</t>
  </si>
  <si>
    <t>Lothars Líders</t>
  </si>
  <si>
    <t>Vod</t>
  </si>
  <si>
    <t>klassement</t>
  </si>
  <si>
    <t>Caleb</t>
  </si>
  <si>
    <t>Ewan</t>
  </si>
  <si>
    <t>Elia</t>
  </si>
  <si>
    <t>Viviani</t>
  </si>
  <si>
    <t>Enric</t>
  </si>
  <si>
    <t>Mas</t>
  </si>
  <si>
    <t>Thibaut</t>
  </si>
  <si>
    <t>Buchmann</t>
  </si>
  <si>
    <t>van Aert</t>
  </si>
  <si>
    <t>A.Yates</t>
  </si>
  <si>
    <t>Emanuel</t>
  </si>
  <si>
    <t>Wout</t>
  </si>
  <si>
    <t>Poels</t>
  </si>
  <si>
    <t>klimmer</t>
  </si>
  <si>
    <t>van Avermaet</t>
  </si>
  <si>
    <t>S.Yates</t>
  </si>
  <si>
    <t>Woods</t>
  </si>
  <si>
    <t>Herrada</t>
  </si>
  <si>
    <t>Greg</t>
  </si>
  <si>
    <t>Lutsenko</t>
  </si>
  <si>
    <t>Kol de la Madeleine</t>
  </si>
  <si>
    <t>Kol</t>
  </si>
  <si>
    <t>Richard</t>
  </si>
  <si>
    <t>Carapaz</t>
  </si>
  <si>
    <t>Primoz</t>
  </si>
  <si>
    <t>Tom</t>
  </si>
  <si>
    <t>Sam</t>
  </si>
  <si>
    <t>Bennett</t>
  </si>
  <si>
    <t>Daniel Felipe</t>
  </si>
  <si>
    <t>Martinez</t>
  </si>
  <si>
    <t>Jasper</t>
  </si>
  <si>
    <t>Stuyven</t>
  </si>
  <si>
    <t>Matteo</t>
  </si>
  <si>
    <t>Trentin</t>
  </si>
  <si>
    <t>Tadej</t>
  </si>
  <si>
    <t>Pogacar</t>
  </si>
  <si>
    <t>Giacomo</t>
  </si>
  <si>
    <t>Nizzolo</t>
  </si>
  <si>
    <t>Britless</t>
  </si>
  <si>
    <t>Miquel Angel</t>
  </si>
  <si>
    <t>Lopez</t>
  </si>
  <si>
    <t xml:space="preserve">Tom </t>
  </si>
  <si>
    <t>let op: ditmaal zijn het geen jokers, maar echte wissels die je kunt inzetten om de plaats van een andere renner in te nemen. Voor de rest van het spel..</t>
  </si>
  <si>
    <t>Freaky's monstermannnen</t>
  </si>
  <si>
    <t>Miguel Angel</t>
  </si>
  <si>
    <t>Bryan</t>
  </si>
  <si>
    <t>Pavel</t>
  </si>
  <si>
    <t>Sivakov</t>
  </si>
  <si>
    <t>Higuita</t>
  </si>
  <si>
    <t>Lothar blijft positief</t>
  </si>
  <si>
    <t>Thibout</t>
  </si>
  <si>
    <t>Egon</t>
  </si>
  <si>
    <t>Ritchie</t>
  </si>
  <si>
    <t>Sergio</t>
  </si>
  <si>
    <t>Emanuel Buchmann</t>
  </si>
  <si>
    <t>Romain Bardet</t>
  </si>
  <si>
    <t>Lennard Kämna</t>
  </si>
  <si>
    <t>Kämna</t>
  </si>
  <si>
    <t>Van Aert</t>
  </si>
  <si>
    <t>Bauke</t>
  </si>
  <si>
    <t>Van Avermaet</t>
  </si>
  <si>
    <t>George</t>
  </si>
  <si>
    <t>Tins Tour Toppers</t>
  </si>
  <si>
    <t>Marjon</t>
  </si>
  <si>
    <t>Majella sykler på</t>
  </si>
  <si>
    <t>Mariel Damen</t>
  </si>
  <si>
    <t>Cees</t>
  </si>
  <si>
    <t>Bol</t>
  </si>
  <si>
    <t>Hirschi</t>
  </si>
  <si>
    <t>Ellen &amp; Matthijs</t>
  </si>
  <si>
    <t>de Gendt</t>
  </si>
  <si>
    <t>Miguel</t>
  </si>
  <si>
    <t>Freaky</t>
  </si>
  <si>
    <t>TTT</t>
  </si>
  <si>
    <t>Majella</t>
  </si>
  <si>
    <t>Primož</t>
  </si>
  <si>
    <t>M. Ángel</t>
  </si>
  <si>
    <t>Ami</t>
  </si>
  <si>
    <t>x</t>
  </si>
  <si>
    <t>G.Bennett</t>
  </si>
  <si>
    <t>in de basis</t>
  </si>
  <si>
    <t>gekozen</t>
  </si>
</sst>
</file>

<file path=xl/styles.xml><?xml version="1.0" encoding="utf-8"?>
<styleSheet xmlns="http://schemas.openxmlformats.org/spreadsheetml/2006/main">
  <numFmts count="1">
    <numFmt numFmtId="164" formatCode="[$-413]General"/>
  </numFmts>
  <fonts count="99">
    <font>
      <sz val="10"/>
      <name val="Arial"/>
    </font>
    <font>
      <sz val="11"/>
      <color indexed="8"/>
      <name val="Calibri"/>
      <family val="2"/>
    </font>
    <font>
      <sz val="10"/>
      <name val="Arial"/>
      <family val="2"/>
    </font>
    <font>
      <b/>
      <sz val="10"/>
      <name val="Arial"/>
      <family val="2"/>
    </font>
    <font>
      <b/>
      <i/>
      <sz val="10"/>
      <name val="Arial"/>
      <family val="2"/>
    </font>
    <font>
      <sz val="10"/>
      <name val="Arial"/>
      <family val="2"/>
    </font>
    <font>
      <i/>
      <sz val="10"/>
      <name val="Arial"/>
      <family val="2"/>
    </font>
    <font>
      <sz val="10"/>
      <name val="Garamond"/>
      <family val="1"/>
    </font>
    <font>
      <sz val="9"/>
      <name val="Verdana"/>
      <family val="2"/>
    </font>
    <font>
      <i/>
      <sz val="10"/>
      <name val="Verdana"/>
      <family val="2"/>
    </font>
    <font>
      <sz val="10"/>
      <name val="Verdana"/>
      <family val="2"/>
    </font>
    <font>
      <b/>
      <sz val="10"/>
      <name val="Verdana"/>
      <family val="2"/>
    </font>
    <font>
      <i/>
      <sz val="9"/>
      <name val="Verdana"/>
      <family val="2"/>
    </font>
    <font>
      <b/>
      <sz val="10"/>
      <name val="Arial"/>
      <family val="2"/>
    </font>
    <font>
      <sz val="10"/>
      <name val="Arial"/>
      <family val="2"/>
    </font>
    <font>
      <sz val="10"/>
      <color indexed="10"/>
      <name val="Arial"/>
      <family val="2"/>
    </font>
    <font>
      <i/>
      <sz val="10"/>
      <name val="Arial"/>
      <family val="2"/>
    </font>
    <font>
      <b/>
      <i/>
      <sz val="10"/>
      <name val="Verdana"/>
      <family val="2"/>
    </font>
    <font>
      <i/>
      <sz val="10"/>
      <color indexed="14"/>
      <name val="Arial"/>
      <family val="2"/>
    </font>
    <font>
      <i/>
      <sz val="10"/>
      <color indexed="14"/>
      <name val="Arial"/>
      <family val="2"/>
    </font>
    <font>
      <sz val="10"/>
      <color indexed="10"/>
      <name val="Verdana"/>
      <family val="2"/>
    </font>
    <font>
      <b/>
      <sz val="10"/>
      <color indexed="14"/>
      <name val="Arial"/>
      <family val="2"/>
    </font>
    <font>
      <b/>
      <sz val="12"/>
      <name val="Times New Roman"/>
      <family val="1"/>
    </font>
    <font>
      <sz val="12"/>
      <name val="Times New Roman"/>
      <family val="1"/>
    </font>
    <font>
      <b/>
      <sz val="11"/>
      <color indexed="52"/>
      <name val="Calibri"/>
      <family val="2"/>
    </font>
    <font>
      <sz val="11"/>
      <color indexed="52"/>
      <name val="Calibri"/>
      <family val="2"/>
    </font>
    <font>
      <sz val="11"/>
      <color indexed="17"/>
      <name val="Calibri"/>
      <family val="2"/>
    </font>
    <font>
      <sz val="11"/>
      <color indexed="60"/>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i/>
      <sz val="10"/>
      <color indexed="8"/>
      <name val="Arial"/>
      <family val="2"/>
    </font>
    <font>
      <sz val="10"/>
      <name val="Arial"/>
      <family val="2"/>
    </font>
    <font>
      <strike/>
      <sz val="10"/>
      <name val="Cambria"/>
      <family val="1"/>
    </font>
    <font>
      <sz val="10"/>
      <name val="Arial"/>
      <family val="2"/>
    </font>
    <font>
      <b/>
      <i/>
      <sz val="10"/>
      <color indexed="8"/>
      <name val="Arial"/>
      <family val="2"/>
    </font>
    <font>
      <sz val="10"/>
      <color rgb="FFFF0000"/>
      <name val="Cambria"/>
      <family val="1"/>
    </font>
    <font>
      <sz val="10"/>
      <name val="Calibri"/>
      <family val="2"/>
      <scheme val="minor"/>
    </font>
    <font>
      <i/>
      <sz val="10"/>
      <name val="Calibri"/>
      <family val="2"/>
      <scheme val="minor"/>
    </font>
    <font>
      <b/>
      <i/>
      <sz val="10"/>
      <name val="Calibri"/>
      <family val="2"/>
      <scheme val="minor"/>
    </font>
    <font>
      <b/>
      <sz val="10"/>
      <name val="Calibri"/>
      <family val="2"/>
      <scheme val="minor"/>
    </font>
    <font>
      <i/>
      <sz val="10"/>
      <color rgb="FFFF0000"/>
      <name val="Calibri"/>
      <family val="2"/>
      <scheme val="minor"/>
    </font>
    <font>
      <sz val="10"/>
      <color indexed="40"/>
      <name val="Calibri"/>
      <family val="2"/>
      <scheme val="minor"/>
    </font>
    <font>
      <i/>
      <sz val="10"/>
      <color indexed="40"/>
      <name val="Calibri"/>
      <family val="2"/>
      <scheme val="minor"/>
    </font>
    <font>
      <sz val="10"/>
      <color rgb="FF0070C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8"/>
      <color indexed="81"/>
      <name val="Tahoma"/>
      <family val="2"/>
    </font>
    <font>
      <b/>
      <sz val="8"/>
      <color indexed="81"/>
      <name val="Tahoma"/>
      <family val="2"/>
    </font>
    <font>
      <strike/>
      <sz val="10"/>
      <name val="Calibri"/>
      <family val="2"/>
      <scheme val="minor"/>
    </font>
    <font>
      <i/>
      <sz val="10"/>
      <color indexed="14"/>
      <name val="Calibri"/>
      <family val="2"/>
      <scheme val="minor"/>
    </font>
    <font>
      <sz val="10"/>
      <color indexed="10"/>
      <name val="Calibri"/>
      <family val="2"/>
      <scheme val="minor"/>
    </font>
    <font>
      <b/>
      <sz val="10"/>
      <color indexed="10"/>
      <name val="Calibri"/>
      <family val="2"/>
      <scheme val="minor"/>
    </font>
    <font>
      <i/>
      <sz val="10"/>
      <color indexed="10"/>
      <name val="Calibri"/>
      <family val="2"/>
      <scheme val="minor"/>
    </font>
    <font>
      <b/>
      <sz val="10"/>
      <color indexed="14"/>
      <name val="Calibri"/>
      <family val="2"/>
      <scheme val="minor"/>
    </font>
    <font>
      <sz val="10"/>
      <color theme="0" tint="-0.249977111117893"/>
      <name val="Calibri"/>
      <family val="2"/>
      <scheme val="minor"/>
    </font>
    <font>
      <sz val="10"/>
      <color theme="0" tint="-9.9978637043366805E-2"/>
      <name val="Cambria"/>
      <family val="1"/>
    </font>
    <font>
      <sz val="10"/>
      <color rgb="FFFF0000"/>
      <name val="Arial"/>
      <family val="2"/>
    </font>
    <font>
      <u/>
      <sz val="10"/>
      <color rgb="FFFF0000"/>
      <name val="Arial"/>
      <family val="2"/>
    </font>
    <font>
      <b/>
      <i/>
      <sz val="10"/>
      <color rgb="FFFF0000"/>
      <name val="Arial"/>
      <family val="2"/>
    </font>
    <font>
      <sz val="10"/>
      <color rgb="FFFF0000"/>
      <name val="Calibri"/>
      <family val="2"/>
      <scheme val="minor"/>
    </font>
    <font>
      <sz val="10"/>
      <color theme="1"/>
      <name val="Arial1"/>
    </font>
    <font>
      <i/>
      <sz val="10"/>
      <color indexed="14"/>
      <name val="Verdana"/>
      <family val="2"/>
    </font>
    <font>
      <i/>
      <strike/>
      <sz val="10"/>
      <name val="Arial"/>
      <family val="2"/>
    </font>
    <font>
      <strike/>
      <sz val="10"/>
      <name val="Arial"/>
      <family val="2"/>
    </font>
    <font>
      <sz val="10"/>
      <color indexed="55"/>
      <name val="Calibri"/>
      <family val="2"/>
      <scheme val="minor"/>
    </font>
    <font>
      <i/>
      <sz val="10"/>
      <color theme="0" tint="-0.499984740745262"/>
      <name val="Verdana"/>
      <family val="2"/>
    </font>
    <font>
      <sz val="10"/>
      <color theme="0" tint="-0.499984740745262"/>
      <name val="Verdana"/>
      <family val="2"/>
    </font>
    <font>
      <sz val="10"/>
      <color rgb="FF00B0F0"/>
      <name val="Calibri"/>
      <family val="2"/>
      <scheme val="minor"/>
    </font>
    <font>
      <u/>
      <sz val="10"/>
      <name val="Calibri"/>
      <family val="2"/>
      <scheme val="minor"/>
    </font>
    <font>
      <sz val="10"/>
      <color theme="0" tint="-0.14999847407452621"/>
      <name val="Calibri"/>
      <family val="2"/>
      <scheme val="minor"/>
    </font>
    <font>
      <b/>
      <sz val="10"/>
      <color rgb="FFFF0000"/>
      <name val="Calibri"/>
      <family val="2"/>
      <scheme val="minor"/>
    </font>
    <font>
      <b/>
      <sz val="10"/>
      <color theme="1"/>
      <name val="Calibri"/>
      <family val="2"/>
      <scheme val="minor"/>
    </font>
    <font>
      <sz val="10"/>
      <color theme="1"/>
      <name val="Calibri"/>
      <family val="2"/>
      <scheme val="minor"/>
    </font>
    <font>
      <i/>
      <sz val="9"/>
      <color indexed="8"/>
      <name val="Arial"/>
      <family val="2"/>
    </font>
    <font>
      <i/>
      <sz val="10"/>
      <color theme="0" tint="-0.14999847407452621"/>
      <name val="Calibri"/>
      <family val="2"/>
      <scheme val="minor"/>
    </font>
    <font>
      <b/>
      <i/>
      <sz val="10"/>
      <color rgb="FF00B0F0"/>
      <name val="Calibri"/>
      <family val="2"/>
      <scheme val="minor"/>
    </font>
    <font>
      <i/>
      <sz val="10"/>
      <color rgb="FF00B0F0"/>
      <name val="Calibri"/>
      <family val="2"/>
      <scheme val="minor"/>
    </font>
    <font>
      <i/>
      <sz val="10"/>
      <color theme="1"/>
      <name val="Arial"/>
      <family val="2"/>
    </font>
    <font>
      <sz val="10"/>
      <color theme="1"/>
      <name val="Arial"/>
      <family val="2"/>
    </font>
    <font>
      <i/>
      <sz val="10"/>
      <color rgb="FFFF00FF"/>
      <name val="Arial"/>
      <family val="2"/>
    </font>
    <font>
      <i/>
      <sz val="10"/>
      <color rgb="FFFF00FF"/>
      <name val="Verdana"/>
      <family val="2"/>
    </font>
    <font>
      <b/>
      <sz val="10"/>
      <color theme="1"/>
      <name val="Arial"/>
      <family val="2"/>
    </font>
    <font>
      <sz val="10"/>
      <color theme="1"/>
      <name val="Verdana"/>
      <family val="2"/>
    </font>
    <font>
      <i/>
      <sz val="9"/>
      <color rgb="FFFF0000"/>
      <name val="Arial"/>
      <family val="2"/>
    </font>
  </fonts>
  <fills count="26">
    <fill>
      <patternFill patternType="none"/>
    </fill>
    <fill>
      <patternFill patternType="gray125"/>
    </fill>
    <fill>
      <patternFill patternType="solid">
        <fgColor indexed="42"/>
      </patternFill>
    </fill>
    <fill>
      <patternFill patternType="solid">
        <fgColor indexed="22"/>
      </patternFill>
    </fill>
    <fill>
      <patternFill patternType="solid">
        <fgColor indexed="43"/>
      </patternFill>
    </fill>
    <fill>
      <patternFill patternType="solid">
        <fgColor indexed="13"/>
        <bgColor indexed="64"/>
      </patternFill>
    </fill>
    <fill>
      <patternFill patternType="solid">
        <fgColor indexed="11"/>
        <bgColor indexed="64"/>
      </patternFill>
    </fill>
    <fill>
      <patternFill patternType="solid">
        <fgColor indexed="42"/>
        <bgColor indexed="64"/>
      </patternFill>
    </fill>
    <fill>
      <patternFill patternType="solid">
        <fgColor indexed="9"/>
        <bgColor indexed="64"/>
      </patternFill>
    </fill>
    <fill>
      <patternFill patternType="solid">
        <fgColor indexed="29"/>
        <bgColor indexed="29"/>
      </patternFill>
    </fill>
    <fill>
      <patternFill patternType="solid">
        <fgColor indexed="31"/>
        <bgColor indexed="64"/>
      </patternFill>
    </fill>
    <fill>
      <patternFill patternType="solid">
        <fgColor rgb="FFFFFF00"/>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3" tint="0.79998168889431442"/>
        <bgColor indexed="64"/>
      </patternFill>
    </fill>
    <fill>
      <patternFill patternType="solid">
        <fgColor theme="0" tint="-9.9978637043366805E-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C000"/>
        <bgColor rgb="FFFFC000"/>
      </patternFill>
    </fill>
    <fill>
      <patternFill patternType="solid">
        <fgColor rgb="FFE6E6E6"/>
        <bgColor rgb="FFE6E6E6"/>
      </patternFill>
    </fill>
  </fills>
  <borders count="5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right/>
      <top style="thin">
        <color indexed="64"/>
      </top>
      <bottom style="medium">
        <color indexed="64"/>
      </bottom>
      <diagonal/>
    </border>
    <border>
      <left style="dotted">
        <color indexed="64"/>
      </left>
      <right style="dotted">
        <color indexed="64"/>
      </right>
      <top/>
      <bottom/>
      <diagonal/>
    </border>
    <border>
      <left style="dotted">
        <color indexed="64"/>
      </left>
      <right/>
      <top/>
      <bottom/>
      <diagonal/>
    </border>
    <border>
      <left/>
      <right/>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style="dotted">
        <color indexed="64"/>
      </right>
      <top/>
      <bottom style="double">
        <color indexed="64"/>
      </bottom>
      <diagonal/>
    </border>
    <border>
      <left/>
      <right style="dotted">
        <color indexed="64"/>
      </right>
      <top/>
      <bottom/>
      <diagonal/>
    </border>
    <border>
      <left/>
      <right/>
      <top style="thin">
        <color indexed="64"/>
      </top>
      <bottom style="thin">
        <color indexed="64"/>
      </bottom>
      <diagonal/>
    </border>
    <border>
      <left/>
      <right/>
      <top/>
      <bottom style="dotted">
        <color indexed="64"/>
      </bottom>
      <diagonal/>
    </border>
    <border>
      <left style="dotted">
        <color indexed="64"/>
      </left>
      <right style="dotted">
        <color indexed="64"/>
      </right>
      <top/>
      <bottom style="thin">
        <color indexed="9"/>
      </bottom>
      <diagonal/>
    </border>
    <border>
      <left/>
      <right/>
      <top/>
      <bottom style="thin">
        <color indexed="9"/>
      </bottom>
      <diagonal/>
    </border>
    <border>
      <left style="dotted">
        <color indexed="64"/>
      </left>
      <right style="dotted">
        <color indexed="64"/>
      </right>
      <top style="thin">
        <color indexed="64"/>
      </top>
      <bottom/>
      <diagonal/>
    </border>
    <border>
      <left style="medium">
        <color indexed="64"/>
      </left>
      <right style="medium">
        <color indexed="64"/>
      </right>
      <top/>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medium">
        <color indexed="64"/>
      </left>
      <right/>
      <top/>
      <bottom style="thin">
        <color indexed="9"/>
      </bottom>
      <diagonal/>
    </border>
    <border>
      <left style="medium">
        <color indexed="64"/>
      </left>
      <right style="medium">
        <color indexed="64"/>
      </right>
      <top/>
      <bottom style="thin">
        <color indexed="9"/>
      </bottom>
      <diagonal/>
    </border>
    <border>
      <left style="medium">
        <color indexed="64"/>
      </left>
      <right/>
      <top style="thin">
        <color indexed="9"/>
      </top>
      <bottom/>
      <diagonal/>
    </border>
    <border>
      <left style="medium">
        <color indexed="64"/>
      </left>
      <right style="medium">
        <color indexed="64"/>
      </right>
      <top style="thin">
        <color indexed="9"/>
      </top>
      <bottom/>
      <diagonal/>
    </border>
    <border>
      <left style="dotted">
        <color indexed="64"/>
      </left>
      <right style="dotted">
        <color indexed="64"/>
      </right>
      <top style="thin">
        <color indexed="9"/>
      </top>
      <bottom/>
      <diagonal/>
    </border>
    <border>
      <left/>
      <right/>
      <top style="thin">
        <color indexed="9"/>
      </top>
      <bottom/>
      <diagonal/>
    </border>
    <border>
      <left style="thin">
        <color indexed="64"/>
      </left>
      <right style="thin">
        <color indexed="9"/>
      </right>
      <top/>
      <bottom style="thin">
        <color indexed="9"/>
      </bottom>
      <diagonal/>
    </border>
    <border>
      <left style="thin">
        <color indexed="64"/>
      </left>
      <right style="thin">
        <color indexed="9"/>
      </right>
      <top style="thin">
        <color indexed="9"/>
      </top>
      <bottom/>
      <diagonal/>
    </border>
    <border>
      <left style="medium">
        <color indexed="64"/>
      </left>
      <right style="thin">
        <color indexed="9"/>
      </right>
      <top/>
      <bottom style="thin">
        <color indexed="9"/>
      </bottom>
      <diagonal/>
    </border>
    <border>
      <left style="medium">
        <color indexed="64"/>
      </left>
      <right style="thin">
        <color indexed="9"/>
      </right>
      <top style="thin">
        <color indexed="9"/>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top/>
      <bottom style="thin">
        <color auto="1"/>
      </bottom>
      <diagonal/>
    </border>
    <border>
      <left/>
      <right style="dotted">
        <color indexed="64"/>
      </right>
      <top/>
      <bottom style="thin">
        <color auto="1"/>
      </bottom>
      <diagonal/>
    </border>
    <border>
      <left style="dotted">
        <color indexed="64"/>
      </left>
      <right style="dotted">
        <color indexed="64"/>
      </right>
      <top/>
      <bottom style="thin">
        <color auto="1"/>
      </bottom>
      <diagonal/>
    </border>
    <border>
      <left/>
      <right/>
      <top style="thin">
        <color auto="1"/>
      </top>
      <bottom/>
      <diagonal/>
    </border>
    <border>
      <left/>
      <right style="dotted">
        <color indexed="64"/>
      </right>
      <top style="thin">
        <color auto="1"/>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right/>
      <top/>
      <bottom style="medium">
        <color indexed="64"/>
      </bottom>
      <diagonal/>
    </border>
    <border>
      <left style="dotted">
        <color indexed="64"/>
      </left>
      <right style="dotted">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30">
    <xf numFmtId="0" fontId="0" fillId="0" borderId="0"/>
    <xf numFmtId="0" fontId="24" fillId="3" borderId="1" applyNumberFormat="0" applyAlignment="0" applyProtection="0"/>
    <xf numFmtId="0" fontId="26" fillId="2" borderId="0" applyNumberFormat="0" applyBorder="0" applyAlignment="0" applyProtection="0"/>
    <xf numFmtId="0" fontId="25" fillId="0" borderId="2" applyNumberFormat="0" applyFill="0" applyAlignment="0" applyProtection="0"/>
    <xf numFmtId="0" fontId="27" fillId="4" borderId="0" applyNumberFormat="0" applyBorder="0" applyAlignment="0" applyProtection="0"/>
    <xf numFmtId="0" fontId="2" fillId="0" borderId="0"/>
    <xf numFmtId="0" fontId="1" fillId="0" borderId="0"/>
    <xf numFmtId="0" fontId="7" fillId="0" borderId="0"/>
    <xf numFmtId="9" fontId="33" fillId="0" borderId="0" applyFont="0" applyFill="0" applyBorder="0" applyAlignment="0" applyProtection="0"/>
    <xf numFmtId="0" fontId="28" fillId="0" borderId="0" applyNumberFormat="0" applyFill="0" applyBorder="0" applyAlignment="0" applyProtection="0"/>
    <xf numFmtId="0" fontId="29" fillId="0" borderId="3" applyNumberFormat="0" applyFill="0" applyAlignment="0" applyProtection="0"/>
    <xf numFmtId="0" fontId="30" fillId="0" borderId="0" applyNumberFormat="0" applyFill="0" applyBorder="0" applyAlignment="0" applyProtection="0"/>
    <xf numFmtId="0" fontId="46" fillId="0" borderId="0" applyNumberFormat="0" applyFill="0" applyBorder="0" applyAlignment="0" applyProtection="0"/>
    <xf numFmtId="0" fontId="47" fillId="0" borderId="32" applyNumberFormat="0" applyFill="0" applyAlignment="0" applyProtection="0"/>
    <xf numFmtId="0" fontId="48" fillId="0" borderId="33" applyNumberFormat="0" applyFill="0" applyAlignment="0" applyProtection="0"/>
    <xf numFmtId="0" fontId="49" fillId="0" borderId="34" applyNumberFormat="0" applyFill="0" applyAlignment="0" applyProtection="0"/>
    <xf numFmtId="0" fontId="49" fillId="0" borderId="0" applyNumberFormat="0" applyFill="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0" applyNumberFormat="0" applyBorder="0" applyAlignment="0" applyProtection="0"/>
    <xf numFmtId="0" fontId="53" fillId="16" borderId="35" applyNumberFormat="0" applyAlignment="0" applyProtection="0"/>
    <xf numFmtId="0" fontId="54" fillId="17" borderId="36" applyNumberFormat="0" applyAlignment="0" applyProtection="0"/>
    <xf numFmtId="0" fontId="55" fillId="17" borderId="35" applyNumberFormat="0" applyAlignment="0" applyProtection="0"/>
    <xf numFmtId="0" fontId="56" fillId="0" borderId="37" applyNumberFormat="0" applyFill="0" applyAlignment="0" applyProtection="0"/>
    <xf numFmtId="0" fontId="57" fillId="18" borderId="38" applyNumberFormat="0" applyAlignment="0" applyProtection="0"/>
    <xf numFmtId="0" fontId="58" fillId="0" borderId="0" applyNumberFormat="0" applyFill="0" applyBorder="0" applyAlignment="0" applyProtection="0"/>
    <xf numFmtId="0" fontId="35" fillId="19" borderId="39" applyNumberFormat="0" applyFont="0" applyAlignment="0" applyProtection="0"/>
    <xf numFmtId="0" fontId="59" fillId="0" borderId="0" applyNumberFormat="0" applyFill="0" applyBorder="0" applyAlignment="0" applyProtection="0"/>
    <xf numFmtId="0" fontId="60" fillId="0" borderId="40" applyNumberFormat="0" applyFill="0" applyAlignment="0" applyProtection="0"/>
    <xf numFmtId="164" fontId="75" fillId="0" borderId="0"/>
  </cellStyleXfs>
  <cellXfs count="359">
    <xf numFmtId="0" fontId="0" fillId="0" borderId="0" xfId="0"/>
    <xf numFmtId="0" fontId="3" fillId="0" borderId="0" xfId="0" applyFont="1"/>
    <xf numFmtId="0" fontId="0" fillId="0" borderId="0" xfId="0" applyAlignment="1">
      <alignment horizontal="center"/>
    </xf>
    <xf numFmtId="0" fontId="0" fillId="0" borderId="0" xfId="0" applyBorder="1" applyAlignment="1">
      <alignment horizontal="center"/>
    </xf>
    <xf numFmtId="0" fontId="0" fillId="0" borderId="0" xfId="0" applyBorder="1"/>
    <xf numFmtId="0" fontId="3" fillId="0" borderId="0" xfId="0" applyFont="1" applyBorder="1" applyAlignment="1">
      <alignment horizontal="center"/>
    </xf>
    <xf numFmtId="0" fontId="3" fillId="0" borderId="0" xfId="0" applyFont="1" applyAlignment="1">
      <alignment horizontal="right"/>
    </xf>
    <xf numFmtId="0" fontId="3" fillId="0" borderId="0" xfId="0" applyFont="1" applyBorder="1"/>
    <xf numFmtId="0" fontId="0" fillId="0" borderId="0" xfId="0" applyFill="1" applyAlignment="1">
      <alignment horizontal="center"/>
    </xf>
    <xf numFmtId="0" fontId="4" fillId="5" borderId="4" xfId="0" applyFont="1" applyFill="1" applyBorder="1" applyAlignment="1">
      <alignment horizontal="center"/>
    </xf>
    <xf numFmtId="0" fontId="0" fillId="0" borderId="0" xfId="0" applyAlignment="1" applyProtection="1">
      <alignment horizontal="center"/>
      <protection locked="0"/>
    </xf>
    <xf numFmtId="0" fontId="3"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Border="1" applyProtection="1">
      <protection locked="0"/>
    </xf>
    <xf numFmtId="0" fontId="0" fillId="0" borderId="0" xfId="0" applyProtection="1">
      <protection locked="0"/>
    </xf>
    <xf numFmtId="0" fontId="3" fillId="0" borderId="0" xfId="0" applyFont="1" applyProtection="1">
      <protection locked="0"/>
    </xf>
    <xf numFmtId="0" fontId="0" fillId="0" borderId="0" xfId="0" applyFill="1"/>
    <xf numFmtId="0" fontId="9" fillId="0" borderId="0" xfId="0" applyFont="1"/>
    <xf numFmtId="0" fontId="10" fillId="0" borderId="0" xfId="0" applyFont="1" applyAlignment="1">
      <alignment horizontal="center"/>
    </xf>
    <xf numFmtId="0" fontId="10" fillId="0" borderId="0" xfId="0" applyFont="1"/>
    <xf numFmtId="0" fontId="10" fillId="0" borderId="0" xfId="0" applyFont="1" applyFill="1" applyAlignment="1">
      <alignment horizontal="center"/>
    </xf>
    <xf numFmtId="0" fontId="11" fillId="0" borderId="6" xfId="0" applyFont="1" applyBorder="1" applyAlignment="1">
      <alignment horizontal="center"/>
    </xf>
    <xf numFmtId="0" fontId="12" fillId="0" borderId="0" xfId="0" applyFont="1"/>
    <xf numFmtId="0" fontId="10" fillId="0" borderId="7" xfId="0" applyFont="1" applyBorder="1" applyAlignment="1">
      <alignment wrapText="1"/>
    </xf>
    <xf numFmtId="0" fontId="10" fillId="5" borderId="8" xfId="0" applyFont="1" applyFill="1" applyBorder="1" applyAlignment="1">
      <alignment horizontal="left"/>
    </xf>
    <xf numFmtId="0" fontId="8" fillId="0" borderId="9" xfId="0" applyFont="1" applyBorder="1" applyAlignment="1">
      <alignment horizontal="left"/>
    </xf>
    <xf numFmtId="0" fontId="10" fillId="0" borderId="0" xfId="0" applyFont="1" applyFill="1"/>
    <xf numFmtId="0" fontId="0" fillId="0" borderId="0" xfId="0" applyFill="1" applyProtection="1">
      <protection locked="0"/>
    </xf>
    <xf numFmtId="0" fontId="9" fillId="0" borderId="0" xfId="0" applyFont="1" applyFill="1"/>
    <xf numFmtId="0" fontId="2" fillId="0" borderId="0" xfId="0" applyFont="1" applyFill="1" applyBorder="1"/>
    <xf numFmtId="0" fontId="0" fillId="0" borderId="10" xfId="0" applyFill="1" applyBorder="1"/>
    <xf numFmtId="0" fontId="0" fillId="0" borderId="0" xfId="0" applyFill="1" applyAlignment="1" applyProtection="1">
      <alignment horizontal="center"/>
      <protection locked="0"/>
    </xf>
    <xf numFmtId="1" fontId="11" fillId="0" borderId="0" xfId="0" applyNumberFormat="1" applyFont="1" applyBorder="1" applyAlignment="1" applyProtection="1">
      <alignment horizontal="right"/>
    </xf>
    <xf numFmtId="0" fontId="10" fillId="0" borderId="0" xfId="0" applyFont="1" applyAlignment="1" applyProtection="1">
      <alignment horizontal="left"/>
    </xf>
    <xf numFmtId="1" fontId="3" fillId="0" borderId="0" xfId="0" applyNumberFormat="1" applyFont="1" applyBorder="1" applyAlignment="1" applyProtection="1">
      <alignment horizontal="right"/>
    </xf>
    <xf numFmtId="0" fontId="0" fillId="0" borderId="0" xfId="0" applyFill="1" applyBorder="1"/>
    <xf numFmtId="0" fontId="5" fillId="0" borderId="0" xfId="0" applyFont="1" applyFill="1" applyBorder="1" applyAlignment="1" applyProtection="1">
      <alignment horizontal="left"/>
    </xf>
    <xf numFmtId="0" fontId="2" fillId="0" borderId="0" xfId="0" applyFont="1" applyFill="1" applyBorder="1" applyAlignment="1" applyProtection="1">
      <alignment horizontal="center"/>
      <protection locked="0"/>
    </xf>
    <xf numFmtId="0" fontId="13" fillId="0" borderId="0" xfId="0" applyFont="1" applyFill="1" applyBorder="1" applyAlignment="1" applyProtection="1">
      <alignment horizontal="center"/>
      <protection locked="0"/>
    </xf>
    <xf numFmtId="0" fontId="14" fillId="0" borderId="0" xfId="0" applyFont="1" applyFill="1" applyBorder="1" applyAlignment="1" applyProtection="1">
      <alignment horizontal="center"/>
      <protection locked="0"/>
    </xf>
    <xf numFmtId="0" fontId="14" fillId="0" borderId="0" xfId="0" applyFont="1" applyFill="1" applyBorder="1" applyProtection="1">
      <protection locked="0"/>
    </xf>
    <xf numFmtId="0" fontId="13" fillId="0" borderId="0" xfId="0" applyFont="1" applyFill="1" applyBorder="1" applyProtection="1">
      <protection locked="0"/>
    </xf>
    <xf numFmtId="0" fontId="14" fillId="0" borderId="0" xfId="0" applyFont="1" applyFill="1" applyBorder="1"/>
    <xf numFmtId="0" fontId="14" fillId="0" borderId="0" xfId="0" applyFont="1" applyFill="1" applyBorder="1" applyAlignment="1">
      <alignment horizontal="center"/>
    </xf>
    <xf numFmtId="0" fontId="13" fillId="0" borderId="0" xfId="0" applyFont="1" applyFill="1" applyBorder="1" applyAlignment="1">
      <alignment horizontal="center"/>
    </xf>
    <xf numFmtId="0" fontId="13" fillId="0" borderId="0" xfId="0" applyFont="1" applyFill="1" applyBorder="1"/>
    <xf numFmtId="0" fontId="3" fillId="0" borderId="0" xfId="0" applyFont="1" applyFill="1" applyBorder="1" applyAlignment="1" applyProtection="1">
      <alignment horizontal="center"/>
      <protection locked="0"/>
    </xf>
    <xf numFmtId="0" fontId="2" fillId="0" borderId="0" xfId="0" applyFont="1" applyFill="1" applyAlignment="1">
      <alignment horizontal="center"/>
    </xf>
    <xf numFmtId="0" fontId="2" fillId="0" borderId="0" xfId="0" applyFont="1" applyFill="1" applyBorder="1" applyProtection="1">
      <protection locked="0"/>
    </xf>
    <xf numFmtId="0" fontId="2" fillId="0" borderId="0" xfId="0" applyFont="1" applyFill="1" applyAlignment="1" applyProtection="1">
      <alignment horizontal="center"/>
      <protection locked="0"/>
    </xf>
    <xf numFmtId="0" fontId="0" fillId="0" borderId="0" xfId="0" applyFill="1" applyBorder="1" applyProtection="1">
      <protection locked="0"/>
    </xf>
    <xf numFmtId="0" fontId="0" fillId="0" borderId="0" xfId="0" applyFill="1" applyBorder="1" applyAlignment="1" applyProtection="1">
      <alignment horizontal="center"/>
      <protection locked="0"/>
    </xf>
    <xf numFmtId="0" fontId="15" fillId="0" borderId="0" xfId="0" applyFont="1" applyFill="1" applyBorder="1"/>
    <xf numFmtId="0" fontId="14" fillId="0" borderId="0" xfId="0" quotePrefix="1" applyFont="1" applyFill="1" applyBorder="1" applyProtection="1">
      <protection locked="0"/>
    </xf>
    <xf numFmtId="0" fontId="0" fillId="0" borderId="0" xfId="0" quotePrefix="1" applyFill="1"/>
    <xf numFmtId="0" fontId="2" fillId="0" borderId="0" xfId="0" quotePrefix="1" applyFont="1" applyFill="1" applyBorder="1"/>
    <xf numFmtId="0" fontId="5" fillId="0" borderId="0" xfId="0" quotePrefix="1" applyFont="1" applyFill="1" applyBorder="1"/>
    <xf numFmtId="0" fontId="11" fillId="0" borderId="0" xfId="0" applyFont="1"/>
    <xf numFmtId="0" fontId="3" fillId="0" borderId="0" xfId="0" applyFont="1" applyFill="1" applyBorder="1" applyAlignment="1" applyProtection="1">
      <alignment horizontal="right"/>
      <protection locked="0"/>
    </xf>
    <xf numFmtId="0" fontId="16" fillId="0" borderId="0" xfId="0" applyFont="1"/>
    <xf numFmtId="0" fontId="16" fillId="0" borderId="0" xfId="0" applyFont="1" applyFill="1" applyBorder="1" applyAlignment="1">
      <alignment horizontal="center"/>
    </xf>
    <xf numFmtId="0" fontId="16" fillId="0" borderId="0" xfId="0" applyFont="1" applyFill="1" applyBorder="1" applyProtection="1">
      <protection locked="0"/>
    </xf>
    <xf numFmtId="0" fontId="16" fillId="0" borderId="0" xfId="0" applyFont="1" applyFill="1" applyBorder="1"/>
    <xf numFmtId="49" fontId="10" fillId="0" borderId="0" xfId="0" applyNumberFormat="1" applyFont="1" applyFill="1"/>
    <xf numFmtId="0" fontId="3" fillId="0" borderId="14" xfId="0" applyFont="1" applyBorder="1" applyAlignment="1">
      <alignment horizontal="center"/>
    </xf>
    <xf numFmtId="0" fontId="3" fillId="0" borderId="14" xfId="0" applyFont="1" applyBorder="1" applyAlignment="1">
      <alignment horizontal="right"/>
    </xf>
    <xf numFmtId="0" fontId="18" fillId="0" borderId="0" xfId="0" applyFont="1"/>
    <xf numFmtId="0" fontId="18" fillId="0" borderId="0" xfId="0" applyFont="1" applyBorder="1" applyAlignment="1">
      <alignment horizontal="center"/>
    </xf>
    <xf numFmtId="0" fontId="19" fillId="0" borderId="0" xfId="0" applyFont="1" applyBorder="1" applyAlignment="1">
      <alignment horizontal="center"/>
    </xf>
    <xf numFmtId="0" fontId="21" fillId="0" borderId="0" xfId="0" applyFont="1" applyAlignment="1">
      <alignment horizontal="right"/>
    </xf>
    <xf numFmtId="0" fontId="9" fillId="0" borderId="0" xfId="0" applyFont="1" applyBorder="1" applyAlignment="1" applyProtection="1">
      <alignment horizontal="center"/>
    </xf>
    <xf numFmtId="0" fontId="10" fillId="0" borderId="0" xfId="0" applyFont="1" applyFill="1" applyBorder="1" applyProtection="1"/>
    <xf numFmtId="0" fontId="10" fillId="0" borderId="0" xfId="0" applyFont="1" applyFill="1" applyProtection="1"/>
    <xf numFmtId="0" fontId="10" fillId="0" borderId="0" xfId="0" applyFont="1" applyProtection="1"/>
    <xf numFmtId="0" fontId="10" fillId="7" borderId="0" xfId="0" applyFont="1" applyFill="1" applyProtection="1"/>
    <xf numFmtId="0" fontId="0" fillId="0" borderId="0" xfId="0" applyFill="1" applyProtection="1"/>
    <xf numFmtId="0" fontId="9" fillId="0" borderId="0" xfId="0" applyFont="1" applyFill="1" applyBorder="1" applyProtection="1"/>
    <xf numFmtId="0" fontId="9" fillId="0" borderId="0" xfId="0" applyFont="1" applyFill="1" applyProtection="1"/>
    <xf numFmtId="0" fontId="9" fillId="7" borderId="0" xfId="0" applyFont="1" applyFill="1" applyProtection="1"/>
    <xf numFmtId="0" fontId="0" fillId="7" borderId="0" xfId="0" applyFill="1" applyProtection="1"/>
    <xf numFmtId="0" fontId="6" fillId="0" borderId="0" xfId="0" applyFont="1" applyFill="1" applyBorder="1"/>
    <xf numFmtId="0" fontId="10" fillId="0" borderId="7" xfId="0" applyFont="1" applyBorder="1"/>
    <xf numFmtId="0" fontId="10" fillId="0" borderId="0" xfId="0" applyNumberFormat="1" applyFont="1" applyFill="1" applyBorder="1" applyAlignment="1">
      <alignment horizontal="center"/>
    </xf>
    <xf numFmtId="0" fontId="10" fillId="0" borderId="0" xfId="0" applyNumberFormat="1" applyFont="1" applyBorder="1" applyAlignment="1">
      <alignment horizontal="center"/>
    </xf>
    <xf numFmtId="0" fontId="10" fillId="0" borderId="0" xfId="0" applyNumberFormat="1" applyFont="1" applyFill="1" applyBorder="1" applyAlignment="1" applyProtection="1">
      <alignment horizontal="center"/>
    </xf>
    <xf numFmtId="0" fontId="10" fillId="0" borderId="0" xfId="0" applyNumberFormat="1" applyFont="1" applyBorder="1" applyAlignment="1" applyProtection="1">
      <alignment horizontal="center"/>
    </xf>
    <xf numFmtId="0" fontId="11" fillId="0" borderId="0" xfId="0" applyNumberFormat="1" applyFont="1" applyBorder="1" applyAlignment="1">
      <alignment horizontal="center"/>
    </xf>
    <xf numFmtId="0" fontId="22" fillId="5" borderId="0" xfId="0" applyFont="1" applyFill="1" applyAlignment="1">
      <alignment horizontal="center" wrapText="1"/>
    </xf>
    <xf numFmtId="0" fontId="23" fillId="0" borderId="0" xfId="0" applyFont="1" applyAlignment="1">
      <alignment horizontal="center" wrapText="1"/>
    </xf>
    <xf numFmtId="0" fontId="22" fillId="5" borderId="15" xfId="0" applyFont="1" applyFill="1" applyBorder="1" applyAlignment="1">
      <alignment horizontal="center" wrapText="1"/>
    </xf>
    <xf numFmtId="0" fontId="23" fillId="0" borderId="15" xfId="0" applyFont="1" applyBorder="1" applyAlignment="1">
      <alignment horizontal="center" wrapText="1"/>
    </xf>
    <xf numFmtId="0" fontId="23" fillId="8" borderId="0" xfId="0" applyFont="1" applyFill="1" applyAlignment="1">
      <alignment wrapText="1"/>
    </xf>
    <xf numFmtId="0" fontId="6" fillId="0" borderId="0" xfId="0" applyFont="1" applyFill="1" applyBorder="1" applyAlignment="1">
      <alignment horizontal="center"/>
    </xf>
    <xf numFmtId="0" fontId="31" fillId="9" borderId="16" xfId="0" applyNumberFormat="1" applyFont="1" applyFill="1" applyBorder="1" applyAlignment="1">
      <alignment horizontal="center"/>
    </xf>
    <xf numFmtId="1" fontId="32" fillId="9" borderId="17" xfId="0" applyNumberFormat="1" applyFont="1" applyFill="1" applyBorder="1" applyAlignment="1">
      <alignment horizontal="center"/>
    </xf>
    <xf numFmtId="0" fontId="2" fillId="0" borderId="0" xfId="0" applyFont="1"/>
    <xf numFmtId="0" fontId="2" fillId="0" borderId="0" xfId="0" applyNumberFormat="1" applyFont="1" applyFill="1" applyBorder="1" applyAlignment="1" applyProtection="1">
      <alignment horizontal="center"/>
    </xf>
    <xf numFmtId="0" fontId="2" fillId="0" borderId="0" xfId="0" applyNumberFormat="1" applyFont="1" applyFill="1" applyBorder="1" applyAlignment="1" applyProtection="1">
      <alignment horizontal="center"/>
      <protection locked="0"/>
    </xf>
    <xf numFmtId="0" fontId="31" fillId="9" borderId="23" xfId="0" applyFont="1" applyFill="1" applyBorder="1" applyAlignment="1">
      <alignment horizontal="left"/>
    </xf>
    <xf numFmtId="0" fontId="34" fillId="0" borderId="0" xfId="0" applyFont="1" applyFill="1" applyProtection="1"/>
    <xf numFmtId="0" fontId="37" fillId="0" borderId="0" xfId="0" applyFont="1" applyFill="1" applyBorder="1"/>
    <xf numFmtId="0" fontId="31" fillId="7" borderId="25" xfId="0" applyFont="1" applyFill="1" applyBorder="1" applyAlignment="1">
      <alignment horizontal="left"/>
    </xf>
    <xf numFmtId="0" fontId="31" fillId="7" borderId="26" xfId="0" applyNumberFormat="1" applyFont="1" applyFill="1" applyBorder="1" applyAlignment="1">
      <alignment horizontal="center"/>
    </xf>
    <xf numFmtId="1" fontId="32" fillId="7" borderId="27" xfId="0" applyNumberFormat="1" applyFont="1" applyFill="1" applyBorder="1" applyAlignment="1">
      <alignment horizontal="center"/>
    </xf>
    <xf numFmtId="1" fontId="32" fillId="0" borderId="0" xfId="0" applyNumberFormat="1" applyFont="1" applyFill="1" applyBorder="1" applyAlignment="1">
      <alignment horizontal="center"/>
    </xf>
    <xf numFmtId="0" fontId="31" fillId="0" borderId="0" xfId="0" applyFont="1" applyFill="1" applyBorder="1" applyAlignment="1">
      <alignment horizontal="left"/>
    </xf>
    <xf numFmtId="0" fontId="31" fillId="0" borderId="0" xfId="0" applyNumberFormat="1" applyFont="1" applyFill="1" applyBorder="1" applyAlignment="1">
      <alignment horizontal="center"/>
    </xf>
    <xf numFmtId="0" fontId="31" fillId="0" borderId="0" xfId="0" applyNumberFormat="1" applyFont="1" applyFill="1" applyBorder="1" applyAlignment="1">
      <alignment horizontal="left"/>
    </xf>
    <xf numFmtId="0" fontId="38" fillId="0" borderId="0" xfId="0" applyFont="1"/>
    <xf numFmtId="0" fontId="38" fillId="0" borderId="0" xfId="0" applyFont="1" applyAlignment="1">
      <alignment horizontal="center"/>
    </xf>
    <xf numFmtId="0" fontId="39" fillId="0" borderId="0" xfId="0" applyFont="1" applyFill="1" applyAlignment="1">
      <alignment horizontal="right"/>
    </xf>
    <xf numFmtId="0" fontId="40" fillId="5" borderId="4" xfId="0" applyFont="1" applyFill="1" applyBorder="1" applyAlignment="1">
      <alignment horizontal="center"/>
    </xf>
    <xf numFmtId="0" fontId="41" fillId="0" borderId="0" xfId="0" applyFont="1"/>
    <xf numFmtId="0" fontId="38" fillId="0" borderId="0" xfId="0" applyFont="1" applyFill="1" applyAlignment="1">
      <alignment horizontal="center"/>
    </xf>
    <xf numFmtId="2" fontId="38" fillId="8" borderId="0" xfId="0" applyNumberFormat="1" applyFont="1" applyFill="1" applyBorder="1" applyAlignment="1">
      <alignment horizontal="center"/>
    </xf>
    <xf numFmtId="0" fontId="41" fillId="0" borderId="0" xfId="0" applyFont="1" applyAlignment="1">
      <alignment horizontal="center"/>
    </xf>
    <xf numFmtId="0" fontId="39" fillId="0" borderId="0" xfId="0" applyFont="1" applyAlignment="1">
      <alignment horizontal="right"/>
    </xf>
    <xf numFmtId="0" fontId="41" fillId="0" borderId="0" xfId="0" applyFont="1" applyFill="1" applyAlignment="1">
      <alignment horizontal="left"/>
    </xf>
    <xf numFmtId="0" fontId="41" fillId="0" borderId="0" xfId="0" applyFont="1" applyAlignment="1">
      <alignment horizontal="left"/>
    </xf>
    <xf numFmtId="1" fontId="38" fillId="0" borderId="0" xfId="0" applyNumberFormat="1" applyFont="1"/>
    <xf numFmtId="0" fontId="38" fillId="0" borderId="0" xfId="0" applyFont="1" applyFill="1"/>
    <xf numFmtId="0" fontId="39" fillId="0" borderId="0" xfId="0" applyFont="1"/>
    <xf numFmtId="0" fontId="39" fillId="0" borderId="0" xfId="0" applyFont="1" applyAlignment="1">
      <alignment horizontal="left"/>
    </xf>
    <xf numFmtId="2" fontId="38" fillId="0" borderId="0" xfId="7" applyNumberFormat="1" applyFont="1" applyBorder="1" applyAlignment="1">
      <alignment horizontal="center"/>
    </xf>
    <xf numFmtId="1" fontId="38" fillId="0" borderId="0" xfId="0" applyNumberFormat="1" applyFont="1" applyFill="1" applyAlignment="1">
      <alignment horizontal="center"/>
    </xf>
    <xf numFmtId="0" fontId="38" fillId="0" borderId="0" xfId="7" applyFont="1" applyBorder="1" applyAlignment="1">
      <alignment horizontal="center"/>
    </xf>
    <xf numFmtId="0" fontId="38" fillId="0" borderId="0" xfId="0" applyFont="1" applyBorder="1"/>
    <xf numFmtId="1" fontId="39" fillId="0" borderId="0" xfId="0" applyNumberFormat="1" applyFont="1"/>
    <xf numFmtId="0" fontId="38" fillId="0" borderId="0" xfId="0" applyFont="1" applyBorder="1" applyAlignment="1">
      <alignment horizontal="center"/>
    </xf>
    <xf numFmtId="0" fontId="41" fillId="0" borderId="0" xfId="0" applyFont="1" applyProtection="1">
      <protection locked="0"/>
    </xf>
    <xf numFmtId="0" fontId="38" fillId="0" borderId="0" xfId="0" applyFont="1" applyFill="1" applyBorder="1" applyAlignment="1"/>
    <xf numFmtId="9" fontId="42" fillId="0" borderId="0" xfId="8" applyNumberFormat="1" applyFont="1" applyAlignment="1">
      <alignment horizontal="left"/>
    </xf>
    <xf numFmtId="0" fontId="38" fillId="0" borderId="0" xfId="0" applyFont="1" applyAlignment="1"/>
    <xf numFmtId="0" fontId="43" fillId="0" borderId="0" xfId="0" applyFont="1"/>
    <xf numFmtId="0" fontId="44" fillId="0" borderId="0" xfId="0" applyFont="1" applyAlignment="1">
      <alignment horizontal="left"/>
    </xf>
    <xf numFmtId="1" fontId="44" fillId="0" borderId="0" xfId="0" applyNumberFormat="1" applyFont="1" applyAlignment="1">
      <alignment horizontal="center"/>
    </xf>
    <xf numFmtId="0" fontId="44" fillId="0" borderId="0" xfId="0" applyFont="1" applyAlignment="1">
      <alignment horizontal="center"/>
    </xf>
    <xf numFmtId="0" fontId="38" fillId="0" borderId="10" xfId="0" applyFont="1" applyBorder="1" applyAlignment="1">
      <alignment horizontal="left"/>
    </xf>
    <xf numFmtId="0" fontId="38" fillId="0" borderId="10" xfId="0" applyFont="1" applyBorder="1"/>
    <xf numFmtId="0" fontId="38" fillId="0" borderId="0" xfId="0" applyFont="1" applyBorder="1" applyAlignment="1" applyProtection="1">
      <alignment horizontal="center"/>
      <protection locked="0"/>
    </xf>
    <xf numFmtId="0" fontId="41" fillId="0" borderId="0" xfId="0" applyFont="1" applyBorder="1" applyAlignment="1">
      <alignment horizontal="center"/>
    </xf>
    <xf numFmtId="0" fontId="38" fillId="0" borderId="0" xfId="0" applyFont="1" applyBorder="1" applyAlignment="1"/>
    <xf numFmtId="0" fontId="38" fillId="0" borderId="0" xfId="0" applyFont="1" applyFill="1" applyAlignment="1" applyProtection="1">
      <alignment horizontal="center"/>
      <protection locked="0"/>
    </xf>
    <xf numFmtId="0" fontId="38" fillId="0" borderId="0" xfId="0" applyFont="1" applyFill="1" applyBorder="1" applyAlignment="1" applyProtection="1">
      <alignment horizontal="center"/>
      <protection locked="0"/>
    </xf>
    <xf numFmtId="0" fontId="38" fillId="0" borderId="0" xfId="0" applyFont="1" applyBorder="1" applyAlignment="1" applyProtection="1">
      <alignment horizontal="left"/>
      <protection locked="0"/>
    </xf>
    <xf numFmtId="0" fontId="38" fillId="0" borderId="0" xfId="0" applyFont="1" applyFill="1" applyBorder="1" applyAlignment="1">
      <alignment horizontal="center"/>
    </xf>
    <xf numFmtId="0" fontId="41" fillId="0" borderId="0" xfId="0" applyFont="1" applyBorder="1"/>
    <xf numFmtId="0" fontId="39" fillId="0" borderId="0" xfId="0" applyFont="1" applyFill="1" applyAlignment="1">
      <alignment horizontal="center"/>
    </xf>
    <xf numFmtId="0" fontId="39" fillId="0" borderId="0" xfId="0" applyFont="1" applyFill="1"/>
    <xf numFmtId="1" fontId="17" fillId="0" borderId="0" xfId="0" applyNumberFormat="1" applyFont="1" applyBorder="1" applyAlignment="1" applyProtection="1"/>
    <xf numFmtId="1" fontId="36" fillId="9" borderId="28" xfId="0" applyNumberFormat="1" applyFont="1" applyFill="1" applyBorder="1" applyAlignment="1"/>
    <xf numFmtId="1" fontId="36" fillId="7" borderId="29" xfId="0" applyNumberFormat="1" applyFont="1" applyFill="1" applyBorder="1" applyAlignment="1"/>
    <xf numFmtId="1" fontId="36" fillId="0" borderId="0" xfId="0" applyNumberFormat="1" applyFont="1" applyFill="1" applyBorder="1" applyAlignment="1"/>
    <xf numFmtId="1" fontId="36" fillId="9" borderId="30" xfId="0" applyNumberFormat="1" applyFont="1" applyFill="1" applyBorder="1" applyAlignment="1"/>
    <xf numFmtId="1" fontId="36" fillId="7" borderId="31" xfId="0" applyNumberFormat="1" applyFont="1" applyFill="1" applyBorder="1" applyAlignment="1"/>
    <xf numFmtId="0" fontId="45" fillId="0" borderId="0" xfId="0" applyFont="1" applyAlignment="1">
      <alignment horizontal="center"/>
    </xf>
    <xf numFmtId="0" fontId="39" fillId="0" borderId="0" xfId="0" applyFont="1" applyProtection="1">
      <protection locked="0"/>
    </xf>
    <xf numFmtId="0" fontId="63" fillId="0" borderId="0" xfId="0" applyFont="1"/>
    <xf numFmtId="0" fontId="64" fillId="0" borderId="0" xfId="0" applyFont="1"/>
    <xf numFmtId="0" fontId="41" fillId="0" borderId="14" xfId="0" applyFont="1" applyBorder="1" applyAlignment="1">
      <alignment horizontal="center"/>
    </xf>
    <xf numFmtId="0" fontId="38" fillId="0" borderId="0" xfId="0" applyFont="1" applyFill="1" applyBorder="1" applyProtection="1">
      <protection locked="0"/>
    </xf>
    <xf numFmtId="0" fontId="41" fillId="0" borderId="0" xfId="0" applyFont="1" applyFill="1" applyBorder="1" applyAlignment="1" applyProtection="1">
      <alignment horizontal="center"/>
      <protection locked="0"/>
    </xf>
    <xf numFmtId="0" fontId="67" fillId="0" borderId="0" xfId="0" applyFont="1" applyFill="1" applyBorder="1" applyProtection="1">
      <protection locked="0"/>
    </xf>
    <xf numFmtId="0" fontId="38" fillId="0" borderId="0" xfId="0" applyFont="1" applyProtection="1"/>
    <xf numFmtId="0" fontId="38" fillId="0" borderId="0" xfId="0" applyFont="1" applyFill="1" applyAlignment="1" applyProtection="1">
      <alignment horizontal="center"/>
    </xf>
    <xf numFmtId="0" fontId="64" fillId="0" borderId="0" xfId="0" applyFont="1" applyFill="1" applyBorder="1" applyAlignment="1" applyProtection="1">
      <alignment horizontal="center"/>
    </xf>
    <xf numFmtId="0" fontId="38" fillId="0" borderId="0" xfId="0" applyFont="1" applyFill="1" applyBorder="1" applyAlignment="1" applyProtection="1">
      <alignment horizontal="center"/>
    </xf>
    <xf numFmtId="0" fontId="64" fillId="0" borderId="0" xfId="0" applyFont="1" applyFill="1" applyBorder="1" applyAlignment="1">
      <alignment horizontal="center"/>
    </xf>
    <xf numFmtId="0" fontId="69" fillId="0" borderId="0" xfId="0" applyFont="1" applyFill="1"/>
    <xf numFmtId="0" fontId="69" fillId="0" borderId="0" xfId="0" applyFont="1" applyFill="1" applyProtection="1"/>
    <xf numFmtId="0" fontId="70" fillId="0" borderId="0" xfId="0" applyFont="1" applyFill="1" applyBorder="1"/>
    <xf numFmtId="0" fontId="11" fillId="20" borderId="0" xfId="0" applyFont="1" applyFill="1" applyBorder="1" applyProtection="1"/>
    <xf numFmtId="1" fontId="41" fillId="0" borderId="0" xfId="0" applyNumberFormat="1" applyFont="1" applyAlignment="1">
      <alignment horizontal="right"/>
    </xf>
    <xf numFmtId="1" fontId="41" fillId="0" borderId="0" xfId="0" applyNumberFormat="1" applyFont="1" applyAlignment="1">
      <alignment horizontal="center"/>
    </xf>
    <xf numFmtId="0" fontId="71" fillId="0" borderId="0" xfId="0" applyFont="1"/>
    <xf numFmtId="0" fontId="73" fillId="0" borderId="0" xfId="0" applyFont="1"/>
    <xf numFmtId="0" fontId="43" fillId="0" borderId="10" xfId="0" applyFont="1" applyBorder="1"/>
    <xf numFmtId="1" fontId="10" fillId="10" borderId="0" xfId="0" applyNumberFormat="1" applyFont="1" applyFill="1" applyBorder="1" applyProtection="1"/>
    <xf numFmtId="1" fontId="10" fillId="11" borderId="10" xfId="0" applyNumberFormat="1" applyFont="1" applyFill="1" applyBorder="1" applyProtection="1"/>
    <xf numFmtId="0" fontId="74" fillId="0" borderId="0" xfId="0" applyFont="1" applyFill="1" applyAlignment="1">
      <alignment horizontal="center"/>
    </xf>
    <xf numFmtId="0" fontId="17" fillId="0" borderId="0" xfId="0" applyFont="1" applyFill="1"/>
    <xf numFmtId="1" fontId="10" fillId="0" borderId="0" xfId="0" applyNumberFormat="1" applyFont="1" applyFill="1" applyAlignment="1">
      <alignment horizontal="center"/>
    </xf>
    <xf numFmtId="1" fontId="11" fillId="0" borderId="0" xfId="0" applyNumberFormat="1" applyFont="1" applyFill="1" applyAlignment="1">
      <alignment horizontal="center"/>
    </xf>
    <xf numFmtId="1" fontId="12" fillId="0" borderId="0" xfId="0" applyNumberFormat="1" applyFont="1" applyFill="1" applyAlignment="1">
      <alignment horizontal="center"/>
    </xf>
    <xf numFmtId="1" fontId="10" fillId="0" borderId="0" xfId="0" applyNumberFormat="1" applyFont="1" applyFill="1"/>
    <xf numFmtId="1" fontId="9" fillId="0" borderId="0" xfId="0" applyNumberFormat="1" applyFont="1" applyFill="1"/>
    <xf numFmtId="1" fontId="17" fillId="0" borderId="0" xfId="0" applyNumberFormat="1" applyFont="1" applyFill="1"/>
    <xf numFmtId="0" fontId="3" fillId="12" borderId="0" xfId="0" applyFont="1" applyFill="1" applyProtection="1">
      <protection locked="0"/>
    </xf>
    <xf numFmtId="0" fontId="0" fillId="0" borderId="0" xfId="0" applyFill="1" applyAlignment="1" applyProtection="1">
      <alignment horizontal="center"/>
    </xf>
    <xf numFmtId="0" fontId="2" fillId="21" borderId="41" xfId="0" applyFont="1" applyFill="1" applyBorder="1" applyProtection="1">
      <protection locked="0"/>
    </xf>
    <xf numFmtId="0" fontId="2" fillId="21" borderId="19" xfId="0" applyFont="1" applyFill="1" applyBorder="1" applyProtection="1">
      <protection locked="0"/>
    </xf>
    <xf numFmtId="0" fontId="76" fillId="0" borderId="11" xfId="0" applyFont="1" applyFill="1" applyBorder="1" applyAlignment="1" applyProtection="1">
      <alignment horizontal="center"/>
    </xf>
    <xf numFmtId="0" fontId="10" fillId="0" borderId="0" xfId="0" applyFont="1" applyFill="1" applyBorder="1" applyAlignment="1" applyProtection="1">
      <alignment horizontal="center"/>
    </xf>
    <xf numFmtId="0" fontId="0" fillId="0" borderId="0" xfId="0" applyProtection="1"/>
    <xf numFmtId="0" fontId="6" fillId="21" borderId="0" xfId="0" applyFont="1" applyFill="1" applyBorder="1" applyAlignment="1" applyProtection="1">
      <alignment horizontal="left"/>
      <protection locked="0"/>
    </xf>
    <xf numFmtId="0" fontId="0" fillId="0" borderId="0" xfId="0" applyBorder="1" applyProtection="1"/>
    <xf numFmtId="0" fontId="6" fillId="0" borderId="0" xfId="0" applyFont="1" applyProtection="1">
      <protection locked="0"/>
    </xf>
    <xf numFmtId="0" fontId="18" fillId="0" borderId="0" xfId="0" applyFont="1" applyProtection="1"/>
    <xf numFmtId="0" fontId="3" fillId="0" borderId="0" xfId="0" applyFont="1" applyProtection="1"/>
    <xf numFmtId="0" fontId="0" fillId="0" borderId="0" xfId="0" applyFill="1" applyBorder="1" applyProtection="1"/>
    <xf numFmtId="0" fontId="2" fillId="12" borderId="0" xfId="0" applyFont="1" applyFill="1" applyBorder="1" applyProtection="1">
      <protection locked="0"/>
    </xf>
    <xf numFmtId="0" fontId="77" fillId="0" borderId="0" xfId="0" applyFont="1" applyProtection="1">
      <protection locked="0"/>
    </xf>
    <xf numFmtId="0" fontId="78" fillId="21" borderId="19" xfId="0" applyFont="1" applyFill="1" applyBorder="1" applyProtection="1">
      <protection locked="0"/>
    </xf>
    <xf numFmtId="0" fontId="10" fillId="0" borderId="0" xfId="0" applyFont="1" applyBorder="1"/>
    <xf numFmtId="0" fontId="11" fillId="0" borderId="0" xfId="0" applyFont="1" applyBorder="1"/>
    <xf numFmtId="1" fontId="10" fillId="0" borderId="0" xfId="0" applyNumberFormat="1" applyFont="1" applyFill="1" applyBorder="1"/>
    <xf numFmtId="1" fontId="11" fillId="0" borderId="0" xfId="0" applyNumberFormat="1" applyFont="1" applyFill="1" applyBorder="1"/>
    <xf numFmtId="1" fontId="11" fillId="0" borderId="0" xfId="0" applyNumberFormat="1" applyFont="1" applyFill="1"/>
    <xf numFmtId="0" fontId="10" fillId="0" borderId="0" xfId="0" applyFont="1" applyFill="1" applyBorder="1"/>
    <xf numFmtId="0" fontId="10" fillId="0" borderId="0" xfId="0" applyFont="1" applyFill="1" applyAlignment="1" applyProtection="1">
      <alignment horizontal="center"/>
      <protection locked="0"/>
    </xf>
    <xf numFmtId="0" fontId="10" fillId="0" borderId="0" xfId="0" applyFont="1" applyFill="1" applyBorder="1" applyAlignment="1" applyProtection="1">
      <alignment horizontal="center"/>
      <protection locked="0"/>
    </xf>
    <xf numFmtId="0" fontId="10" fillId="0" borderId="0" xfId="0" applyFont="1" applyFill="1" applyBorder="1" applyProtection="1">
      <protection locked="0"/>
    </xf>
    <xf numFmtId="0" fontId="10" fillId="0" borderId="0" xfId="0" applyFont="1" applyProtection="1">
      <protection locked="0"/>
    </xf>
    <xf numFmtId="0" fontId="20" fillId="0" borderId="0" xfId="0" applyFont="1" applyFill="1"/>
    <xf numFmtId="0" fontId="10" fillId="0" borderId="0" xfId="0" applyFont="1" applyFill="1" applyProtection="1">
      <protection locked="0"/>
    </xf>
    <xf numFmtId="0" fontId="10" fillId="0" borderId="0" xfId="0" applyFont="1" applyFill="1" applyAlignment="1" applyProtection="1">
      <alignment horizontal="left"/>
      <protection locked="0"/>
    </xf>
    <xf numFmtId="0" fontId="10" fillId="0" borderId="0" xfId="0" applyFont="1" applyFill="1" applyBorder="1" applyAlignment="1" applyProtection="1">
      <alignment horizontal="left"/>
      <protection locked="0"/>
    </xf>
    <xf numFmtId="0" fontId="2" fillId="0" borderId="0" xfId="0" applyFont="1" applyProtection="1">
      <protection locked="0"/>
    </xf>
    <xf numFmtId="1" fontId="11" fillId="10" borderId="0" xfId="0" applyNumberFormat="1" applyFont="1" applyFill="1" applyBorder="1" applyProtection="1"/>
    <xf numFmtId="1" fontId="11" fillId="10" borderId="10" xfId="0" applyNumberFormat="1" applyFont="1" applyFill="1" applyBorder="1" applyProtection="1"/>
    <xf numFmtId="0" fontId="74" fillId="22" borderId="0" xfId="0" applyFont="1" applyFill="1" applyAlignment="1">
      <alignment horizontal="center"/>
    </xf>
    <xf numFmtId="1" fontId="41" fillId="0" borderId="0" xfId="0" applyNumberFormat="1" applyFont="1" applyFill="1" applyAlignment="1">
      <alignment horizontal="right"/>
    </xf>
    <xf numFmtId="1" fontId="41" fillId="0" borderId="14" xfId="0" applyNumberFormat="1" applyFont="1" applyBorder="1" applyAlignment="1">
      <alignment horizontal="right"/>
    </xf>
    <xf numFmtId="1" fontId="41" fillId="0" borderId="0" xfId="0" applyNumberFormat="1" applyFont="1" applyFill="1" applyBorder="1" applyAlignment="1" applyProtection="1">
      <alignment horizontal="right"/>
      <protection locked="0"/>
    </xf>
    <xf numFmtId="1" fontId="66" fillId="0" borderId="0" xfId="0" applyNumberFormat="1" applyFont="1" applyFill="1" applyAlignment="1">
      <alignment horizontal="right"/>
    </xf>
    <xf numFmtId="1" fontId="68" fillId="0" borderId="0" xfId="0" applyNumberFormat="1" applyFont="1" applyFill="1" applyAlignment="1">
      <alignment horizontal="right"/>
    </xf>
    <xf numFmtId="0" fontId="38" fillId="0" borderId="13" xfId="7" applyFont="1" applyBorder="1"/>
    <xf numFmtId="0" fontId="39" fillId="0" borderId="12" xfId="7" applyFont="1" applyBorder="1" applyAlignment="1">
      <alignment horizontal="left"/>
    </xf>
    <xf numFmtId="0" fontId="39" fillId="0" borderId="0" xfId="7" applyFont="1" applyFill="1"/>
    <xf numFmtId="0" fontId="38" fillId="0" borderId="0" xfId="7" applyFont="1"/>
    <xf numFmtId="0" fontId="38" fillId="0" borderId="13" xfId="7" applyFont="1" applyBorder="1" applyAlignment="1">
      <alignment horizontal="left"/>
    </xf>
    <xf numFmtId="0" fontId="38" fillId="0" borderId="5" xfId="7" applyFont="1" applyFill="1" applyBorder="1" applyAlignment="1">
      <alignment horizontal="center"/>
    </xf>
    <xf numFmtId="0" fontId="39" fillId="8" borderId="0" xfId="0" applyFont="1" applyFill="1" applyBorder="1"/>
    <xf numFmtId="1" fontId="38" fillId="0" borderId="0" xfId="0" applyNumberFormat="1" applyFont="1" applyFill="1" applyBorder="1" applyProtection="1"/>
    <xf numFmtId="0" fontId="63" fillId="0" borderId="0" xfId="7" applyFont="1"/>
    <xf numFmtId="0" fontId="38" fillId="0" borderId="13" xfId="0" applyFont="1" applyFill="1" applyBorder="1" applyAlignment="1">
      <alignment horizontal="left"/>
    </xf>
    <xf numFmtId="0" fontId="38" fillId="0" borderId="0" xfId="7" applyFont="1" applyBorder="1"/>
    <xf numFmtId="0" fontId="38" fillId="0" borderId="43" xfId="0" applyFont="1" applyFill="1" applyBorder="1" applyAlignment="1">
      <alignment horizontal="left"/>
    </xf>
    <xf numFmtId="0" fontId="38" fillId="0" borderId="44" xfId="7" applyFont="1" applyFill="1" applyBorder="1" applyAlignment="1">
      <alignment horizontal="center"/>
    </xf>
    <xf numFmtId="0" fontId="38" fillId="0" borderId="0" xfId="7" applyFont="1" applyBorder="1" applyAlignment="1">
      <alignment horizontal="left"/>
    </xf>
    <xf numFmtId="0" fontId="38" fillId="0" borderId="45" xfId="7" applyFont="1" applyBorder="1" applyAlignment="1">
      <alignment horizontal="left"/>
    </xf>
    <xf numFmtId="0" fontId="38" fillId="0" borderId="18" xfId="7" applyFont="1" applyFill="1" applyBorder="1" applyAlignment="1">
      <alignment horizontal="center"/>
    </xf>
    <xf numFmtId="0" fontId="38" fillId="0" borderId="0" xfId="0" applyFont="1" applyFill="1" applyBorder="1" applyAlignment="1">
      <alignment horizontal="left"/>
    </xf>
    <xf numFmtId="0" fontId="38" fillId="0" borderId="42" xfId="0" applyFont="1" applyFill="1" applyBorder="1" applyAlignment="1">
      <alignment horizontal="left"/>
    </xf>
    <xf numFmtId="0" fontId="38" fillId="0" borderId="21" xfId="7" applyFont="1" applyBorder="1" applyAlignment="1">
      <alignment horizontal="left"/>
    </xf>
    <xf numFmtId="0" fontId="38" fillId="0" borderId="20" xfId="7" applyFont="1" applyFill="1" applyBorder="1" applyAlignment="1">
      <alignment horizontal="center"/>
    </xf>
    <xf numFmtId="0" fontId="38" fillId="0" borderId="43" xfId="7" applyFont="1" applyBorder="1" applyAlignment="1">
      <alignment horizontal="left"/>
    </xf>
    <xf numFmtId="0" fontId="38" fillId="0" borderId="46" xfId="7" applyFont="1" applyBorder="1" applyAlignment="1">
      <alignment horizontal="left"/>
    </xf>
    <xf numFmtId="1" fontId="38" fillId="0" borderId="5" xfId="7" applyNumberFormat="1" applyFont="1" applyBorder="1" applyAlignment="1">
      <alignment horizontal="center"/>
    </xf>
    <xf numFmtId="2" fontId="38" fillId="0" borderId="5" xfId="7" applyNumberFormat="1" applyFont="1" applyBorder="1" applyAlignment="1">
      <alignment horizontal="center"/>
    </xf>
    <xf numFmtId="0" fontId="38" fillId="0" borderId="0" xfId="7" applyFont="1" applyFill="1" applyBorder="1" applyAlignment="1">
      <alignment horizontal="center"/>
    </xf>
    <xf numFmtId="0" fontId="79" fillId="0" borderId="0" xfId="7" applyFont="1" applyBorder="1" applyAlignment="1">
      <alignment horizontal="center"/>
    </xf>
    <xf numFmtId="0" fontId="38" fillId="0" borderId="5" xfId="7" applyFont="1" applyBorder="1" applyAlignment="1">
      <alignment horizontal="center"/>
    </xf>
    <xf numFmtId="0" fontId="2" fillId="21" borderId="0" xfId="0" applyFont="1" applyFill="1" applyBorder="1" applyProtection="1">
      <protection locked="0"/>
    </xf>
    <xf numFmtId="0" fontId="76" fillId="0" borderId="0" xfId="0" applyFont="1" applyFill="1" applyBorder="1" applyAlignment="1" applyProtection="1">
      <alignment horizontal="center"/>
    </xf>
    <xf numFmtId="0" fontId="78" fillId="21" borderId="0" xfId="0" applyFont="1" applyFill="1" applyBorder="1" applyProtection="1">
      <protection locked="0"/>
    </xf>
    <xf numFmtId="0" fontId="41" fillId="12" borderId="0" xfId="0" applyFont="1" applyFill="1" applyProtection="1">
      <protection locked="0"/>
    </xf>
    <xf numFmtId="0" fontId="38" fillId="12" borderId="0" xfId="0" applyFont="1" applyFill="1" applyBorder="1" applyProtection="1">
      <protection locked="0"/>
    </xf>
    <xf numFmtId="0" fontId="38" fillId="21" borderId="41" xfId="0" applyFont="1" applyFill="1" applyBorder="1" applyProtection="1">
      <protection locked="0"/>
    </xf>
    <xf numFmtId="0" fontId="38" fillId="21" borderId="0" xfId="0" applyFont="1" applyFill="1" applyBorder="1" applyProtection="1">
      <protection locked="0"/>
    </xf>
    <xf numFmtId="0" fontId="38" fillId="21" borderId="19" xfId="0" applyFont="1" applyFill="1" applyBorder="1" applyProtection="1">
      <protection locked="0"/>
    </xf>
    <xf numFmtId="0" fontId="64" fillId="0" borderId="11" xfId="0" applyFont="1" applyFill="1" applyBorder="1" applyAlignment="1" applyProtection="1">
      <alignment horizontal="center"/>
    </xf>
    <xf numFmtId="0" fontId="39" fillId="21" borderId="0" xfId="0" applyFont="1" applyFill="1" applyBorder="1" applyAlignment="1" applyProtection="1">
      <alignment horizontal="left"/>
      <protection locked="0"/>
    </xf>
    <xf numFmtId="0" fontId="80" fillId="0" borderId="0" xfId="0" applyFont="1" applyFill="1"/>
    <xf numFmtId="1" fontId="80" fillId="0" borderId="0" xfId="0" applyNumberFormat="1" applyFont="1" applyFill="1" applyAlignment="1">
      <alignment horizontal="center"/>
    </xf>
    <xf numFmtId="1" fontId="80" fillId="0" borderId="0" xfId="0" applyNumberFormat="1" applyFont="1" applyFill="1" applyBorder="1"/>
    <xf numFmtId="1" fontId="80" fillId="0" borderId="0" xfId="0" applyNumberFormat="1" applyFont="1" applyFill="1"/>
    <xf numFmtId="1" fontId="81" fillId="0" borderId="0" xfId="0" applyNumberFormat="1" applyFont="1" applyFill="1"/>
    <xf numFmtId="0" fontId="38" fillId="0" borderId="21" xfId="0" applyFont="1" applyFill="1" applyBorder="1" applyAlignment="1">
      <alignment horizontal="left"/>
    </xf>
    <xf numFmtId="0" fontId="63" fillId="0" borderId="0" xfId="7" applyFont="1" applyBorder="1"/>
    <xf numFmtId="0" fontId="38" fillId="20" borderId="0" xfId="7" applyFont="1" applyFill="1" applyBorder="1"/>
    <xf numFmtId="0" fontId="38" fillId="20" borderId="0" xfId="7" applyFont="1" applyFill="1" applyBorder="1" applyAlignment="1">
      <alignment horizontal="center"/>
    </xf>
    <xf numFmtId="0" fontId="69" fillId="0" borderId="0" xfId="7" applyFont="1" applyBorder="1"/>
    <xf numFmtId="49" fontId="2" fillId="0" borderId="0" xfId="0" applyNumberFormat="1" applyFont="1" applyFill="1" applyBorder="1" applyProtection="1"/>
    <xf numFmtId="0" fontId="2" fillId="0" borderId="0" xfId="0" applyNumberFormat="1" applyFont="1" applyFill="1" applyBorder="1" applyAlignment="1" applyProtection="1">
      <alignment horizontal="left"/>
    </xf>
    <xf numFmtId="0" fontId="2" fillId="0" borderId="0" xfId="0" applyFont="1" applyFill="1" applyBorder="1" applyProtection="1"/>
    <xf numFmtId="1" fontId="10" fillId="11" borderId="0" xfId="0" applyNumberFormat="1" applyFont="1" applyFill="1" applyBorder="1"/>
    <xf numFmtId="1" fontId="10" fillId="11" borderId="0" xfId="0" applyNumberFormat="1" applyFont="1" applyFill="1"/>
    <xf numFmtId="1" fontId="10" fillId="23" borderId="0" xfId="0" applyNumberFormat="1" applyFont="1" applyFill="1" applyBorder="1"/>
    <xf numFmtId="1" fontId="10" fillId="23" borderId="0" xfId="0" applyNumberFormat="1" applyFont="1" applyFill="1"/>
    <xf numFmtId="0" fontId="10" fillId="11" borderId="0" xfId="0" applyFont="1" applyFill="1"/>
    <xf numFmtId="0" fontId="10" fillId="23" borderId="0" xfId="0" applyFont="1" applyFill="1"/>
    <xf numFmtId="0" fontId="74" fillId="21" borderId="47" xfId="0" applyFont="1" applyFill="1" applyBorder="1" applyProtection="1">
      <protection locked="0"/>
    </xf>
    <xf numFmtId="49" fontId="10" fillId="0" borderId="0" xfId="0" applyNumberFormat="1" applyFont="1" applyFill="1" applyBorder="1"/>
    <xf numFmtId="49" fontId="10" fillId="0" borderId="0" xfId="0" quotePrefix="1" applyNumberFormat="1" applyFont="1" applyFill="1" applyBorder="1"/>
    <xf numFmtId="49" fontId="10" fillId="0" borderId="0" xfId="0" applyNumberFormat="1" applyFont="1" applyFill="1" applyBorder="1" applyAlignment="1" applyProtection="1">
      <alignment horizontal="left"/>
      <protection locked="0"/>
    </xf>
    <xf numFmtId="49" fontId="10" fillId="0" borderId="0" xfId="0" applyNumberFormat="1" applyFont="1" applyFill="1" applyBorder="1" applyProtection="1">
      <protection locked="0"/>
    </xf>
    <xf numFmtId="0" fontId="20" fillId="0" borderId="0" xfId="0" applyFont="1" applyFill="1" applyBorder="1"/>
    <xf numFmtId="1" fontId="82" fillId="0" borderId="0" xfId="0" applyNumberFormat="1" applyFont="1" applyFill="1" applyAlignment="1">
      <alignment horizontal="center"/>
    </xf>
    <xf numFmtId="0" fontId="83" fillId="0" borderId="0" xfId="0" applyFont="1" applyAlignment="1">
      <alignment horizontal="center"/>
    </xf>
    <xf numFmtId="1" fontId="85" fillId="0" borderId="0" xfId="0" applyNumberFormat="1" applyFont="1" applyAlignment="1">
      <alignment horizontal="right"/>
    </xf>
    <xf numFmtId="49" fontId="38" fillId="0" borderId="0" xfId="0" applyNumberFormat="1" applyFont="1" applyFill="1" applyBorder="1" applyProtection="1"/>
    <xf numFmtId="0" fontId="38" fillId="0" borderId="0" xfId="0" applyNumberFormat="1" applyFont="1" applyFill="1" applyBorder="1" applyAlignment="1" applyProtection="1">
      <alignment horizontal="left"/>
    </xf>
    <xf numFmtId="0" fontId="38" fillId="0" borderId="0" xfId="0" applyFont="1" applyFill="1" applyBorder="1" applyProtection="1"/>
    <xf numFmtId="164" fontId="86" fillId="24" borderId="0" xfId="29" applyFont="1" applyFill="1" applyProtection="1">
      <protection locked="0"/>
    </xf>
    <xf numFmtId="164" fontId="87" fillId="0" borderId="0" xfId="29" applyFont="1" applyFill="1" applyAlignment="1" applyProtection="1">
      <alignment horizontal="center"/>
    </xf>
    <xf numFmtId="0" fontId="38" fillId="0" borderId="0" xfId="0" applyFont="1" applyBorder="1" applyProtection="1"/>
    <xf numFmtId="164" fontId="87" fillId="24" borderId="0" xfId="29" applyFont="1" applyFill="1" applyBorder="1" applyProtection="1">
      <protection locked="0"/>
    </xf>
    <xf numFmtId="0" fontId="12" fillId="0" borderId="0" xfId="0" applyFont="1" applyFill="1" applyAlignment="1" applyProtection="1">
      <alignment horizontal="center"/>
    </xf>
    <xf numFmtId="0" fontId="88" fillId="9" borderId="22" xfId="0" applyFont="1" applyFill="1" applyBorder="1" applyAlignment="1">
      <alignment horizontal="center"/>
    </xf>
    <xf numFmtId="0" fontId="88" fillId="7" borderId="24" xfId="0" applyFont="1" applyFill="1" applyBorder="1" applyAlignment="1">
      <alignment horizontal="center"/>
    </xf>
    <xf numFmtId="0" fontId="88" fillId="0" borderId="0" xfId="0" applyFont="1" applyFill="1" applyBorder="1" applyAlignment="1">
      <alignment horizontal="center"/>
    </xf>
    <xf numFmtId="0" fontId="12" fillId="0" borderId="0" xfId="0" applyFont="1" applyFill="1" applyAlignment="1" applyProtection="1"/>
    <xf numFmtId="0" fontId="88" fillId="9" borderId="24" xfId="0" applyFont="1" applyFill="1" applyBorder="1" applyAlignment="1">
      <alignment horizontal="center"/>
    </xf>
    <xf numFmtId="0" fontId="88" fillId="7" borderId="22" xfId="0" applyFont="1" applyFill="1" applyBorder="1" applyAlignment="1">
      <alignment horizontal="center"/>
    </xf>
    <xf numFmtId="0" fontId="31" fillId="9" borderId="25" xfId="0" applyFont="1" applyFill="1" applyBorder="1" applyAlignment="1">
      <alignment horizontal="left"/>
    </xf>
    <xf numFmtId="0" fontId="31" fillId="7" borderId="23" xfId="0" applyFont="1" applyFill="1" applyBorder="1" applyAlignment="1">
      <alignment horizontal="left"/>
    </xf>
    <xf numFmtId="0" fontId="38" fillId="0" borderId="0" xfId="7" applyFont="1" applyFill="1" applyBorder="1"/>
    <xf numFmtId="0" fontId="84" fillId="0" borderId="0" xfId="7" applyFont="1"/>
    <xf numFmtId="2" fontId="84" fillId="0" borderId="5" xfId="7" applyNumberFormat="1" applyFont="1" applyBorder="1" applyAlignment="1">
      <alignment horizontal="center"/>
    </xf>
    <xf numFmtId="0" fontId="89" fillId="0" borderId="0" xfId="7" applyFont="1" applyFill="1"/>
    <xf numFmtId="0" fontId="10" fillId="6" borderId="8" xfId="0" applyFont="1" applyFill="1" applyBorder="1" applyAlignment="1">
      <alignment horizontal="left"/>
    </xf>
    <xf numFmtId="0" fontId="74" fillId="0" borderId="13" xfId="7" applyFont="1" applyBorder="1" applyAlignment="1">
      <alignment horizontal="left"/>
    </xf>
    <xf numFmtId="0" fontId="74" fillId="0" borderId="5" xfId="7" applyFont="1" applyFill="1" applyBorder="1" applyAlignment="1">
      <alignment horizontal="center"/>
    </xf>
    <xf numFmtId="0" fontId="42" fillId="8" borderId="0" xfId="0" applyFont="1" applyFill="1" applyBorder="1"/>
    <xf numFmtId="1" fontId="74" fillId="0" borderId="0" xfId="0" applyNumberFormat="1" applyFont="1" applyFill="1" applyBorder="1" applyProtection="1"/>
    <xf numFmtId="0" fontId="74" fillId="0" borderId="0" xfId="7" applyFont="1" applyBorder="1"/>
    <xf numFmtId="0" fontId="82" fillId="0" borderId="0" xfId="0" applyFont="1" applyAlignment="1">
      <alignment horizontal="center"/>
    </xf>
    <xf numFmtId="0" fontId="90" fillId="5" borderId="4" xfId="0" applyFont="1" applyFill="1" applyBorder="1" applyAlignment="1">
      <alignment horizontal="center"/>
    </xf>
    <xf numFmtId="0" fontId="82" fillId="0" borderId="0" xfId="0" applyFont="1"/>
    <xf numFmtId="0" fontId="82" fillId="0" borderId="0" xfId="0" applyFont="1" applyFill="1"/>
    <xf numFmtId="1" fontId="91" fillId="0" borderId="0" xfId="0" applyNumberFormat="1" applyFont="1" applyAlignment="1">
      <alignment horizontal="center"/>
    </xf>
    <xf numFmtId="164" fontId="92" fillId="0" borderId="0" xfId="29" applyFont="1" applyProtection="1">
      <protection locked="0"/>
    </xf>
    <xf numFmtId="164" fontId="93" fillId="25" borderId="48" xfId="29" applyFont="1" applyFill="1" applyBorder="1" applyProtection="1">
      <protection locked="0"/>
    </xf>
    <xf numFmtId="164" fontId="93" fillId="25" borderId="49" xfId="29" applyFont="1" applyFill="1" applyBorder="1" applyProtection="1">
      <protection locked="0"/>
    </xf>
    <xf numFmtId="164" fontId="94" fillId="0" borderId="0" xfId="29" applyFont="1" applyProtection="1"/>
    <xf numFmtId="164" fontId="95" fillId="0" borderId="50" xfId="29" applyFont="1" applyFill="1" applyBorder="1" applyAlignment="1" applyProtection="1">
      <alignment horizontal="center"/>
    </xf>
    <xf numFmtId="164" fontId="96" fillId="0" borderId="0" xfId="29" applyFont="1" applyProtection="1"/>
    <xf numFmtId="164" fontId="97" fillId="0" borderId="0" xfId="29" applyFont="1" applyFill="1" applyBorder="1" applyAlignment="1" applyProtection="1">
      <alignment horizontal="center"/>
    </xf>
    <xf numFmtId="164" fontId="75" fillId="0" borderId="0" xfId="29" applyFill="1" applyBorder="1" applyProtection="1"/>
    <xf numFmtId="164" fontId="75" fillId="0" borderId="0" xfId="29" applyProtection="1"/>
    <xf numFmtId="164" fontId="92" fillId="25" borderId="0" xfId="29" applyFont="1" applyFill="1" applyBorder="1" applyAlignment="1" applyProtection="1">
      <alignment horizontal="left"/>
      <protection locked="0"/>
    </xf>
    <xf numFmtId="0" fontId="0" fillId="0" borderId="22" xfId="0" applyBorder="1"/>
    <xf numFmtId="0" fontId="0" fillId="0" borderId="24" xfId="0" applyBorder="1"/>
    <xf numFmtId="0" fontId="88" fillId="7" borderId="0" xfId="0" applyFont="1" applyFill="1" applyAlignment="1">
      <alignment horizontal="center"/>
    </xf>
    <xf numFmtId="0" fontId="0" fillId="0" borderId="23" xfId="0" applyBorder="1"/>
    <xf numFmtId="0" fontId="0" fillId="0" borderId="25" xfId="0" applyBorder="1"/>
    <xf numFmtId="0" fontId="31" fillId="7" borderId="0" xfId="0" applyFont="1" applyFill="1" applyAlignment="1">
      <alignment horizontal="left"/>
    </xf>
    <xf numFmtId="0" fontId="88" fillId="9" borderId="8" xfId="0" applyFont="1" applyFill="1" applyBorder="1" applyAlignment="1">
      <alignment horizontal="center"/>
    </xf>
    <xf numFmtId="0" fontId="31" fillId="9" borderId="19" xfId="0" applyFont="1" applyFill="1" applyBorder="1" applyAlignment="1">
      <alignment horizontal="left"/>
    </xf>
    <xf numFmtId="0" fontId="39" fillId="8" borderId="42" xfId="0" applyFont="1" applyFill="1" applyBorder="1"/>
    <xf numFmtId="1" fontId="38" fillId="0" borderId="42" xfId="0" applyNumberFormat="1" applyFont="1" applyFill="1" applyBorder="1" applyProtection="1"/>
    <xf numFmtId="0" fontId="38" fillId="0" borderId="51" xfId="7" applyFont="1" applyBorder="1"/>
    <xf numFmtId="0" fontId="65" fillId="0" borderId="52" xfId="7" applyFont="1" applyBorder="1" applyAlignment="1">
      <alignment horizontal="center"/>
    </xf>
    <xf numFmtId="0" fontId="39" fillId="0" borderId="51" xfId="7" applyFont="1" applyFill="1" applyBorder="1"/>
    <xf numFmtId="0" fontId="39" fillId="21" borderId="0" xfId="0" applyFont="1" applyFill="1" applyBorder="1" applyProtection="1">
      <protection locked="0"/>
    </xf>
    <xf numFmtId="1" fontId="38" fillId="0" borderId="0" xfId="0" applyNumberFormat="1" applyFont="1" applyFill="1" applyBorder="1" applyAlignment="1">
      <alignment horizontal="center"/>
    </xf>
    <xf numFmtId="1" fontId="82" fillId="0" borderId="0" xfId="0" applyNumberFormat="1" applyFont="1" applyFill="1" applyBorder="1" applyAlignment="1">
      <alignment horizontal="center"/>
    </xf>
    <xf numFmtId="0" fontId="38" fillId="21" borderId="0" xfId="0" applyFont="1" applyFill="1" applyBorder="1" applyAlignment="1" applyProtection="1">
      <alignment horizontal="left"/>
      <protection locked="0"/>
    </xf>
    <xf numFmtId="0" fontId="74" fillId="11" borderId="0" xfId="0" applyFont="1" applyFill="1" applyAlignment="1">
      <alignment horizontal="center"/>
    </xf>
    <xf numFmtId="0" fontId="38" fillId="11" borderId="0" xfId="0" applyFont="1" applyFill="1" applyAlignment="1">
      <alignment horizontal="center"/>
    </xf>
    <xf numFmtId="0" fontId="74" fillId="12" borderId="0" xfId="0" applyFont="1" applyFill="1" applyAlignment="1">
      <alignment horizontal="center"/>
    </xf>
    <xf numFmtId="0" fontId="38" fillId="12" borderId="0" xfId="0" applyFont="1" applyFill="1" applyAlignment="1">
      <alignment horizontal="center"/>
    </xf>
    <xf numFmtId="0" fontId="74" fillId="23" borderId="0" xfId="0" applyFont="1" applyFill="1" applyAlignment="1">
      <alignment horizontal="center"/>
    </xf>
    <xf numFmtId="0" fontId="38" fillId="23" borderId="0" xfId="0" applyFont="1" applyFill="1" applyAlignment="1">
      <alignment horizontal="center"/>
    </xf>
    <xf numFmtId="0" fontId="71" fillId="7" borderId="25" xfId="0" applyFont="1" applyFill="1" applyBorder="1" applyAlignment="1">
      <alignment horizontal="left"/>
    </xf>
    <xf numFmtId="0" fontId="98" fillId="7" borderId="24" xfId="0" applyFont="1" applyFill="1" applyBorder="1" applyAlignment="1">
      <alignment horizontal="center"/>
    </xf>
    <xf numFmtId="0" fontId="68" fillId="0" borderId="0" xfId="0" applyFont="1" applyFill="1" applyBorder="1" applyAlignment="1">
      <alignment horizontal="center"/>
    </xf>
    <xf numFmtId="1" fontId="82" fillId="0" borderId="53" xfId="0" applyNumberFormat="1" applyFont="1" applyFill="1" applyBorder="1" applyAlignment="1">
      <alignment horizontal="center"/>
    </xf>
  </cellXfs>
  <cellStyles count="30">
    <cellStyle name="Bad" xfId="18" hidden="1"/>
    <cellStyle name="Berekening" xfId="22" builtinId="22" hidden="1"/>
    <cellStyle name="Calculation" xfId="1"/>
    <cellStyle name="Check Cell" xfId="24" hidden="1"/>
    <cellStyle name="Excel Built-in Normal" xfId="29"/>
    <cellStyle name="Explanatory Text" xfId="27" hidden="1"/>
    <cellStyle name="Gekoppelde cel" xfId="23" builtinId="24" hidden="1"/>
    <cellStyle name="Goed" xfId="17" builtinId="26" hidden="1"/>
    <cellStyle name="Good" xfId="2"/>
    <cellStyle name="Heading 1" xfId="13" hidden="1"/>
    <cellStyle name="Heading 2" xfId="14" hidden="1"/>
    <cellStyle name="Heading 3" xfId="15" hidden="1"/>
    <cellStyle name="Heading 4" xfId="16" hidden="1"/>
    <cellStyle name="Input" xfId="20" hidden="1"/>
    <cellStyle name="Linked Cell" xfId="3"/>
    <cellStyle name="Neutraal" xfId="19" builtinId="28" hidden="1"/>
    <cellStyle name="Neutral" xfId="4"/>
    <cellStyle name="Normal 2" xfId="5"/>
    <cellStyle name="Normal 3" xfId="6"/>
    <cellStyle name="Normal_Tour de France 2002-ploegensamenstelling" xfId="7"/>
    <cellStyle name="Note" xfId="26" hidden="1"/>
    <cellStyle name="Output" xfId="21" hidden="1"/>
    <cellStyle name="Procent" xfId="8" builtinId="5"/>
    <cellStyle name="Standaard" xfId="0" builtinId="0"/>
    <cellStyle name="Titel" xfId="12" builtinId="15" hidden="1"/>
    <cellStyle name="Title" xfId="9"/>
    <cellStyle name="Totaal" xfId="28" builtinId="25" hidden="1"/>
    <cellStyle name="Total" xfId="10"/>
    <cellStyle name="Waarschuwingstekst" xfId="25" builtinId="11" hidden="1"/>
    <cellStyle name="Warning Text" xfId="11"/>
  </cellStyles>
  <dxfs count="70">
    <dxf>
      <border>
        <bottom style="thin">
          <color auto="1"/>
        </bottom>
        <vertical/>
        <horizontal/>
      </border>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patternType="none">
          <bgColor auto="1"/>
        </patternFill>
      </fill>
    </dxf>
  </dxfs>
  <tableStyles count="0" defaultTableStyle="TableStyleMedium9" defaultPivotStyle="PivotStyleLight16"/>
  <colors>
    <mruColors>
      <color rgb="FF3333FF"/>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worksheet" Target="worksheets/sheet10.xml"/><Relationship Id="rId18" Type="http://schemas.openxmlformats.org/officeDocument/2006/relationships/worksheet" Target="worksheets/sheet15.xml"/><Relationship Id="rId26" Type="http://schemas.openxmlformats.org/officeDocument/2006/relationships/worksheet" Target="worksheets/sheet23.xml"/><Relationship Id="rId3" Type="http://schemas.openxmlformats.org/officeDocument/2006/relationships/chartsheet" Target="chartsheets/sheet2.xml"/><Relationship Id="rId21" Type="http://schemas.openxmlformats.org/officeDocument/2006/relationships/worksheet" Target="worksheets/sheet18.xml"/><Relationship Id="rId7" Type="http://schemas.openxmlformats.org/officeDocument/2006/relationships/worksheet" Target="worksheets/sheet4.xml"/><Relationship Id="rId12" Type="http://schemas.openxmlformats.org/officeDocument/2006/relationships/worksheet" Target="worksheets/sheet9.xml"/><Relationship Id="rId17" Type="http://schemas.openxmlformats.org/officeDocument/2006/relationships/worksheet" Target="worksheets/sheet14.xml"/><Relationship Id="rId25" Type="http://schemas.openxmlformats.org/officeDocument/2006/relationships/worksheet" Target="worksheets/sheet22.xml"/><Relationship Id="rId2" Type="http://schemas.openxmlformats.org/officeDocument/2006/relationships/chartsheet" Target="chartsheets/sheet1.xml"/><Relationship Id="rId16" Type="http://schemas.openxmlformats.org/officeDocument/2006/relationships/worksheet" Target="worksheets/sheet13.xml"/><Relationship Id="rId20" Type="http://schemas.openxmlformats.org/officeDocument/2006/relationships/worksheet" Target="worksheets/sheet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3.xml"/><Relationship Id="rId11" Type="http://schemas.openxmlformats.org/officeDocument/2006/relationships/worksheet" Target="worksheets/sheet8.xml"/><Relationship Id="rId24" Type="http://schemas.openxmlformats.org/officeDocument/2006/relationships/worksheet" Target="worksheets/sheet21.xml"/><Relationship Id="rId5" Type="http://schemas.openxmlformats.org/officeDocument/2006/relationships/chartsheet" Target="chartsheets/sheet3.xml"/><Relationship Id="rId15" Type="http://schemas.openxmlformats.org/officeDocument/2006/relationships/worksheet" Target="worksheets/sheet12.xml"/><Relationship Id="rId23" Type="http://schemas.openxmlformats.org/officeDocument/2006/relationships/worksheet" Target="worksheets/sheet20.xml"/><Relationship Id="rId28" Type="http://schemas.openxmlformats.org/officeDocument/2006/relationships/theme" Target="theme/theme1.xml"/><Relationship Id="rId10" Type="http://schemas.openxmlformats.org/officeDocument/2006/relationships/worksheet" Target="worksheets/sheet7.xml"/><Relationship Id="rId19" Type="http://schemas.openxmlformats.org/officeDocument/2006/relationships/worksheet" Target="worksheets/sheet16.xml"/><Relationship Id="rId31" Type="http://schemas.openxmlformats.org/officeDocument/2006/relationships/calcChain" Target="calcChain.xml"/><Relationship Id="rId4" Type="http://schemas.openxmlformats.org/officeDocument/2006/relationships/worksheet" Target="worksheets/sheet2.xml"/><Relationship Id="rId9" Type="http://schemas.openxmlformats.org/officeDocument/2006/relationships/worksheet" Target="worksheets/sheet6.xml"/><Relationship Id="rId14" Type="http://schemas.openxmlformats.org/officeDocument/2006/relationships/worksheet" Target="worksheets/sheet11.xml"/><Relationship Id="rId22" Type="http://schemas.openxmlformats.org/officeDocument/2006/relationships/worksheet" Target="worksheets/sheet19.xml"/><Relationship Id="rId27" Type="http://schemas.openxmlformats.org/officeDocument/2006/relationships/worksheet" Target="worksheets/sheet24.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nl-NL"/>
  <c:chart>
    <c:title>
      <c:tx>
        <c:rich>
          <a:bodyPr/>
          <a:lstStyle/>
          <a:p>
            <a:pPr>
              <a:defRPr sz="1600" b="1" i="0" u="none" strike="noStrike" baseline="0">
                <a:solidFill>
                  <a:srgbClr val="FFFF00"/>
                </a:solidFill>
                <a:latin typeface="Arial"/>
                <a:ea typeface="Arial"/>
                <a:cs typeface="Arial"/>
              </a:defRPr>
            </a:pPr>
            <a:r>
              <a:rPr lang="nl-NL"/>
              <a:t>TourToto 2020</a:t>
            </a:r>
          </a:p>
        </c:rich>
      </c:tx>
      <c:layout>
        <c:manualLayout>
          <c:xMode val="edge"/>
          <c:yMode val="edge"/>
          <c:x val="0.38055842812823182"/>
          <c:y val="1.8079096045197741E-2"/>
        </c:manualLayout>
      </c:layout>
      <c:spPr>
        <a:noFill/>
        <a:ln w="25400">
          <a:noFill/>
        </a:ln>
      </c:spPr>
    </c:title>
    <c:plotArea>
      <c:layout>
        <c:manualLayout>
          <c:layoutTarget val="inner"/>
          <c:xMode val="edge"/>
          <c:yMode val="edge"/>
          <c:x val="1.9648397104446741E-2"/>
          <c:y val="0.1050847457627173"/>
          <c:w val="0.93726301275422252"/>
          <c:h val="0.7525423728813555"/>
        </c:manualLayout>
      </c:layout>
      <c:lineChart>
        <c:grouping val="standard"/>
        <c:ser>
          <c:idx val="3"/>
          <c:order val="0"/>
          <c:tx>
            <c:strRef>
              <c:f>Etappes!$AB$22</c:f>
              <c:strCache>
                <c:ptCount val="1"/>
                <c:pt idx="0">
                  <c:v>Britless</c:v>
                </c:pt>
              </c:strCache>
            </c:strRef>
          </c:tx>
          <c:spPr>
            <a:ln w="28575">
              <a:solidFill>
                <a:srgbClr val="00FFFF"/>
              </a:solidFill>
              <a:prstDash val="solid"/>
            </a:ln>
          </c:spPr>
          <c:marker>
            <c:symbol val="x"/>
            <c:size val="7"/>
            <c:spPr>
              <a:noFill/>
              <a:ln w="28575">
                <a:solidFill>
                  <a:srgbClr val="00FF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Etappes!$AC$22:$AX$22</c:f>
              <c:numCache>
                <c:formatCode>0</c:formatCode>
                <c:ptCount val="22"/>
                <c:pt idx="0">
                  <c:v>40</c:v>
                </c:pt>
                <c:pt idx="1">
                  <c:v>21.818181818181813</c:v>
                </c:pt>
                <c:pt idx="2">
                  <c:v>42.272727272727252</c:v>
                </c:pt>
                <c:pt idx="3">
                  <c:v>27.363636363636374</c:v>
                </c:pt>
                <c:pt idx="4">
                  <c:v>24.727272727272748</c:v>
                </c:pt>
                <c:pt idx="5">
                  <c:v>24.909090909090878</c:v>
                </c:pt>
                <c:pt idx="6">
                  <c:v>10.090909090909008</c:v>
                </c:pt>
                <c:pt idx="7">
                  <c:v>3.8181818181817562</c:v>
                </c:pt>
                <c:pt idx="8">
                  <c:v>18.272727272727252</c:v>
                </c:pt>
                <c:pt idx="9">
                  <c:v>71.454545454545496</c:v>
                </c:pt>
                <c:pt idx="10">
                  <c:v>83.909090909090992</c:v>
                </c:pt>
                <c:pt idx="11">
                  <c:v>87.909090909090992</c:v>
                </c:pt>
                <c:pt idx="12">
                  <c:v>85</c:v>
                </c:pt>
                <c:pt idx="13">
                  <c:v>121.36363636363649</c:v>
                </c:pt>
                <c:pt idx="14">
                  <c:v>156</c:v>
                </c:pt>
                <c:pt idx="15">
                  <c:v>170.18181818181802</c:v>
                </c:pt>
                <c:pt idx="16">
                  <c:v>204.81818181818198</c:v>
                </c:pt>
                <c:pt idx="17">
                  <c:v>229.63636363636351</c:v>
                </c:pt>
                <c:pt idx="18">
                  <c:v>272.90909090909099</c:v>
                </c:pt>
                <c:pt idx="19">
                  <c:v>266.18181818181802</c:v>
                </c:pt>
                <c:pt idx="20">
                  <c:v>287.27272727272748</c:v>
                </c:pt>
                <c:pt idx="21">
                  <c:v>353.5454545454545</c:v>
                </c:pt>
              </c:numCache>
            </c:numRef>
          </c:val>
          <c:extLst xmlns:c16r2="http://schemas.microsoft.com/office/drawing/2015/06/chart">
            <c:ext xmlns:c16="http://schemas.microsoft.com/office/drawing/2014/chart" uri="{C3380CC4-5D6E-409C-BE32-E72D297353CC}">
              <c16:uniqueId val="{00000000-A41F-AE4C-AA9C-635FFBA410F1}"/>
            </c:ext>
          </c:extLst>
        </c:ser>
        <c:ser>
          <c:idx val="8"/>
          <c:order val="1"/>
          <c:tx>
            <c:strRef>
              <c:f>Etappes!$AB$23</c:f>
              <c:strCache>
                <c:ptCount val="1"/>
                <c:pt idx="0">
                  <c:v>Lothar blijft positief</c:v>
                </c:pt>
              </c:strCache>
            </c:strRef>
          </c:tx>
          <c:spPr>
            <a:ln w="28575">
              <a:solidFill>
                <a:srgbClr val="FF9900"/>
              </a:solidFill>
              <a:prstDash val="solid"/>
            </a:ln>
          </c:spPr>
          <c:marker>
            <c:symbol val="dash"/>
            <c:size val="7"/>
            <c:spPr>
              <a:noFill/>
              <a:ln w="28575">
                <a:solidFill>
                  <a:srgbClr val="00CC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Etappes!$AC$23:$AX$23</c:f>
              <c:numCache>
                <c:formatCode>0</c:formatCode>
                <c:ptCount val="22"/>
                <c:pt idx="0">
                  <c:v>-16</c:v>
                </c:pt>
                <c:pt idx="1">
                  <c:v>-16.181818181818187</c:v>
                </c:pt>
                <c:pt idx="2">
                  <c:v>-2.7272727272727479</c:v>
                </c:pt>
                <c:pt idx="3">
                  <c:v>17.363636363636374</c:v>
                </c:pt>
                <c:pt idx="4">
                  <c:v>39.727272727272748</c:v>
                </c:pt>
                <c:pt idx="5">
                  <c:v>33.909090909090878</c:v>
                </c:pt>
                <c:pt idx="6">
                  <c:v>64.090909090909008</c:v>
                </c:pt>
                <c:pt idx="7">
                  <c:v>88.818181818181756</c:v>
                </c:pt>
                <c:pt idx="8">
                  <c:v>107.27272727272725</c:v>
                </c:pt>
                <c:pt idx="9">
                  <c:v>104.4545454545455</c:v>
                </c:pt>
                <c:pt idx="10">
                  <c:v>118.90909090909099</c:v>
                </c:pt>
                <c:pt idx="11">
                  <c:v>118.90909090909099</c:v>
                </c:pt>
                <c:pt idx="12">
                  <c:v>143</c:v>
                </c:pt>
                <c:pt idx="13">
                  <c:v>141.36363636363649</c:v>
                </c:pt>
                <c:pt idx="14">
                  <c:v>158</c:v>
                </c:pt>
                <c:pt idx="15">
                  <c:v>170.18181818181802</c:v>
                </c:pt>
                <c:pt idx="16">
                  <c:v>204.81818181818198</c:v>
                </c:pt>
                <c:pt idx="17">
                  <c:v>233.63636363636351</c:v>
                </c:pt>
                <c:pt idx="18">
                  <c:v>225.90909090909099</c:v>
                </c:pt>
                <c:pt idx="19">
                  <c:v>249.18181818181802</c:v>
                </c:pt>
                <c:pt idx="20">
                  <c:v>242.27272727272748</c:v>
                </c:pt>
                <c:pt idx="21">
                  <c:v>302.5454545454545</c:v>
                </c:pt>
              </c:numCache>
            </c:numRef>
          </c:val>
          <c:extLst xmlns:c16r2="http://schemas.microsoft.com/office/drawing/2015/06/chart">
            <c:ext xmlns:c16="http://schemas.microsoft.com/office/drawing/2014/chart" uri="{C3380CC4-5D6E-409C-BE32-E72D297353CC}">
              <c16:uniqueId val="{00000001-A41F-AE4C-AA9C-635FFBA410F1}"/>
            </c:ext>
          </c:extLst>
        </c:ser>
        <c:ser>
          <c:idx val="7"/>
          <c:order val="2"/>
          <c:tx>
            <c:strRef>
              <c:f>Etappes!$AB$24</c:f>
              <c:strCache>
                <c:ptCount val="1"/>
                <c:pt idx="0">
                  <c:v>Tins Tour Toppers</c:v>
                </c:pt>
              </c:strCache>
            </c:strRef>
          </c:tx>
          <c:spPr>
            <a:ln w="38100">
              <a:solidFill>
                <a:srgbClr val="0000FF"/>
              </a:solidFill>
              <a:prstDash val="solid"/>
            </a:ln>
          </c:spPr>
          <c:marker>
            <c:symbol val="circle"/>
            <c:size val="5"/>
            <c:spPr>
              <a:solidFill>
                <a:srgbClr val="FF0000"/>
              </a:solidFill>
              <a:ln>
                <a:solidFill>
                  <a:srgbClr val="0000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Etappes!$AC$24:$AX$24</c:f>
              <c:numCache>
                <c:formatCode>0</c:formatCode>
                <c:ptCount val="22"/>
                <c:pt idx="0">
                  <c:v>9</c:v>
                </c:pt>
                <c:pt idx="1">
                  <c:v>9.818181818181813</c:v>
                </c:pt>
                <c:pt idx="2">
                  <c:v>21.272727272727252</c:v>
                </c:pt>
                <c:pt idx="3">
                  <c:v>57.363636363636374</c:v>
                </c:pt>
                <c:pt idx="4">
                  <c:v>41.727272727272748</c:v>
                </c:pt>
                <c:pt idx="5">
                  <c:v>60.909090909090878</c:v>
                </c:pt>
                <c:pt idx="6">
                  <c:v>34.090909090909008</c:v>
                </c:pt>
                <c:pt idx="7">
                  <c:v>50.818181818181756</c:v>
                </c:pt>
                <c:pt idx="8">
                  <c:v>98.272727272727252</c:v>
                </c:pt>
                <c:pt idx="9">
                  <c:v>122.4545454545455</c:v>
                </c:pt>
                <c:pt idx="10">
                  <c:v>122.90909090909099</c:v>
                </c:pt>
                <c:pt idx="11">
                  <c:v>124.90909090909099</c:v>
                </c:pt>
                <c:pt idx="12">
                  <c:v>117</c:v>
                </c:pt>
                <c:pt idx="13">
                  <c:v>124.36363636363649</c:v>
                </c:pt>
                <c:pt idx="14">
                  <c:v>127</c:v>
                </c:pt>
                <c:pt idx="15">
                  <c:v>119.18181818181802</c:v>
                </c:pt>
                <c:pt idx="16">
                  <c:v>123.81818181818198</c:v>
                </c:pt>
                <c:pt idx="17">
                  <c:v>117.63636363636351</c:v>
                </c:pt>
                <c:pt idx="18">
                  <c:v>113.90909090909099</c:v>
                </c:pt>
                <c:pt idx="19">
                  <c:v>77.181818181818016</c:v>
                </c:pt>
                <c:pt idx="20">
                  <c:v>84.272727272727479</c:v>
                </c:pt>
                <c:pt idx="21">
                  <c:v>94.545454545454504</c:v>
                </c:pt>
              </c:numCache>
            </c:numRef>
          </c:val>
          <c:extLst xmlns:c16r2="http://schemas.microsoft.com/office/drawing/2015/06/chart">
            <c:ext xmlns:c16="http://schemas.microsoft.com/office/drawing/2014/chart" uri="{C3380CC4-5D6E-409C-BE32-E72D297353CC}">
              <c16:uniqueId val="{00000002-A41F-AE4C-AA9C-635FFBA410F1}"/>
            </c:ext>
          </c:extLst>
        </c:ser>
        <c:ser>
          <c:idx val="6"/>
          <c:order val="3"/>
          <c:tx>
            <c:strRef>
              <c:f>Etappes!$AB$25</c:f>
              <c:strCache>
                <c:ptCount val="1"/>
                <c:pt idx="0">
                  <c:v>Am Selfkant</c:v>
                </c:pt>
              </c:strCache>
            </c:strRef>
          </c:tx>
          <c:spPr>
            <a:ln w="38100">
              <a:solidFill>
                <a:srgbClr val="00FF00"/>
              </a:solidFill>
              <a:prstDash val="sysDot"/>
            </a:ln>
          </c:spPr>
          <c:marker>
            <c:symbol val="circle"/>
            <c:size val="6"/>
            <c:spPr>
              <a:solidFill>
                <a:srgbClr val="FFFF00"/>
              </a:solidFill>
              <a:ln>
                <a:solidFill>
                  <a:srgbClr val="008080"/>
                </a:solidFill>
                <a:prstDash val="sysDot"/>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Etappes!$AC$25:$AX$25</c:f>
              <c:numCache>
                <c:formatCode>0</c:formatCode>
                <c:ptCount val="22"/>
                <c:pt idx="0">
                  <c:v>11</c:v>
                </c:pt>
                <c:pt idx="1">
                  <c:v>32.818181818181813</c:v>
                </c:pt>
                <c:pt idx="2">
                  <c:v>30.272727272727252</c:v>
                </c:pt>
                <c:pt idx="3">
                  <c:v>36.363636363636374</c:v>
                </c:pt>
                <c:pt idx="4">
                  <c:v>55.727272727272748</c:v>
                </c:pt>
                <c:pt idx="5">
                  <c:v>54.909090909090878</c:v>
                </c:pt>
                <c:pt idx="6">
                  <c:v>85.090909090909008</c:v>
                </c:pt>
                <c:pt idx="7">
                  <c:v>85.818181818181756</c:v>
                </c:pt>
                <c:pt idx="8">
                  <c:v>99.272727272727252</c:v>
                </c:pt>
                <c:pt idx="9">
                  <c:v>86.454545454545496</c:v>
                </c:pt>
                <c:pt idx="10">
                  <c:v>87.909090909090992</c:v>
                </c:pt>
                <c:pt idx="11">
                  <c:v>85.909090909090992</c:v>
                </c:pt>
                <c:pt idx="12">
                  <c:v>81</c:v>
                </c:pt>
                <c:pt idx="13">
                  <c:v>74.363636363636488</c:v>
                </c:pt>
                <c:pt idx="14">
                  <c:v>66</c:v>
                </c:pt>
                <c:pt idx="15">
                  <c:v>118.18181818181802</c:v>
                </c:pt>
                <c:pt idx="16">
                  <c:v>119.81818181818198</c:v>
                </c:pt>
                <c:pt idx="17">
                  <c:v>133.63636363636351</c:v>
                </c:pt>
                <c:pt idx="18">
                  <c:v>135.90909090909099</c:v>
                </c:pt>
                <c:pt idx="19">
                  <c:v>127.18181818181802</c:v>
                </c:pt>
                <c:pt idx="20">
                  <c:v>119.27272727272748</c:v>
                </c:pt>
                <c:pt idx="21">
                  <c:v>116.5454545454545</c:v>
                </c:pt>
              </c:numCache>
            </c:numRef>
          </c:val>
          <c:extLst xmlns:c16r2="http://schemas.microsoft.com/office/drawing/2015/06/chart">
            <c:ext xmlns:c16="http://schemas.microsoft.com/office/drawing/2014/chart" uri="{C3380CC4-5D6E-409C-BE32-E72D297353CC}">
              <c16:uniqueId val="{00000003-A41F-AE4C-AA9C-635FFBA410F1}"/>
            </c:ext>
          </c:extLst>
        </c:ser>
        <c:ser>
          <c:idx val="4"/>
          <c:order val="4"/>
          <c:tx>
            <c:strRef>
              <c:f>Etappes!$AB$26</c:f>
              <c:strCache>
                <c:ptCount val="1"/>
                <c:pt idx="0">
                  <c:v>De Lange Man</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Etappes!$AC$26:$AX$26</c:f>
              <c:numCache>
                <c:formatCode>0</c:formatCode>
                <c:ptCount val="22"/>
                <c:pt idx="0">
                  <c:v>-11</c:v>
                </c:pt>
                <c:pt idx="1">
                  <c:v>7.818181818181813</c:v>
                </c:pt>
                <c:pt idx="2">
                  <c:v>-6.7272727272727479</c:v>
                </c:pt>
                <c:pt idx="3">
                  <c:v>22.363636363636374</c:v>
                </c:pt>
                <c:pt idx="4">
                  <c:v>14.727272727272748</c:v>
                </c:pt>
                <c:pt idx="5">
                  <c:v>-8.0909090909091219</c:v>
                </c:pt>
                <c:pt idx="6">
                  <c:v>6.0909090909090082</c:v>
                </c:pt>
                <c:pt idx="7">
                  <c:v>12.818181818181756</c:v>
                </c:pt>
                <c:pt idx="8">
                  <c:v>29.272727272727252</c:v>
                </c:pt>
                <c:pt idx="9">
                  <c:v>6.4545454545454959</c:v>
                </c:pt>
                <c:pt idx="10">
                  <c:v>-10.090909090909008</c:v>
                </c:pt>
                <c:pt idx="11">
                  <c:v>-20.090909090909008</c:v>
                </c:pt>
                <c:pt idx="12">
                  <c:v>-19</c:v>
                </c:pt>
                <c:pt idx="13">
                  <c:v>-31.636363636363512</c:v>
                </c:pt>
                <c:pt idx="14">
                  <c:v>16</c:v>
                </c:pt>
                <c:pt idx="15">
                  <c:v>14.181818181818016</c:v>
                </c:pt>
                <c:pt idx="16">
                  <c:v>76.818181818181984</c:v>
                </c:pt>
                <c:pt idx="17">
                  <c:v>146.63636363636351</c:v>
                </c:pt>
                <c:pt idx="18">
                  <c:v>135.90909090909099</c:v>
                </c:pt>
                <c:pt idx="19">
                  <c:v>180.18181818181802</c:v>
                </c:pt>
                <c:pt idx="20">
                  <c:v>186.27272727272748</c:v>
                </c:pt>
                <c:pt idx="21">
                  <c:v>284.5454545454545</c:v>
                </c:pt>
              </c:numCache>
            </c:numRef>
          </c:val>
          <c:extLst xmlns:c16r2="http://schemas.microsoft.com/office/drawing/2015/06/chart">
            <c:ext xmlns:c16="http://schemas.microsoft.com/office/drawing/2014/chart" uri="{C3380CC4-5D6E-409C-BE32-E72D297353CC}">
              <c16:uniqueId val="{00000004-A41F-AE4C-AA9C-635FFBA410F1}"/>
            </c:ext>
          </c:extLst>
        </c:ser>
        <c:ser>
          <c:idx val="9"/>
          <c:order val="5"/>
          <c:tx>
            <c:strRef>
              <c:f>Etappes!$AB$27</c:f>
              <c:strCache>
                <c:ptCount val="1"/>
                <c:pt idx="0">
                  <c:v>Majella sykler på</c:v>
                </c:pt>
              </c:strCache>
            </c:strRef>
          </c:tx>
          <c:spPr>
            <a:ln>
              <a:prstDash val="lgDash"/>
            </a:ln>
          </c:spPr>
          <c:marker>
            <c:spPr>
              <a:ln>
                <a:prstDash val="lgDash"/>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Etappes!$AC$27:$AX$27</c:f>
              <c:numCache>
                <c:formatCode>0</c:formatCode>
                <c:ptCount val="22"/>
                <c:pt idx="0">
                  <c:v>15</c:v>
                </c:pt>
                <c:pt idx="1">
                  <c:v>63.818181818181813</c:v>
                </c:pt>
                <c:pt idx="2">
                  <c:v>72.272727272727252</c:v>
                </c:pt>
                <c:pt idx="3">
                  <c:v>93.363636363636374</c:v>
                </c:pt>
                <c:pt idx="4">
                  <c:v>85.727272727272748</c:v>
                </c:pt>
                <c:pt idx="5">
                  <c:v>99.909090909090878</c:v>
                </c:pt>
                <c:pt idx="6">
                  <c:v>71.090909090909008</c:v>
                </c:pt>
                <c:pt idx="7">
                  <c:v>52.818181818181756</c:v>
                </c:pt>
                <c:pt idx="8">
                  <c:v>65.272727272727252</c:v>
                </c:pt>
                <c:pt idx="9">
                  <c:v>64.454545454545496</c:v>
                </c:pt>
                <c:pt idx="10">
                  <c:v>38.909090909090992</c:v>
                </c:pt>
                <c:pt idx="11">
                  <c:v>70.909090909090992</c:v>
                </c:pt>
                <c:pt idx="12">
                  <c:v>104</c:v>
                </c:pt>
                <c:pt idx="13">
                  <c:v>134.36363636363649</c:v>
                </c:pt>
                <c:pt idx="14">
                  <c:v>113</c:v>
                </c:pt>
                <c:pt idx="15">
                  <c:v>116.18181818181802</c:v>
                </c:pt>
                <c:pt idx="16">
                  <c:v>63.818181818181984</c:v>
                </c:pt>
                <c:pt idx="17">
                  <c:v>7.6363636363635123</c:v>
                </c:pt>
                <c:pt idx="18">
                  <c:v>2.9090909090909918</c:v>
                </c:pt>
                <c:pt idx="19">
                  <c:v>-13.818181818181984</c:v>
                </c:pt>
                <c:pt idx="20">
                  <c:v>-51.727272727272521</c:v>
                </c:pt>
                <c:pt idx="21">
                  <c:v>-115.4545454545455</c:v>
                </c:pt>
              </c:numCache>
            </c:numRef>
          </c:val>
          <c:extLst xmlns:c16r2="http://schemas.microsoft.com/office/drawing/2015/06/chart">
            <c:ext xmlns:c16="http://schemas.microsoft.com/office/drawing/2014/chart" uri="{C3380CC4-5D6E-409C-BE32-E72D297353CC}">
              <c16:uniqueId val="{00000005-A41F-AE4C-AA9C-635FFBA410F1}"/>
            </c:ext>
          </c:extLst>
        </c:ser>
        <c:ser>
          <c:idx val="5"/>
          <c:order val="6"/>
          <c:tx>
            <c:strRef>
              <c:f>Etappes!$AB$28</c:f>
              <c:strCache>
                <c:ptCount val="1"/>
                <c:pt idx="0">
                  <c:v>Kol de la Madeleine</c:v>
                </c:pt>
              </c:strCache>
            </c:strRef>
          </c:tx>
          <c:spPr>
            <a:ln w="28575">
              <a:solidFill>
                <a:schemeClr val="tx2">
                  <a:lumMod val="60000"/>
                  <a:lumOff val="40000"/>
                </a:schemeClr>
              </a:solidFill>
              <a:prstDash val="solid"/>
            </a:ln>
          </c:spPr>
          <c:marker>
            <c:symbol val="circle"/>
            <c:size val="5"/>
            <c:spPr>
              <a:solidFill>
                <a:srgbClr val="800000"/>
              </a:solidFill>
              <a:ln>
                <a:solidFill>
                  <a:srgbClr val="8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Etappes!$AC$28:$AX$28</c:f>
              <c:numCache>
                <c:formatCode>0</c:formatCode>
                <c:ptCount val="22"/>
                <c:pt idx="0">
                  <c:v>-3</c:v>
                </c:pt>
                <c:pt idx="1">
                  <c:v>-34.181818181818187</c:v>
                </c:pt>
                <c:pt idx="2">
                  <c:v>-38.727272727272748</c:v>
                </c:pt>
                <c:pt idx="3">
                  <c:v>-92.636363636363626</c:v>
                </c:pt>
                <c:pt idx="4">
                  <c:v>-98.272727272727252</c:v>
                </c:pt>
                <c:pt idx="5">
                  <c:v>-111.09090909090912</c:v>
                </c:pt>
                <c:pt idx="6">
                  <c:v>-90.909090909090992</c:v>
                </c:pt>
                <c:pt idx="7">
                  <c:v>-99.181818181818244</c:v>
                </c:pt>
                <c:pt idx="8">
                  <c:v>-130.72727272727275</c:v>
                </c:pt>
                <c:pt idx="9">
                  <c:v>-135.5454545454545</c:v>
                </c:pt>
                <c:pt idx="10">
                  <c:v>-129.09090909090901</c:v>
                </c:pt>
                <c:pt idx="11">
                  <c:v>-140.09090909090901</c:v>
                </c:pt>
                <c:pt idx="12">
                  <c:v>-166</c:v>
                </c:pt>
                <c:pt idx="13">
                  <c:v>-172.63636363636351</c:v>
                </c:pt>
                <c:pt idx="14">
                  <c:v>-183</c:v>
                </c:pt>
                <c:pt idx="15">
                  <c:v>-171.81818181818198</c:v>
                </c:pt>
                <c:pt idx="16">
                  <c:v>-165.18181818181802</c:v>
                </c:pt>
                <c:pt idx="17">
                  <c:v>-152.36363636363649</c:v>
                </c:pt>
                <c:pt idx="18">
                  <c:v>-170.09090909090901</c:v>
                </c:pt>
                <c:pt idx="19">
                  <c:v>-158.81818181818198</c:v>
                </c:pt>
                <c:pt idx="20">
                  <c:v>-163.72727272727252</c:v>
                </c:pt>
                <c:pt idx="21">
                  <c:v>-168.4545454545455</c:v>
                </c:pt>
              </c:numCache>
            </c:numRef>
          </c:val>
          <c:extLst xmlns:c16r2="http://schemas.microsoft.com/office/drawing/2015/06/chart">
            <c:ext xmlns:c16="http://schemas.microsoft.com/office/drawing/2014/chart" uri="{C3380CC4-5D6E-409C-BE32-E72D297353CC}">
              <c16:uniqueId val="{00000006-A41F-AE4C-AA9C-635FFBA410F1}"/>
            </c:ext>
          </c:extLst>
        </c:ser>
        <c:ser>
          <c:idx val="2"/>
          <c:order val="7"/>
          <c:tx>
            <c:strRef>
              <c:f>Etappes!$AB$29</c:f>
              <c:strCache>
                <c:ptCount val="1"/>
                <c:pt idx="0">
                  <c:v>Equipe l'Ami</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Etappes!$AC$29:$AX$29</c:f>
              <c:numCache>
                <c:formatCode>0</c:formatCode>
                <c:ptCount val="22"/>
                <c:pt idx="0">
                  <c:v>11</c:v>
                </c:pt>
                <c:pt idx="1">
                  <c:v>-11.181818181818187</c:v>
                </c:pt>
                <c:pt idx="2">
                  <c:v>-10.727272727272748</c:v>
                </c:pt>
                <c:pt idx="3">
                  <c:v>-11.636363636363626</c:v>
                </c:pt>
                <c:pt idx="4">
                  <c:v>3.7272727272727479</c:v>
                </c:pt>
                <c:pt idx="5">
                  <c:v>-10.090909090909122</c:v>
                </c:pt>
                <c:pt idx="6">
                  <c:v>-2.9090909090909918</c:v>
                </c:pt>
                <c:pt idx="7">
                  <c:v>3.8181818181817562</c:v>
                </c:pt>
                <c:pt idx="8">
                  <c:v>-25.727272727272748</c:v>
                </c:pt>
                <c:pt idx="9">
                  <c:v>-27.545454545454504</c:v>
                </c:pt>
                <c:pt idx="10">
                  <c:v>-10.090909090909008</c:v>
                </c:pt>
                <c:pt idx="11">
                  <c:v>-21.090909090909008</c:v>
                </c:pt>
                <c:pt idx="12">
                  <c:v>-35</c:v>
                </c:pt>
                <c:pt idx="13">
                  <c:v>-50.636363636363512</c:v>
                </c:pt>
                <c:pt idx="14">
                  <c:v>-70</c:v>
                </c:pt>
                <c:pt idx="15">
                  <c:v>-108.81818181818198</c:v>
                </c:pt>
                <c:pt idx="16">
                  <c:v>-124.18181818181802</c:v>
                </c:pt>
                <c:pt idx="17">
                  <c:v>-147.36363636363649</c:v>
                </c:pt>
                <c:pt idx="18">
                  <c:v>-163.09090909090901</c:v>
                </c:pt>
                <c:pt idx="19">
                  <c:v>-171.81818181818198</c:v>
                </c:pt>
                <c:pt idx="20">
                  <c:v>-160.72727272727252</c:v>
                </c:pt>
                <c:pt idx="21">
                  <c:v>-218.4545454545455</c:v>
                </c:pt>
              </c:numCache>
            </c:numRef>
          </c:val>
          <c:extLst xmlns:c16r2="http://schemas.microsoft.com/office/drawing/2015/06/chart">
            <c:ext xmlns:c16="http://schemas.microsoft.com/office/drawing/2014/chart" uri="{C3380CC4-5D6E-409C-BE32-E72D297353CC}">
              <c16:uniqueId val="{00000007-A41F-AE4C-AA9C-635FFBA410F1}"/>
            </c:ext>
          </c:extLst>
        </c:ser>
        <c:ser>
          <c:idx val="10"/>
          <c:order val="8"/>
          <c:tx>
            <c:strRef>
              <c:f>Etappes!$AB$30</c:f>
              <c:strCache>
                <c:ptCount val="1"/>
                <c:pt idx="0">
                  <c:v>Prajak Mahawong</c:v>
                </c:pt>
              </c:strCache>
            </c:strRef>
          </c:tx>
          <c:spPr>
            <a:ln>
              <a:prstDash val="sysDash"/>
            </a:ln>
          </c:spPr>
          <c:marker>
            <c:symbol val="square"/>
            <c:size val="5"/>
            <c:spPr>
              <a:ln>
                <a:prstDash val="sysDash"/>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Etappes!$AC$30:$AX$30</c:f>
              <c:numCache>
                <c:formatCode>0</c:formatCode>
                <c:ptCount val="22"/>
                <c:pt idx="0">
                  <c:v>-14</c:v>
                </c:pt>
                <c:pt idx="1">
                  <c:v>-26.181818181818187</c:v>
                </c:pt>
                <c:pt idx="2">
                  <c:v>-39.727272727272748</c:v>
                </c:pt>
                <c:pt idx="3">
                  <c:v>-52.636363636363626</c:v>
                </c:pt>
                <c:pt idx="4">
                  <c:v>-73.272727272727252</c:v>
                </c:pt>
                <c:pt idx="5">
                  <c:v>-72.090909090909122</c:v>
                </c:pt>
                <c:pt idx="6">
                  <c:v>-115.90909090909099</c:v>
                </c:pt>
                <c:pt idx="7">
                  <c:v>-97.181818181818244</c:v>
                </c:pt>
                <c:pt idx="8">
                  <c:v>-88.727272727272748</c:v>
                </c:pt>
                <c:pt idx="9">
                  <c:v>-90.545454545454504</c:v>
                </c:pt>
                <c:pt idx="10">
                  <c:v>-101.09090909090901</c:v>
                </c:pt>
                <c:pt idx="11">
                  <c:v>-95.090909090909008</c:v>
                </c:pt>
                <c:pt idx="12">
                  <c:v>-100</c:v>
                </c:pt>
                <c:pt idx="13">
                  <c:v>-103.63636363636351</c:v>
                </c:pt>
                <c:pt idx="14">
                  <c:v>-90</c:v>
                </c:pt>
                <c:pt idx="15">
                  <c:v>-125.81818181818198</c:v>
                </c:pt>
                <c:pt idx="16">
                  <c:v>-145.18181818181802</c:v>
                </c:pt>
                <c:pt idx="17">
                  <c:v>-179.36363636363649</c:v>
                </c:pt>
                <c:pt idx="18">
                  <c:v>-168.09090909090901</c:v>
                </c:pt>
                <c:pt idx="19">
                  <c:v>-161.81818181818198</c:v>
                </c:pt>
                <c:pt idx="20">
                  <c:v>-188.72727272727252</c:v>
                </c:pt>
                <c:pt idx="21">
                  <c:v>-195.4545454545455</c:v>
                </c:pt>
              </c:numCache>
            </c:numRef>
          </c:val>
          <c:extLst xmlns:c16r2="http://schemas.microsoft.com/office/drawing/2015/06/chart">
            <c:ext xmlns:c16="http://schemas.microsoft.com/office/drawing/2014/chart" uri="{C3380CC4-5D6E-409C-BE32-E72D297353CC}">
              <c16:uniqueId val="{00000008-A41F-AE4C-AA9C-635FFBA410F1}"/>
            </c:ext>
          </c:extLst>
        </c:ser>
        <c:ser>
          <c:idx val="0"/>
          <c:order val="9"/>
          <c:tx>
            <c:strRef>
              <c:f>Etappes!$AB$31</c:f>
              <c:strCache>
                <c:ptCount val="1"/>
                <c:pt idx="0">
                  <c:v>Freaky's monstermannnen</c:v>
                </c:pt>
              </c:strCache>
            </c:strRef>
          </c:tx>
          <c:spPr>
            <a:ln w="38100">
              <a:solidFill>
                <a:srgbClr val="FF0000"/>
              </a:solidFill>
              <a:prstDash val="dashDot"/>
            </a:ln>
          </c:spPr>
          <c:marker>
            <c:symbol val="triangle"/>
            <c:size val="5"/>
            <c:spPr>
              <a:solidFill>
                <a:srgbClr val="000080"/>
              </a:solidFill>
              <a:ln>
                <a:solidFill>
                  <a:srgbClr val="FFCC00"/>
                </a:solidFill>
                <a:prstDash val="dashDot"/>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Etappes!$AC$31:$AX$31</c:f>
              <c:numCache>
                <c:formatCode>0</c:formatCode>
                <c:ptCount val="22"/>
                <c:pt idx="0">
                  <c:v>-51</c:v>
                </c:pt>
                <c:pt idx="1">
                  <c:v>-64.181818181818187</c:v>
                </c:pt>
                <c:pt idx="2">
                  <c:v>-94.727272727272748</c:v>
                </c:pt>
                <c:pt idx="3">
                  <c:v>-86.636363636363626</c:v>
                </c:pt>
                <c:pt idx="4">
                  <c:v>-95.272727272727252</c:v>
                </c:pt>
                <c:pt idx="5">
                  <c:v>-93.090909090909122</c:v>
                </c:pt>
                <c:pt idx="6">
                  <c:v>-70.909090909090992</c:v>
                </c:pt>
                <c:pt idx="7">
                  <c:v>-76.181818181818244</c:v>
                </c:pt>
                <c:pt idx="8">
                  <c:v>-99.727272727272748</c:v>
                </c:pt>
                <c:pt idx="9">
                  <c:v>-131.5454545454545</c:v>
                </c:pt>
                <c:pt idx="10">
                  <c:v>-136.09090909090901</c:v>
                </c:pt>
                <c:pt idx="11">
                  <c:v>-145.09090909090901</c:v>
                </c:pt>
                <c:pt idx="12">
                  <c:v>-150</c:v>
                </c:pt>
                <c:pt idx="13">
                  <c:v>-157.63636363636351</c:v>
                </c:pt>
                <c:pt idx="14">
                  <c:v>-165</c:v>
                </c:pt>
                <c:pt idx="15">
                  <c:v>-146.81818181818198</c:v>
                </c:pt>
                <c:pt idx="16">
                  <c:v>-145.18181818181802</c:v>
                </c:pt>
                <c:pt idx="17">
                  <c:v>-131.36363636363649</c:v>
                </c:pt>
                <c:pt idx="18">
                  <c:v>-129.09090909090901</c:v>
                </c:pt>
                <c:pt idx="19">
                  <c:v>-131.81818181818198</c:v>
                </c:pt>
                <c:pt idx="20">
                  <c:v>-97.727272727272521</c:v>
                </c:pt>
                <c:pt idx="21">
                  <c:v>-101.4545454545455</c:v>
                </c:pt>
              </c:numCache>
            </c:numRef>
          </c:val>
          <c:extLst xmlns:c16r2="http://schemas.microsoft.com/office/drawing/2015/06/chart">
            <c:ext xmlns:c16="http://schemas.microsoft.com/office/drawing/2014/chart" uri="{C3380CC4-5D6E-409C-BE32-E72D297353CC}">
              <c16:uniqueId val="{00000009-A41F-AE4C-AA9C-635FFBA410F1}"/>
            </c:ext>
          </c:extLst>
        </c:ser>
        <c:ser>
          <c:idx val="1"/>
          <c:order val="10"/>
          <c:tx>
            <c:strRef>
              <c:f>Etappes!$AB$32</c:f>
              <c:strCache>
                <c:ptCount val="1"/>
                <c:pt idx="0">
                  <c:v>Onder de vod</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Etappes!$AC$32:$AX$32</c:f>
              <c:numCache>
                <c:formatCode>0</c:formatCode>
                <c:ptCount val="22"/>
                <c:pt idx="0">
                  <c:v>9</c:v>
                </c:pt>
                <c:pt idx="1">
                  <c:v>15.818181818181813</c:v>
                </c:pt>
                <c:pt idx="2">
                  <c:v>27.272727272727252</c:v>
                </c:pt>
                <c:pt idx="3">
                  <c:v>-10.636363636363626</c:v>
                </c:pt>
                <c:pt idx="4">
                  <c:v>0.72727272727274794</c:v>
                </c:pt>
                <c:pt idx="5">
                  <c:v>19.909090909090878</c:v>
                </c:pt>
                <c:pt idx="6">
                  <c:v>10.090909090909008</c:v>
                </c:pt>
                <c:pt idx="7">
                  <c:v>-26.181818181818244</c:v>
                </c:pt>
                <c:pt idx="8">
                  <c:v>-72.727272727272748</c:v>
                </c:pt>
                <c:pt idx="9">
                  <c:v>-70.545454545454504</c:v>
                </c:pt>
                <c:pt idx="10">
                  <c:v>-66.090909090909008</c:v>
                </c:pt>
                <c:pt idx="11">
                  <c:v>-67.090909090909008</c:v>
                </c:pt>
                <c:pt idx="12">
                  <c:v>-60</c:v>
                </c:pt>
                <c:pt idx="13">
                  <c:v>-79.636363636363512</c:v>
                </c:pt>
                <c:pt idx="14">
                  <c:v>-128</c:v>
                </c:pt>
                <c:pt idx="15">
                  <c:v>-154.81818181818198</c:v>
                </c:pt>
                <c:pt idx="16">
                  <c:v>-214.18181818181802</c:v>
                </c:pt>
                <c:pt idx="17">
                  <c:v>-258.36363636363649</c:v>
                </c:pt>
                <c:pt idx="18">
                  <c:v>-257.09090909090901</c:v>
                </c:pt>
                <c:pt idx="19">
                  <c:v>-261.81818181818198</c:v>
                </c:pt>
                <c:pt idx="20">
                  <c:v>-256.72727272727252</c:v>
                </c:pt>
                <c:pt idx="21">
                  <c:v>-352.4545454545455</c:v>
                </c:pt>
              </c:numCache>
            </c:numRef>
          </c:val>
        </c:ser>
        <c:marker val="1"/>
        <c:axId val="118492160"/>
        <c:axId val="118510336"/>
      </c:lineChart>
      <c:catAx>
        <c:axId val="118492160"/>
        <c:scaling>
          <c:orientation val="minMax"/>
        </c:scaling>
        <c:axPos val="b"/>
        <c:numFmt formatCode="General" sourceLinked="1"/>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118510336"/>
        <c:crosses val="autoZero"/>
        <c:auto val="1"/>
        <c:lblAlgn val="ctr"/>
        <c:lblOffset val="100"/>
        <c:tickLblSkip val="1"/>
        <c:tickMarkSkip val="1"/>
      </c:catAx>
      <c:valAx>
        <c:axId val="118510336"/>
        <c:scaling>
          <c:orientation val="minMax"/>
          <c:min val="-50"/>
        </c:scaling>
        <c:axPos val="l"/>
        <c:majorGridlines>
          <c:spPr>
            <a:ln w="12700">
              <a:solidFill>
                <a:srgbClr val="99CC00"/>
              </a:solidFill>
              <a:prstDash val="sysDot"/>
            </a:ln>
          </c:spPr>
        </c:majorGridlines>
        <c:numFmt formatCode="0" sourceLinked="0"/>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118492160"/>
        <c:crosses val="autoZero"/>
        <c:crossBetween val="midCat"/>
        <c:majorUnit val="50"/>
      </c:valAx>
      <c:spPr>
        <a:noFill/>
        <a:ln w="25400">
          <a:noFill/>
        </a:ln>
      </c:spPr>
    </c:plotArea>
    <c:legend>
      <c:legendPos val="r"/>
      <c:layout>
        <c:manualLayout>
          <c:xMode val="edge"/>
          <c:yMode val="edge"/>
          <c:x val="3.7554209225938218E-2"/>
          <c:y val="0.89943506530191208"/>
          <c:w val="0.91829402080304512"/>
          <c:h val="8.248235503576748E-2"/>
        </c:manualLayout>
      </c:layout>
      <c:spPr>
        <a:solidFill>
          <a:srgbClr val="333333">
            <a:alpha val="50196"/>
          </a:srgbClr>
        </a:solidFill>
        <a:ln w="3175">
          <a:no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chart>
  <c:spPr>
    <a:solidFill>
      <a:srgbClr val="00000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chart2.xml><?xml version="1.0" encoding="utf-8"?>
<c:chartSpace xmlns:c="http://schemas.openxmlformats.org/drawingml/2006/chart" xmlns:a="http://schemas.openxmlformats.org/drawingml/2006/main" xmlns:r="http://schemas.openxmlformats.org/officeDocument/2006/relationships">
  <c:lang val="nl-NL"/>
  <c:chart>
    <c:title>
      <c:tx>
        <c:rich>
          <a:bodyPr/>
          <a:lstStyle/>
          <a:p>
            <a:pPr>
              <a:defRPr sz="1600" b="1" i="0" u="none" strike="noStrike" baseline="0">
                <a:solidFill>
                  <a:srgbClr val="FFFF00"/>
                </a:solidFill>
                <a:latin typeface="Arial"/>
                <a:ea typeface="Arial"/>
                <a:cs typeface="Arial"/>
              </a:defRPr>
            </a:pPr>
            <a:r>
              <a:rPr lang="nl-NL"/>
              <a:t>TourToto 2020 - het rechterrijtje</a:t>
            </a:r>
          </a:p>
        </c:rich>
      </c:tx>
      <c:layout>
        <c:manualLayout>
          <c:xMode val="edge"/>
          <c:yMode val="edge"/>
          <c:x val="0.33092037228545568"/>
          <c:y val="2.0338983050847428E-2"/>
        </c:manualLayout>
      </c:layout>
      <c:spPr>
        <a:noFill/>
        <a:ln w="25400">
          <a:noFill/>
        </a:ln>
      </c:spPr>
    </c:title>
    <c:plotArea>
      <c:layout>
        <c:manualLayout>
          <c:layoutTarget val="inner"/>
          <c:xMode val="edge"/>
          <c:yMode val="edge"/>
          <c:x val="1.9648397104446741E-2"/>
          <c:y val="0.10508474576271733"/>
          <c:w val="0.93726301275422252"/>
          <c:h val="0.7525423728813555"/>
        </c:manualLayout>
      </c:layout>
      <c:lineChart>
        <c:grouping val="standard"/>
        <c:ser>
          <c:idx val="3"/>
          <c:order val="0"/>
          <c:tx>
            <c:strRef>
              <c:f>Etappes!$AB$22</c:f>
              <c:strCache>
                <c:ptCount val="1"/>
                <c:pt idx="0">
                  <c:v>Britless</c:v>
                </c:pt>
              </c:strCache>
            </c:strRef>
          </c:tx>
          <c:spPr>
            <a:ln w="25400">
              <a:solidFill>
                <a:srgbClr val="00FFFF"/>
              </a:solidFill>
              <a:prstDash val="solid"/>
            </a:ln>
          </c:spPr>
          <c:marker>
            <c:symbol val="x"/>
            <c:size val="7"/>
            <c:spPr>
              <a:noFill/>
              <a:ln>
                <a:solidFill>
                  <a:srgbClr val="00FF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Etappes!$AC$22:$AX$22</c:f>
              <c:numCache>
                <c:formatCode>0</c:formatCode>
                <c:ptCount val="22"/>
                <c:pt idx="0">
                  <c:v>40</c:v>
                </c:pt>
                <c:pt idx="1">
                  <c:v>21.818181818181813</c:v>
                </c:pt>
                <c:pt idx="2">
                  <c:v>42.272727272727252</c:v>
                </c:pt>
                <c:pt idx="3">
                  <c:v>27.363636363636374</c:v>
                </c:pt>
                <c:pt idx="4">
                  <c:v>24.727272727272748</c:v>
                </c:pt>
                <c:pt idx="5">
                  <c:v>24.909090909090878</c:v>
                </c:pt>
                <c:pt idx="6">
                  <c:v>10.090909090909008</c:v>
                </c:pt>
                <c:pt idx="7">
                  <c:v>3.8181818181817562</c:v>
                </c:pt>
                <c:pt idx="8">
                  <c:v>18.272727272727252</c:v>
                </c:pt>
                <c:pt idx="9">
                  <c:v>71.454545454545496</c:v>
                </c:pt>
                <c:pt idx="10">
                  <c:v>83.909090909090992</c:v>
                </c:pt>
                <c:pt idx="11">
                  <c:v>87.909090909090992</c:v>
                </c:pt>
                <c:pt idx="12">
                  <c:v>85</c:v>
                </c:pt>
                <c:pt idx="13">
                  <c:v>121.36363636363649</c:v>
                </c:pt>
                <c:pt idx="14">
                  <c:v>156</c:v>
                </c:pt>
                <c:pt idx="15">
                  <c:v>170.18181818181802</c:v>
                </c:pt>
                <c:pt idx="16">
                  <c:v>204.81818181818198</c:v>
                </c:pt>
                <c:pt idx="17">
                  <c:v>229.63636363636351</c:v>
                </c:pt>
                <c:pt idx="18">
                  <c:v>272.90909090909099</c:v>
                </c:pt>
                <c:pt idx="19">
                  <c:v>266.18181818181802</c:v>
                </c:pt>
                <c:pt idx="20">
                  <c:v>287.27272727272748</c:v>
                </c:pt>
                <c:pt idx="21">
                  <c:v>353.5454545454545</c:v>
                </c:pt>
              </c:numCache>
            </c:numRef>
          </c:val>
          <c:extLst xmlns:c16r2="http://schemas.microsoft.com/office/drawing/2015/06/chart">
            <c:ext xmlns:c16="http://schemas.microsoft.com/office/drawing/2014/chart" uri="{C3380CC4-5D6E-409C-BE32-E72D297353CC}">
              <c16:uniqueId val="{00000000-6483-8A44-8E26-00FFF85A6785}"/>
            </c:ext>
          </c:extLst>
        </c:ser>
        <c:ser>
          <c:idx val="8"/>
          <c:order val="1"/>
          <c:tx>
            <c:strRef>
              <c:f>Etappes!$AB$23</c:f>
              <c:strCache>
                <c:ptCount val="1"/>
                <c:pt idx="0">
                  <c:v>Lothar blijft positief</c:v>
                </c:pt>
              </c:strCache>
            </c:strRef>
          </c:tx>
          <c:spPr>
            <a:ln w="19050">
              <a:solidFill>
                <a:srgbClr val="FF9900"/>
              </a:solidFill>
              <a:prstDash val="solid"/>
            </a:ln>
          </c:spPr>
          <c:marker>
            <c:symbol val="dash"/>
            <c:size val="7"/>
            <c:spPr>
              <a:noFill/>
              <a:ln w="19050">
                <a:solidFill>
                  <a:srgbClr val="00CC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Etappes!$AC$23:$AX$23</c:f>
              <c:numCache>
                <c:formatCode>0</c:formatCode>
                <c:ptCount val="22"/>
                <c:pt idx="0">
                  <c:v>-16</c:v>
                </c:pt>
                <c:pt idx="1">
                  <c:v>-16.181818181818187</c:v>
                </c:pt>
                <c:pt idx="2">
                  <c:v>-2.7272727272727479</c:v>
                </c:pt>
                <c:pt idx="3">
                  <c:v>17.363636363636374</c:v>
                </c:pt>
                <c:pt idx="4">
                  <c:v>39.727272727272748</c:v>
                </c:pt>
                <c:pt idx="5">
                  <c:v>33.909090909090878</c:v>
                </c:pt>
                <c:pt idx="6">
                  <c:v>64.090909090909008</c:v>
                </c:pt>
                <c:pt idx="7">
                  <c:v>88.818181818181756</c:v>
                </c:pt>
                <c:pt idx="8">
                  <c:v>107.27272727272725</c:v>
                </c:pt>
                <c:pt idx="9">
                  <c:v>104.4545454545455</c:v>
                </c:pt>
                <c:pt idx="10">
                  <c:v>118.90909090909099</c:v>
                </c:pt>
                <c:pt idx="11">
                  <c:v>118.90909090909099</c:v>
                </c:pt>
                <c:pt idx="12">
                  <c:v>143</c:v>
                </c:pt>
                <c:pt idx="13">
                  <c:v>141.36363636363649</c:v>
                </c:pt>
                <c:pt idx="14">
                  <c:v>158</c:v>
                </c:pt>
                <c:pt idx="15">
                  <c:v>170.18181818181802</c:v>
                </c:pt>
                <c:pt idx="16">
                  <c:v>204.81818181818198</c:v>
                </c:pt>
                <c:pt idx="17">
                  <c:v>233.63636363636351</c:v>
                </c:pt>
                <c:pt idx="18">
                  <c:v>225.90909090909099</c:v>
                </c:pt>
                <c:pt idx="19">
                  <c:v>249.18181818181802</c:v>
                </c:pt>
                <c:pt idx="20">
                  <c:v>242.27272727272748</c:v>
                </c:pt>
                <c:pt idx="21">
                  <c:v>302.5454545454545</c:v>
                </c:pt>
              </c:numCache>
            </c:numRef>
          </c:val>
          <c:extLst xmlns:c16r2="http://schemas.microsoft.com/office/drawing/2015/06/chart">
            <c:ext xmlns:c16="http://schemas.microsoft.com/office/drawing/2014/chart" uri="{C3380CC4-5D6E-409C-BE32-E72D297353CC}">
              <c16:uniqueId val="{00000001-6483-8A44-8E26-00FFF85A6785}"/>
            </c:ext>
          </c:extLst>
        </c:ser>
        <c:ser>
          <c:idx val="7"/>
          <c:order val="2"/>
          <c:tx>
            <c:strRef>
              <c:f>Etappes!$AB$24</c:f>
              <c:strCache>
                <c:ptCount val="1"/>
                <c:pt idx="0">
                  <c:v>Tins Tour Toppers</c:v>
                </c:pt>
              </c:strCache>
            </c:strRef>
          </c:tx>
          <c:spPr>
            <a:ln w="38100">
              <a:solidFill>
                <a:srgbClr val="0000FF"/>
              </a:solidFill>
              <a:prstDash val="solid"/>
            </a:ln>
          </c:spPr>
          <c:marker>
            <c:symbol val="circle"/>
            <c:size val="5"/>
            <c:spPr>
              <a:solidFill>
                <a:srgbClr val="FF0000"/>
              </a:solidFill>
              <a:ln>
                <a:solidFill>
                  <a:srgbClr val="0000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Etappes!$AC$24:$AX$24</c:f>
              <c:numCache>
                <c:formatCode>0</c:formatCode>
                <c:ptCount val="22"/>
                <c:pt idx="0">
                  <c:v>9</c:v>
                </c:pt>
                <c:pt idx="1">
                  <c:v>9.818181818181813</c:v>
                </c:pt>
                <c:pt idx="2">
                  <c:v>21.272727272727252</c:v>
                </c:pt>
                <c:pt idx="3">
                  <c:v>57.363636363636374</c:v>
                </c:pt>
                <c:pt idx="4">
                  <c:v>41.727272727272748</c:v>
                </c:pt>
                <c:pt idx="5">
                  <c:v>60.909090909090878</c:v>
                </c:pt>
                <c:pt idx="6">
                  <c:v>34.090909090909008</c:v>
                </c:pt>
                <c:pt idx="7">
                  <c:v>50.818181818181756</c:v>
                </c:pt>
                <c:pt idx="8">
                  <c:v>98.272727272727252</c:v>
                </c:pt>
                <c:pt idx="9">
                  <c:v>122.4545454545455</c:v>
                </c:pt>
                <c:pt idx="10">
                  <c:v>122.90909090909099</c:v>
                </c:pt>
                <c:pt idx="11">
                  <c:v>124.90909090909099</c:v>
                </c:pt>
                <c:pt idx="12">
                  <c:v>117</c:v>
                </c:pt>
                <c:pt idx="13">
                  <c:v>124.36363636363649</c:v>
                </c:pt>
                <c:pt idx="14">
                  <c:v>127</c:v>
                </c:pt>
                <c:pt idx="15">
                  <c:v>119.18181818181802</c:v>
                </c:pt>
                <c:pt idx="16">
                  <c:v>123.81818181818198</c:v>
                </c:pt>
                <c:pt idx="17">
                  <c:v>117.63636363636351</c:v>
                </c:pt>
                <c:pt idx="18">
                  <c:v>113.90909090909099</c:v>
                </c:pt>
                <c:pt idx="19">
                  <c:v>77.181818181818016</c:v>
                </c:pt>
                <c:pt idx="20">
                  <c:v>84.272727272727479</c:v>
                </c:pt>
                <c:pt idx="21">
                  <c:v>94.545454545454504</c:v>
                </c:pt>
              </c:numCache>
            </c:numRef>
          </c:val>
          <c:extLst xmlns:c16r2="http://schemas.microsoft.com/office/drawing/2015/06/chart">
            <c:ext xmlns:c16="http://schemas.microsoft.com/office/drawing/2014/chart" uri="{C3380CC4-5D6E-409C-BE32-E72D297353CC}">
              <c16:uniqueId val="{00000002-6483-8A44-8E26-00FFF85A6785}"/>
            </c:ext>
          </c:extLst>
        </c:ser>
        <c:ser>
          <c:idx val="6"/>
          <c:order val="3"/>
          <c:tx>
            <c:strRef>
              <c:f>Etappes!$AB$25</c:f>
              <c:strCache>
                <c:ptCount val="1"/>
                <c:pt idx="0">
                  <c:v>Am Selfkant</c:v>
                </c:pt>
              </c:strCache>
            </c:strRef>
          </c:tx>
          <c:spPr>
            <a:ln w="38100">
              <a:solidFill>
                <a:srgbClr val="00FF00"/>
              </a:solidFill>
              <a:prstDash val="sysDot"/>
            </a:ln>
          </c:spPr>
          <c:marker>
            <c:symbol val="circle"/>
            <c:size val="6"/>
            <c:spPr>
              <a:solidFill>
                <a:srgbClr val="FFFF00"/>
              </a:solidFill>
              <a:ln>
                <a:solidFill>
                  <a:srgbClr val="008080"/>
                </a:solidFill>
                <a:prstDash val="sysDot"/>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Etappes!$AC$25:$AX$25</c:f>
              <c:numCache>
                <c:formatCode>0</c:formatCode>
                <c:ptCount val="22"/>
                <c:pt idx="0">
                  <c:v>11</c:v>
                </c:pt>
                <c:pt idx="1">
                  <c:v>32.818181818181813</c:v>
                </c:pt>
                <c:pt idx="2">
                  <c:v>30.272727272727252</c:v>
                </c:pt>
                <c:pt idx="3">
                  <c:v>36.363636363636374</c:v>
                </c:pt>
                <c:pt idx="4">
                  <c:v>55.727272727272748</c:v>
                </c:pt>
                <c:pt idx="5">
                  <c:v>54.909090909090878</c:v>
                </c:pt>
                <c:pt idx="6">
                  <c:v>85.090909090909008</c:v>
                </c:pt>
                <c:pt idx="7">
                  <c:v>85.818181818181756</c:v>
                </c:pt>
                <c:pt idx="8">
                  <c:v>99.272727272727252</c:v>
                </c:pt>
                <c:pt idx="9">
                  <c:v>86.454545454545496</c:v>
                </c:pt>
                <c:pt idx="10">
                  <c:v>87.909090909090992</c:v>
                </c:pt>
                <c:pt idx="11">
                  <c:v>85.909090909090992</c:v>
                </c:pt>
                <c:pt idx="12">
                  <c:v>81</c:v>
                </c:pt>
                <c:pt idx="13">
                  <c:v>74.363636363636488</c:v>
                </c:pt>
                <c:pt idx="14">
                  <c:v>66</c:v>
                </c:pt>
                <c:pt idx="15">
                  <c:v>118.18181818181802</c:v>
                </c:pt>
                <c:pt idx="16">
                  <c:v>119.81818181818198</c:v>
                </c:pt>
                <c:pt idx="17">
                  <c:v>133.63636363636351</c:v>
                </c:pt>
                <c:pt idx="18">
                  <c:v>135.90909090909099</c:v>
                </c:pt>
                <c:pt idx="19">
                  <c:v>127.18181818181802</c:v>
                </c:pt>
                <c:pt idx="20">
                  <c:v>119.27272727272748</c:v>
                </c:pt>
                <c:pt idx="21">
                  <c:v>116.5454545454545</c:v>
                </c:pt>
              </c:numCache>
            </c:numRef>
          </c:val>
          <c:extLst xmlns:c16r2="http://schemas.microsoft.com/office/drawing/2015/06/chart">
            <c:ext xmlns:c16="http://schemas.microsoft.com/office/drawing/2014/chart" uri="{C3380CC4-5D6E-409C-BE32-E72D297353CC}">
              <c16:uniqueId val="{00000003-6483-8A44-8E26-00FFF85A6785}"/>
            </c:ext>
          </c:extLst>
        </c:ser>
        <c:ser>
          <c:idx val="4"/>
          <c:order val="4"/>
          <c:tx>
            <c:strRef>
              <c:f>Etappes!$AB$26</c:f>
              <c:strCache>
                <c:ptCount val="1"/>
                <c:pt idx="0">
                  <c:v>De Lange Man</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Etappes!$AC$26:$AX$26</c:f>
              <c:numCache>
                <c:formatCode>0</c:formatCode>
                <c:ptCount val="22"/>
                <c:pt idx="0">
                  <c:v>-11</c:v>
                </c:pt>
                <c:pt idx="1">
                  <c:v>7.818181818181813</c:v>
                </c:pt>
                <c:pt idx="2">
                  <c:v>-6.7272727272727479</c:v>
                </c:pt>
                <c:pt idx="3">
                  <c:v>22.363636363636374</c:v>
                </c:pt>
                <c:pt idx="4">
                  <c:v>14.727272727272748</c:v>
                </c:pt>
                <c:pt idx="5">
                  <c:v>-8.0909090909091219</c:v>
                </c:pt>
                <c:pt idx="6">
                  <c:v>6.0909090909090082</c:v>
                </c:pt>
                <c:pt idx="7">
                  <c:v>12.818181818181756</c:v>
                </c:pt>
                <c:pt idx="8">
                  <c:v>29.272727272727252</c:v>
                </c:pt>
                <c:pt idx="9">
                  <c:v>6.4545454545454959</c:v>
                </c:pt>
                <c:pt idx="10">
                  <c:v>-10.090909090909008</c:v>
                </c:pt>
                <c:pt idx="11">
                  <c:v>-20.090909090909008</c:v>
                </c:pt>
                <c:pt idx="12">
                  <c:v>-19</c:v>
                </c:pt>
                <c:pt idx="13">
                  <c:v>-31.636363636363512</c:v>
                </c:pt>
                <c:pt idx="14">
                  <c:v>16</c:v>
                </c:pt>
                <c:pt idx="15">
                  <c:v>14.181818181818016</c:v>
                </c:pt>
                <c:pt idx="16">
                  <c:v>76.818181818181984</c:v>
                </c:pt>
                <c:pt idx="17">
                  <c:v>146.63636363636351</c:v>
                </c:pt>
                <c:pt idx="18">
                  <c:v>135.90909090909099</c:v>
                </c:pt>
                <c:pt idx="19">
                  <c:v>180.18181818181802</c:v>
                </c:pt>
                <c:pt idx="20">
                  <c:v>186.27272727272748</c:v>
                </c:pt>
                <c:pt idx="21">
                  <c:v>284.5454545454545</c:v>
                </c:pt>
              </c:numCache>
            </c:numRef>
          </c:val>
          <c:extLst xmlns:c16r2="http://schemas.microsoft.com/office/drawing/2015/06/chart">
            <c:ext xmlns:c16="http://schemas.microsoft.com/office/drawing/2014/chart" uri="{C3380CC4-5D6E-409C-BE32-E72D297353CC}">
              <c16:uniqueId val="{00000004-6483-8A44-8E26-00FFF85A6785}"/>
            </c:ext>
          </c:extLst>
        </c:ser>
        <c:ser>
          <c:idx val="9"/>
          <c:order val="5"/>
          <c:tx>
            <c:strRef>
              <c:f>Etappes!$AB$27</c:f>
              <c:strCache>
                <c:ptCount val="1"/>
                <c:pt idx="0">
                  <c:v>Majella sykler på</c:v>
                </c:pt>
              </c:strCache>
            </c:strRef>
          </c:tx>
          <c:spPr>
            <a:ln>
              <a:prstDash val="lgDash"/>
            </a:ln>
          </c:spPr>
          <c:marker>
            <c:spPr>
              <a:ln>
                <a:prstDash val="lgDash"/>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Etappes!$AC$27:$AX$27</c:f>
              <c:numCache>
                <c:formatCode>0</c:formatCode>
                <c:ptCount val="22"/>
                <c:pt idx="0">
                  <c:v>15</c:v>
                </c:pt>
                <c:pt idx="1">
                  <c:v>63.818181818181813</c:v>
                </c:pt>
                <c:pt idx="2">
                  <c:v>72.272727272727252</c:v>
                </c:pt>
                <c:pt idx="3">
                  <c:v>93.363636363636374</c:v>
                </c:pt>
                <c:pt idx="4">
                  <c:v>85.727272727272748</c:v>
                </c:pt>
                <c:pt idx="5">
                  <c:v>99.909090909090878</c:v>
                </c:pt>
                <c:pt idx="6">
                  <c:v>71.090909090909008</c:v>
                </c:pt>
                <c:pt idx="7">
                  <c:v>52.818181818181756</c:v>
                </c:pt>
                <c:pt idx="8">
                  <c:v>65.272727272727252</c:v>
                </c:pt>
                <c:pt idx="9">
                  <c:v>64.454545454545496</c:v>
                </c:pt>
                <c:pt idx="10">
                  <c:v>38.909090909090992</c:v>
                </c:pt>
                <c:pt idx="11">
                  <c:v>70.909090909090992</c:v>
                </c:pt>
                <c:pt idx="12">
                  <c:v>104</c:v>
                </c:pt>
                <c:pt idx="13">
                  <c:v>134.36363636363649</c:v>
                </c:pt>
                <c:pt idx="14">
                  <c:v>113</c:v>
                </c:pt>
                <c:pt idx="15">
                  <c:v>116.18181818181802</c:v>
                </c:pt>
                <c:pt idx="16">
                  <c:v>63.818181818181984</c:v>
                </c:pt>
                <c:pt idx="17">
                  <c:v>7.6363636363635123</c:v>
                </c:pt>
                <c:pt idx="18">
                  <c:v>2.9090909090909918</c:v>
                </c:pt>
                <c:pt idx="19">
                  <c:v>-13.818181818181984</c:v>
                </c:pt>
                <c:pt idx="20">
                  <c:v>-51.727272727272521</c:v>
                </c:pt>
                <c:pt idx="21">
                  <c:v>-115.4545454545455</c:v>
                </c:pt>
              </c:numCache>
            </c:numRef>
          </c:val>
          <c:extLst xmlns:c16r2="http://schemas.microsoft.com/office/drawing/2015/06/chart">
            <c:ext xmlns:c16="http://schemas.microsoft.com/office/drawing/2014/chart" uri="{C3380CC4-5D6E-409C-BE32-E72D297353CC}">
              <c16:uniqueId val="{00000005-6483-8A44-8E26-00FFF85A6785}"/>
            </c:ext>
          </c:extLst>
        </c:ser>
        <c:ser>
          <c:idx val="5"/>
          <c:order val="6"/>
          <c:tx>
            <c:strRef>
              <c:f>Etappes!$AB$28</c:f>
              <c:strCache>
                <c:ptCount val="1"/>
                <c:pt idx="0">
                  <c:v>Kol de la Madeleine</c:v>
                </c:pt>
              </c:strCache>
            </c:strRef>
          </c:tx>
          <c:spPr>
            <a:ln w="28575">
              <a:solidFill>
                <a:schemeClr val="tx2">
                  <a:lumMod val="60000"/>
                  <a:lumOff val="40000"/>
                </a:schemeClr>
              </a:solidFill>
              <a:prstDash val="solid"/>
            </a:ln>
          </c:spPr>
          <c:marker>
            <c:symbol val="circle"/>
            <c:size val="5"/>
            <c:spPr>
              <a:solidFill>
                <a:srgbClr val="800000"/>
              </a:solidFill>
              <a:ln>
                <a:solidFill>
                  <a:srgbClr val="8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Etappes!$AC$28:$AX$28</c:f>
              <c:numCache>
                <c:formatCode>0</c:formatCode>
                <c:ptCount val="22"/>
                <c:pt idx="0">
                  <c:v>-3</c:v>
                </c:pt>
                <c:pt idx="1">
                  <c:v>-34.181818181818187</c:v>
                </c:pt>
                <c:pt idx="2">
                  <c:v>-38.727272727272748</c:v>
                </c:pt>
                <c:pt idx="3">
                  <c:v>-92.636363636363626</c:v>
                </c:pt>
                <c:pt idx="4">
                  <c:v>-98.272727272727252</c:v>
                </c:pt>
                <c:pt idx="5">
                  <c:v>-111.09090909090912</c:v>
                </c:pt>
                <c:pt idx="6">
                  <c:v>-90.909090909090992</c:v>
                </c:pt>
                <c:pt idx="7">
                  <c:v>-99.181818181818244</c:v>
                </c:pt>
                <c:pt idx="8">
                  <c:v>-130.72727272727275</c:v>
                </c:pt>
                <c:pt idx="9">
                  <c:v>-135.5454545454545</c:v>
                </c:pt>
                <c:pt idx="10">
                  <c:v>-129.09090909090901</c:v>
                </c:pt>
                <c:pt idx="11">
                  <c:v>-140.09090909090901</c:v>
                </c:pt>
                <c:pt idx="12">
                  <c:v>-166</c:v>
                </c:pt>
                <c:pt idx="13">
                  <c:v>-172.63636363636351</c:v>
                </c:pt>
                <c:pt idx="14">
                  <c:v>-183</c:v>
                </c:pt>
                <c:pt idx="15">
                  <c:v>-171.81818181818198</c:v>
                </c:pt>
                <c:pt idx="16">
                  <c:v>-165.18181818181802</c:v>
                </c:pt>
                <c:pt idx="17">
                  <c:v>-152.36363636363649</c:v>
                </c:pt>
                <c:pt idx="18">
                  <c:v>-170.09090909090901</c:v>
                </c:pt>
                <c:pt idx="19">
                  <c:v>-158.81818181818198</c:v>
                </c:pt>
                <c:pt idx="20">
                  <c:v>-163.72727272727252</c:v>
                </c:pt>
                <c:pt idx="21">
                  <c:v>-168.4545454545455</c:v>
                </c:pt>
              </c:numCache>
            </c:numRef>
          </c:val>
          <c:extLst xmlns:c16r2="http://schemas.microsoft.com/office/drawing/2015/06/chart">
            <c:ext xmlns:c16="http://schemas.microsoft.com/office/drawing/2014/chart" uri="{C3380CC4-5D6E-409C-BE32-E72D297353CC}">
              <c16:uniqueId val="{00000006-6483-8A44-8E26-00FFF85A6785}"/>
            </c:ext>
          </c:extLst>
        </c:ser>
        <c:ser>
          <c:idx val="2"/>
          <c:order val="7"/>
          <c:tx>
            <c:strRef>
              <c:f>Etappes!$AB$29</c:f>
              <c:strCache>
                <c:ptCount val="1"/>
                <c:pt idx="0">
                  <c:v>Equipe l'Ami</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Etappes!$AC$29:$AX$29</c:f>
              <c:numCache>
                <c:formatCode>0</c:formatCode>
                <c:ptCount val="22"/>
                <c:pt idx="0">
                  <c:v>11</c:v>
                </c:pt>
                <c:pt idx="1">
                  <c:v>-11.181818181818187</c:v>
                </c:pt>
                <c:pt idx="2">
                  <c:v>-10.727272727272748</c:v>
                </c:pt>
                <c:pt idx="3">
                  <c:v>-11.636363636363626</c:v>
                </c:pt>
                <c:pt idx="4">
                  <c:v>3.7272727272727479</c:v>
                </c:pt>
                <c:pt idx="5">
                  <c:v>-10.090909090909122</c:v>
                </c:pt>
                <c:pt idx="6">
                  <c:v>-2.9090909090909918</c:v>
                </c:pt>
                <c:pt idx="7">
                  <c:v>3.8181818181817562</c:v>
                </c:pt>
                <c:pt idx="8">
                  <c:v>-25.727272727272748</c:v>
                </c:pt>
                <c:pt idx="9">
                  <c:v>-27.545454545454504</c:v>
                </c:pt>
                <c:pt idx="10">
                  <c:v>-10.090909090909008</c:v>
                </c:pt>
                <c:pt idx="11">
                  <c:v>-21.090909090909008</c:v>
                </c:pt>
                <c:pt idx="12">
                  <c:v>-35</c:v>
                </c:pt>
                <c:pt idx="13">
                  <c:v>-50.636363636363512</c:v>
                </c:pt>
                <c:pt idx="14">
                  <c:v>-70</c:v>
                </c:pt>
                <c:pt idx="15">
                  <c:v>-108.81818181818198</c:v>
                </c:pt>
                <c:pt idx="16">
                  <c:v>-124.18181818181802</c:v>
                </c:pt>
                <c:pt idx="17">
                  <c:v>-147.36363636363649</c:v>
                </c:pt>
                <c:pt idx="18">
                  <c:v>-163.09090909090901</c:v>
                </c:pt>
                <c:pt idx="19">
                  <c:v>-171.81818181818198</c:v>
                </c:pt>
                <c:pt idx="20">
                  <c:v>-160.72727272727252</c:v>
                </c:pt>
                <c:pt idx="21">
                  <c:v>-218.4545454545455</c:v>
                </c:pt>
              </c:numCache>
            </c:numRef>
          </c:val>
          <c:extLst xmlns:c16r2="http://schemas.microsoft.com/office/drawing/2015/06/chart">
            <c:ext xmlns:c16="http://schemas.microsoft.com/office/drawing/2014/chart" uri="{C3380CC4-5D6E-409C-BE32-E72D297353CC}">
              <c16:uniqueId val="{00000007-6483-8A44-8E26-00FFF85A6785}"/>
            </c:ext>
          </c:extLst>
        </c:ser>
        <c:ser>
          <c:idx val="10"/>
          <c:order val="8"/>
          <c:tx>
            <c:strRef>
              <c:f>Etappes!$AB$30</c:f>
              <c:strCache>
                <c:ptCount val="1"/>
                <c:pt idx="0">
                  <c:v>Prajak Mahawong</c:v>
                </c:pt>
              </c:strCache>
            </c:strRef>
          </c:tx>
          <c:spPr>
            <a:ln>
              <a:prstDash val="sysDash"/>
            </a:ln>
          </c:spPr>
          <c:marker>
            <c:symbol val="square"/>
            <c:size val="5"/>
            <c:spPr>
              <a:ln>
                <a:prstDash val="sysDash"/>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Etappes!$AC$30:$AX$30</c:f>
              <c:numCache>
                <c:formatCode>0</c:formatCode>
                <c:ptCount val="22"/>
                <c:pt idx="0">
                  <c:v>-14</c:v>
                </c:pt>
                <c:pt idx="1">
                  <c:v>-26.181818181818187</c:v>
                </c:pt>
                <c:pt idx="2">
                  <c:v>-39.727272727272748</c:v>
                </c:pt>
                <c:pt idx="3">
                  <c:v>-52.636363636363626</c:v>
                </c:pt>
                <c:pt idx="4">
                  <c:v>-73.272727272727252</c:v>
                </c:pt>
                <c:pt idx="5">
                  <c:v>-72.090909090909122</c:v>
                </c:pt>
                <c:pt idx="6">
                  <c:v>-115.90909090909099</c:v>
                </c:pt>
                <c:pt idx="7">
                  <c:v>-97.181818181818244</c:v>
                </c:pt>
                <c:pt idx="8">
                  <c:v>-88.727272727272748</c:v>
                </c:pt>
                <c:pt idx="9">
                  <c:v>-90.545454545454504</c:v>
                </c:pt>
                <c:pt idx="10">
                  <c:v>-101.09090909090901</c:v>
                </c:pt>
                <c:pt idx="11">
                  <c:v>-95.090909090909008</c:v>
                </c:pt>
                <c:pt idx="12">
                  <c:v>-100</c:v>
                </c:pt>
                <c:pt idx="13">
                  <c:v>-103.63636363636351</c:v>
                </c:pt>
                <c:pt idx="14">
                  <c:v>-90</c:v>
                </c:pt>
                <c:pt idx="15">
                  <c:v>-125.81818181818198</c:v>
                </c:pt>
                <c:pt idx="16">
                  <c:v>-145.18181818181802</c:v>
                </c:pt>
                <c:pt idx="17">
                  <c:v>-179.36363636363649</c:v>
                </c:pt>
                <c:pt idx="18">
                  <c:v>-168.09090909090901</c:v>
                </c:pt>
                <c:pt idx="19">
                  <c:v>-161.81818181818198</c:v>
                </c:pt>
                <c:pt idx="20">
                  <c:v>-188.72727272727252</c:v>
                </c:pt>
                <c:pt idx="21">
                  <c:v>-195.4545454545455</c:v>
                </c:pt>
              </c:numCache>
            </c:numRef>
          </c:val>
          <c:extLst xmlns:c16r2="http://schemas.microsoft.com/office/drawing/2015/06/chart">
            <c:ext xmlns:c16="http://schemas.microsoft.com/office/drawing/2014/chart" uri="{C3380CC4-5D6E-409C-BE32-E72D297353CC}">
              <c16:uniqueId val="{00000008-6483-8A44-8E26-00FFF85A6785}"/>
            </c:ext>
          </c:extLst>
        </c:ser>
        <c:ser>
          <c:idx val="0"/>
          <c:order val="9"/>
          <c:tx>
            <c:strRef>
              <c:f>Etappes!$AB$31</c:f>
              <c:strCache>
                <c:ptCount val="1"/>
                <c:pt idx="0">
                  <c:v>Freaky's monstermannnen</c:v>
                </c:pt>
              </c:strCache>
            </c:strRef>
          </c:tx>
          <c:spPr>
            <a:ln w="38100">
              <a:solidFill>
                <a:srgbClr val="FF0000"/>
              </a:solidFill>
              <a:prstDash val="dashDot"/>
            </a:ln>
          </c:spPr>
          <c:marker>
            <c:symbol val="triangle"/>
            <c:size val="5"/>
            <c:spPr>
              <a:solidFill>
                <a:srgbClr val="000080"/>
              </a:solidFill>
              <a:ln>
                <a:solidFill>
                  <a:srgbClr val="FFCC00"/>
                </a:solidFill>
                <a:prstDash val="dashDot"/>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Etappes!$AC$31:$AX$31</c:f>
              <c:numCache>
                <c:formatCode>0</c:formatCode>
                <c:ptCount val="22"/>
                <c:pt idx="0">
                  <c:v>-51</c:v>
                </c:pt>
                <c:pt idx="1">
                  <c:v>-64.181818181818187</c:v>
                </c:pt>
                <c:pt idx="2">
                  <c:v>-94.727272727272748</c:v>
                </c:pt>
                <c:pt idx="3">
                  <c:v>-86.636363636363626</c:v>
                </c:pt>
                <c:pt idx="4">
                  <c:v>-95.272727272727252</c:v>
                </c:pt>
                <c:pt idx="5">
                  <c:v>-93.090909090909122</c:v>
                </c:pt>
                <c:pt idx="6">
                  <c:v>-70.909090909090992</c:v>
                </c:pt>
                <c:pt idx="7">
                  <c:v>-76.181818181818244</c:v>
                </c:pt>
                <c:pt idx="8">
                  <c:v>-99.727272727272748</c:v>
                </c:pt>
                <c:pt idx="9">
                  <c:v>-131.5454545454545</c:v>
                </c:pt>
                <c:pt idx="10">
                  <c:v>-136.09090909090901</c:v>
                </c:pt>
                <c:pt idx="11">
                  <c:v>-145.09090909090901</c:v>
                </c:pt>
                <c:pt idx="12">
                  <c:v>-150</c:v>
                </c:pt>
                <c:pt idx="13">
                  <c:v>-157.63636363636351</c:v>
                </c:pt>
                <c:pt idx="14">
                  <c:v>-165</c:v>
                </c:pt>
                <c:pt idx="15">
                  <c:v>-146.81818181818198</c:v>
                </c:pt>
                <c:pt idx="16">
                  <c:v>-145.18181818181802</c:v>
                </c:pt>
                <c:pt idx="17">
                  <c:v>-131.36363636363649</c:v>
                </c:pt>
                <c:pt idx="18">
                  <c:v>-129.09090909090901</c:v>
                </c:pt>
                <c:pt idx="19">
                  <c:v>-131.81818181818198</c:v>
                </c:pt>
                <c:pt idx="20">
                  <c:v>-97.727272727272521</c:v>
                </c:pt>
                <c:pt idx="21">
                  <c:v>-101.4545454545455</c:v>
                </c:pt>
              </c:numCache>
            </c:numRef>
          </c:val>
          <c:extLst xmlns:c16r2="http://schemas.microsoft.com/office/drawing/2015/06/chart">
            <c:ext xmlns:c16="http://schemas.microsoft.com/office/drawing/2014/chart" uri="{C3380CC4-5D6E-409C-BE32-E72D297353CC}">
              <c16:uniqueId val="{00000009-6483-8A44-8E26-00FFF85A6785}"/>
            </c:ext>
          </c:extLst>
        </c:ser>
        <c:ser>
          <c:idx val="1"/>
          <c:order val="10"/>
          <c:tx>
            <c:strRef>
              <c:f>Etappes!$AB$32</c:f>
              <c:strCache>
                <c:ptCount val="1"/>
                <c:pt idx="0">
                  <c:v>Onder de vod</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Etappes!$AC$32:$AX$32</c:f>
              <c:numCache>
                <c:formatCode>0</c:formatCode>
                <c:ptCount val="22"/>
                <c:pt idx="0">
                  <c:v>9</c:v>
                </c:pt>
                <c:pt idx="1">
                  <c:v>15.818181818181813</c:v>
                </c:pt>
                <c:pt idx="2">
                  <c:v>27.272727272727252</c:v>
                </c:pt>
                <c:pt idx="3">
                  <c:v>-10.636363636363626</c:v>
                </c:pt>
                <c:pt idx="4">
                  <c:v>0.72727272727274794</c:v>
                </c:pt>
                <c:pt idx="5">
                  <c:v>19.909090909090878</c:v>
                </c:pt>
                <c:pt idx="6">
                  <c:v>10.090909090909008</c:v>
                </c:pt>
                <c:pt idx="7">
                  <c:v>-26.181818181818244</c:v>
                </c:pt>
                <c:pt idx="8">
                  <c:v>-72.727272727272748</c:v>
                </c:pt>
                <c:pt idx="9">
                  <c:v>-70.545454545454504</c:v>
                </c:pt>
                <c:pt idx="10">
                  <c:v>-66.090909090909008</c:v>
                </c:pt>
                <c:pt idx="11">
                  <c:v>-67.090909090909008</c:v>
                </c:pt>
                <c:pt idx="12">
                  <c:v>-60</c:v>
                </c:pt>
                <c:pt idx="13">
                  <c:v>-79.636363636363512</c:v>
                </c:pt>
                <c:pt idx="14">
                  <c:v>-128</c:v>
                </c:pt>
                <c:pt idx="15">
                  <c:v>-154.81818181818198</c:v>
                </c:pt>
                <c:pt idx="16">
                  <c:v>-214.18181818181802</c:v>
                </c:pt>
                <c:pt idx="17">
                  <c:v>-258.36363636363649</c:v>
                </c:pt>
                <c:pt idx="18">
                  <c:v>-257.09090909090901</c:v>
                </c:pt>
                <c:pt idx="19">
                  <c:v>-261.81818181818198</c:v>
                </c:pt>
                <c:pt idx="20">
                  <c:v>-256.72727272727252</c:v>
                </c:pt>
                <c:pt idx="21">
                  <c:v>-352.4545454545455</c:v>
                </c:pt>
              </c:numCache>
            </c:numRef>
          </c:val>
        </c:ser>
        <c:marker val="1"/>
        <c:axId val="120837248"/>
        <c:axId val="120838784"/>
      </c:lineChart>
      <c:catAx>
        <c:axId val="120837248"/>
        <c:scaling>
          <c:orientation val="minMax"/>
        </c:scaling>
        <c:axPos val="b"/>
        <c:numFmt formatCode="General" sourceLinked="1"/>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120838784"/>
        <c:crosses val="autoZero"/>
        <c:auto val="1"/>
        <c:lblAlgn val="ctr"/>
        <c:lblOffset val="100"/>
        <c:tickLblSkip val="1"/>
        <c:tickMarkSkip val="1"/>
      </c:catAx>
      <c:valAx>
        <c:axId val="120838784"/>
        <c:scaling>
          <c:orientation val="minMax"/>
          <c:max val="0"/>
        </c:scaling>
        <c:axPos val="l"/>
        <c:majorGridlines>
          <c:spPr>
            <a:ln w="12700">
              <a:solidFill>
                <a:srgbClr val="99CC00"/>
              </a:solidFill>
              <a:prstDash val="sysDot"/>
            </a:ln>
          </c:spPr>
        </c:majorGridlines>
        <c:numFmt formatCode="0" sourceLinked="0"/>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120837248"/>
        <c:crosses val="autoZero"/>
        <c:crossBetween val="midCat"/>
      </c:valAx>
      <c:spPr>
        <a:noFill/>
        <a:ln w="25400">
          <a:noFill/>
        </a:ln>
      </c:spPr>
    </c:plotArea>
    <c:legend>
      <c:legendPos val="r"/>
      <c:layout>
        <c:manualLayout>
          <c:xMode val="edge"/>
          <c:yMode val="edge"/>
          <c:x val="5.8255773871078907E-2"/>
          <c:y val="0.88587570621469502"/>
          <c:w val="0.87524301964840712"/>
          <c:h val="0.10056497175141373"/>
        </c:manualLayout>
      </c:layout>
      <c:spPr>
        <a:noFill/>
        <a:ln w="3175">
          <a:solidFill>
            <a:srgbClr val="000000"/>
          </a:solid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chart>
  <c:spPr>
    <a:solidFill>
      <a:srgbClr val="00000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chart3.xml><?xml version="1.0" encoding="utf-8"?>
<c:chartSpace xmlns:c="http://schemas.openxmlformats.org/drawingml/2006/chart" xmlns:a="http://schemas.openxmlformats.org/drawingml/2006/main" xmlns:r="http://schemas.openxmlformats.org/officeDocument/2006/relationships">
  <c:lang val="nl-NL"/>
  <c:chart>
    <c:title>
      <c:tx>
        <c:rich>
          <a:bodyPr/>
          <a:lstStyle/>
          <a:p>
            <a:pPr>
              <a:defRPr sz="1600" b="1" i="0" u="none" strike="noStrike" baseline="0">
                <a:solidFill>
                  <a:srgbClr val="FFFF00"/>
                </a:solidFill>
                <a:latin typeface="Arial"/>
                <a:ea typeface="Arial"/>
                <a:cs typeface="Arial"/>
              </a:defRPr>
            </a:pPr>
            <a:r>
              <a:rPr lang="nl-NL"/>
              <a:t>TourToto 2020 - met originaliteitsfactor</a:t>
            </a:r>
          </a:p>
        </c:rich>
      </c:tx>
      <c:layout>
        <c:manualLayout>
          <c:xMode val="edge"/>
          <c:yMode val="edge"/>
          <c:x val="0.33092037228545584"/>
          <c:y val="2.0338983050847428E-2"/>
        </c:manualLayout>
      </c:layout>
      <c:spPr>
        <a:noFill/>
        <a:ln w="25400">
          <a:noFill/>
        </a:ln>
      </c:spPr>
    </c:title>
    <c:plotArea>
      <c:layout>
        <c:manualLayout>
          <c:layoutTarget val="inner"/>
          <c:xMode val="edge"/>
          <c:yMode val="edge"/>
          <c:x val="1.9648397104446741E-2"/>
          <c:y val="0.10508474576271735"/>
          <c:w val="0.93726301275422252"/>
          <c:h val="0.7525423728813555"/>
        </c:manualLayout>
      </c:layout>
      <c:lineChart>
        <c:grouping val="standard"/>
        <c:ser>
          <c:idx val="3"/>
          <c:order val="0"/>
          <c:tx>
            <c:strRef>
              <c:f>Etappes!$AB$37</c:f>
              <c:strCache>
                <c:ptCount val="1"/>
                <c:pt idx="0">
                  <c:v>Britless</c:v>
                </c:pt>
              </c:strCache>
            </c:strRef>
          </c:tx>
          <c:spPr>
            <a:ln w="25400">
              <a:solidFill>
                <a:srgbClr val="00FFFF"/>
              </a:solidFill>
              <a:prstDash val="solid"/>
            </a:ln>
          </c:spPr>
          <c:marker>
            <c:symbol val="x"/>
            <c:size val="7"/>
            <c:spPr>
              <a:noFill/>
              <a:ln>
                <a:solidFill>
                  <a:srgbClr val="00FFFF"/>
                </a:solidFill>
                <a:prstDash val="solid"/>
              </a:ln>
            </c:spPr>
          </c:marker>
          <c:cat>
            <c:strRef>
              <c:f>Etappes!$AC$36:$AX$36</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Etappes!$AC$37:$AX$37</c:f>
              <c:numCache>
                <c:formatCode>0</c:formatCode>
                <c:ptCount val="22"/>
                <c:pt idx="0">
                  <c:v>37.230199897795188</c:v>
                </c:pt>
                <c:pt idx="1">
                  <c:v>16.654533344483809</c:v>
                </c:pt>
                <c:pt idx="2">
                  <c:v>34.440449148963125</c:v>
                </c:pt>
                <c:pt idx="3">
                  <c:v>15.820366618915841</c:v>
                </c:pt>
                <c:pt idx="4">
                  <c:v>10.241200831654737</c:v>
                </c:pt>
                <c:pt idx="5">
                  <c:v>7.7378673584366879</c:v>
                </c:pt>
                <c:pt idx="6">
                  <c:v>-9.1250612773251305</c:v>
                </c:pt>
                <c:pt idx="7">
                  <c:v>-16.840962009907571</c:v>
                </c:pt>
                <c:pt idx="8">
                  <c:v>-5.8667856738452429</c:v>
                </c:pt>
                <c:pt idx="9">
                  <c:v>44.223272635129661</c:v>
                </c:pt>
                <c:pt idx="10">
                  <c:v>54.526282500520438</c:v>
                </c:pt>
                <c:pt idx="11">
                  <c:v>56.47629962320093</c:v>
                </c:pt>
                <c:pt idx="12">
                  <c:v>51.216849916543879</c:v>
                </c:pt>
                <c:pt idx="13">
                  <c:v>85.013700760783195</c:v>
                </c:pt>
                <c:pt idx="14">
                  <c:v>116.69195598779197</c:v>
                </c:pt>
                <c:pt idx="15">
                  <c:v>128.82761661105042</c:v>
                </c:pt>
                <c:pt idx="16">
                  <c:v>160.71563140501166</c:v>
                </c:pt>
                <c:pt idx="17">
                  <c:v>183.00466583133993</c:v>
                </c:pt>
                <c:pt idx="18">
                  <c:v>224.19415937729309</c:v>
                </c:pt>
                <c:pt idx="19">
                  <c:v>214.54798530142625</c:v>
                </c:pt>
                <c:pt idx="20">
                  <c:v>233.19518711530463</c:v>
                </c:pt>
                <c:pt idx="21">
                  <c:v>294.29615588951992</c:v>
                </c:pt>
              </c:numCache>
            </c:numRef>
          </c:val>
          <c:extLst xmlns:c16r2="http://schemas.microsoft.com/office/drawing/2015/06/chart">
            <c:ext xmlns:c16="http://schemas.microsoft.com/office/drawing/2014/chart" uri="{C3380CC4-5D6E-409C-BE32-E72D297353CC}">
              <c16:uniqueId val="{00000000-3117-C849-85EF-3428DB73AAD1}"/>
            </c:ext>
          </c:extLst>
        </c:ser>
        <c:ser>
          <c:idx val="8"/>
          <c:order val="1"/>
          <c:tx>
            <c:strRef>
              <c:f>Etappes!$AB$38</c:f>
              <c:strCache>
                <c:ptCount val="1"/>
                <c:pt idx="0">
                  <c:v>Lothar blijft positief</c:v>
                </c:pt>
              </c:strCache>
            </c:strRef>
          </c:tx>
          <c:spPr>
            <a:ln w="19050">
              <a:solidFill>
                <a:srgbClr val="FF9900"/>
              </a:solidFill>
              <a:prstDash val="solid"/>
            </a:ln>
          </c:spPr>
          <c:marker>
            <c:symbol val="dash"/>
            <c:size val="7"/>
            <c:spPr>
              <a:noFill/>
              <a:ln w="19050">
                <a:solidFill>
                  <a:srgbClr val="00CCFF"/>
                </a:solidFill>
                <a:prstDash val="solid"/>
              </a:ln>
            </c:spPr>
          </c:marker>
          <c:cat>
            <c:strRef>
              <c:f>Etappes!$AC$36:$AX$36</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Etappes!$AC$38:$AX$38</c:f>
              <c:numCache>
                <c:formatCode>0</c:formatCode>
                <c:ptCount val="22"/>
                <c:pt idx="0">
                  <c:v>-18.699230796207573</c:v>
                </c:pt>
                <c:pt idx="1">
                  <c:v>-22.320376844987777</c:v>
                </c:pt>
                <c:pt idx="2">
                  <c:v>-12.406424423791293</c:v>
                </c:pt>
                <c:pt idx="3">
                  <c:v>1.8023119505776322</c:v>
                </c:pt>
                <c:pt idx="4">
                  <c:v>19.621750257632925</c:v>
                </c:pt>
                <c:pt idx="5">
                  <c:v>10.221136564519611</c:v>
                </c:pt>
                <c:pt idx="6">
                  <c:v>36.65400653681354</c:v>
                </c:pt>
                <c:pt idx="7">
                  <c:v>58.600756470891838</c:v>
                </c:pt>
                <c:pt idx="8">
                  <c:v>71.971287590824204</c:v>
                </c:pt>
                <c:pt idx="9">
                  <c:v>65.833922901066217</c:v>
                </c:pt>
                <c:pt idx="10">
                  <c:v>77.148864967935879</c:v>
                </c:pt>
                <c:pt idx="11">
                  <c:v>74.535874924438986</c:v>
                </c:pt>
                <c:pt idx="12">
                  <c:v>95.003094192800972</c:v>
                </c:pt>
                <c:pt idx="13">
                  <c:v>90.632097339545908</c:v>
                </c:pt>
                <c:pt idx="14">
                  <c:v>103.21401237177679</c:v>
                </c:pt>
                <c:pt idx="15">
                  <c:v>112.58082783025247</c:v>
                </c:pt>
                <c:pt idx="16">
                  <c:v>142.96025658151893</c:v>
                </c:pt>
                <c:pt idx="17">
                  <c:v>167.76980925202088</c:v>
                </c:pt>
                <c:pt idx="18">
                  <c:v>157.99020234312229</c:v>
                </c:pt>
                <c:pt idx="19">
                  <c:v>176.58500731343338</c:v>
                </c:pt>
                <c:pt idx="20">
                  <c:v>166.56907431609943</c:v>
                </c:pt>
                <c:pt idx="21">
                  <c:v>219.07793163726774</c:v>
                </c:pt>
              </c:numCache>
            </c:numRef>
          </c:val>
          <c:extLst xmlns:c16r2="http://schemas.microsoft.com/office/drawing/2015/06/chart">
            <c:ext xmlns:c16="http://schemas.microsoft.com/office/drawing/2014/chart" uri="{C3380CC4-5D6E-409C-BE32-E72D297353CC}">
              <c16:uniqueId val="{00000001-3117-C849-85EF-3428DB73AAD1}"/>
            </c:ext>
          </c:extLst>
        </c:ser>
        <c:ser>
          <c:idx val="7"/>
          <c:order val="2"/>
          <c:tx>
            <c:strRef>
              <c:f>Etappes!$AB$39</c:f>
              <c:strCache>
                <c:ptCount val="1"/>
                <c:pt idx="0">
                  <c:v>Tins Tour Toppers</c:v>
                </c:pt>
              </c:strCache>
            </c:strRef>
          </c:tx>
          <c:spPr>
            <a:ln w="38100">
              <a:solidFill>
                <a:srgbClr val="0000FF"/>
              </a:solidFill>
              <a:prstDash val="solid"/>
            </a:ln>
          </c:spPr>
          <c:marker>
            <c:symbol val="circle"/>
            <c:size val="5"/>
            <c:spPr>
              <a:solidFill>
                <a:srgbClr val="FF0000"/>
              </a:solidFill>
              <a:ln>
                <a:solidFill>
                  <a:srgbClr val="0000FF"/>
                </a:solidFill>
                <a:prstDash val="solid"/>
              </a:ln>
            </c:spPr>
          </c:marker>
          <c:cat>
            <c:strRef>
              <c:f>Etappes!$AC$36:$AX$36</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Etappes!$AC$39:$AX$39</c:f>
              <c:numCache>
                <c:formatCode>0</c:formatCode>
                <c:ptCount val="22"/>
                <c:pt idx="0">
                  <c:v>-0.28549223559294035</c:v>
                </c:pt>
                <c:pt idx="1">
                  <c:v>-9.128269410493175</c:v>
                </c:pt>
                <c:pt idx="2">
                  <c:v>-8.365387061844558</c:v>
                </c:pt>
                <c:pt idx="3">
                  <c:v>7.769890380429274</c:v>
                </c:pt>
                <c:pt idx="4">
                  <c:v>-19.578661593576498</c:v>
                </c:pt>
                <c:pt idx="5">
                  <c:v>-13.008954665856891</c:v>
                </c:pt>
                <c:pt idx="6">
                  <c:v>-48.313502878768759</c:v>
                </c:pt>
                <c:pt idx="7">
                  <c:v>-40.933282970312348</c:v>
                </c:pt>
                <c:pt idx="8">
                  <c:v>-12.226780117759517</c:v>
                </c:pt>
                <c:pt idx="9">
                  <c:v>-0.33806390081053905</c:v>
                </c:pt>
                <c:pt idx="10">
                  <c:v>-9.3810222649105981</c:v>
                </c:pt>
                <c:pt idx="11">
                  <c:v>-14.778099095562538</c:v>
                </c:pt>
                <c:pt idx="12">
                  <c:v>-31.197092956597771</c:v>
                </c:pt>
                <c:pt idx="13">
                  <c:v>-32.143780533668178</c:v>
                </c:pt>
                <c:pt idx="14">
                  <c:v>-42.692105517928667</c:v>
                </c:pt>
                <c:pt idx="15">
                  <c:v>-58.017907893208303</c:v>
                </c:pt>
                <c:pt idx="16">
                  <c:v>-67.073835025822973</c:v>
                </c:pt>
                <c:pt idx="17">
                  <c:v>-85.758296403598706</c:v>
                </c:pt>
                <c:pt idx="18">
                  <c:v>-96.548162652984502</c:v>
                </c:pt>
                <c:pt idx="19">
                  <c:v>-144.37203571885493</c:v>
                </c:pt>
                <c:pt idx="20">
                  <c:v>-149.06648637618309</c:v>
                </c:pt>
                <c:pt idx="21">
                  <c:v>-163.45794235817311</c:v>
                </c:pt>
              </c:numCache>
            </c:numRef>
          </c:val>
          <c:extLst xmlns:c16r2="http://schemas.microsoft.com/office/drawing/2015/06/chart">
            <c:ext xmlns:c16="http://schemas.microsoft.com/office/drawing/2014/chart" uri="{C3380CC4-5D6E-409C-BE32-E72D297353CC}">
              <c16:uniqueId val="{00000002-3117-C849-85EF-3428DB73AAD1}"/>
            </c:ext>
          </c:extLst>
        </c:ser>
        <c:ser>
          <c:idx val="6"/>
          <c:order val="3"/>
          <c:tx>
            <c:strRef>
              <c:f>Etappes!$AB$40</c:f>
              <c:strCache>
                <c:ptCount val="1"/>
                <c:pt idx="0">
                  <c:v>Am Selfkant</c:v>
                </c:pt>
              </c:strCache>
            </c:strRef>
          </c:tx>
          <c:spPr>
            <a:ln w="38100">
              <a:solidFill>
                <a:srgbClr val="00FF00"/>
              </a:solidFill>
              <a:prstDash val="sysDot"/>
            </a:ln>
          </c:spPr>
          <c:marker>
            <c:symbol val="circle"/>
            <c:size val="6"/>
            <c:spPr>
              <a:solidFill>
                <a:srgbClr val="FFFF00"/>
              </a:solidFill>
              <a:ln>
                <a:solidFill>
                  <a:srgbClr val="008080"/>
                </a:solidFill>
                <a:prstDash val="sysDot"/>
              </a:ln>
            </c:spPr>
          </c:marker>
          <c:cat>
            <c:strRef>
              <c:f>Etappes!$AC$36:$AX$36</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Etappes!$AC$40:$AX$40</c:f>
              <c:numCache>
                <c:formatCode>0</c:formatCode>
                <c:ptCount val="22"/>
                <c:pt idx="0">
                  <c:v>7.784835286666862</c:v>
                </c:pt>
                <c:pt idx="1">
                  <c:v>25.743298638747262</c:v>
                </c:pt>
                <c:pt idx="2">
                  <c:v>19.96298967749965</c:v>
                </c:pt>
                <c:pt idx="3">
                  <c:v>20.439247342230033</c:v>
                </c:pt>
                <c:pt idx="4">
                  <c:v>35.316011640077022</c:v>
                </c:pt>
                <c:pt idx="5">
                  <c:v>30.819854628977396</c:v>
                </c:pt>
                <c:pt idx="6">
                  <c:v>57.252724601271439</c:v>
                </c:pt>
                <c:pt idx="7">
                  <c:v>55.658082461683534</c:v>
                </c:pt>
                <c:pt idx="8">
                  <c:v>64.124156899601985</c:v>
                </c:pt>
                <c:pt idx="9">
                  <c:v>48.177878845816622</c:v>
                </c:pt>
                <c:pt idx="10">
                  <c:v>46.741233539450377</c:v>
                </c:pt>
                <c:pt idx="11">
                  <c:v>42.1664608231481</c:v>
                </c:pt>
                <c:pt idx="12">
                  <c:v>34.187831335829969</c:v>
                </c:pt>
                <c:pt idx="13">
                  <c:v>24.912377800560989</c:v>
                </c:pt>
                <c:pt idx="14">
                  <c:v>12.972009422723204</c:v>
                </c:pt>
                <c:pt idx="15">
                  <c:v>61.574478337309301</c:v>
                </c:pt>
                <c:pt idx="16">
                  <c:v>59.584492987284648</c:v>
                </c:pt>
                <c:pt idx="17">
                  <c:v>69.680675611745301</c:v>
                </c:pt>
                <c:pt idx="18">
                  <c:v>69.70998206687409</c:v>
                </c:pt>
                <c:pt idx="19">
                  <c:v>56.916264272297212</c:v>
                </c:pt>
                <c:pt idx="20">
                  <c:v>45.919439938560572</c:v>
                </c:pt>
                <c:pt idx="21">
                  <c:v>36.632143066355184</c:v>
                </c:pt>
              </c:numCache>
            </c:numRef>
          </c:val>
          <c:extLst xmlns:c16r2="http://schemas.microsoft.com/office/drawing/2015/06/chart">
            <c:ext xmlns:c16="http://schemas.microsoft.com/office/drawing/2014/chart" uri="{C3380CC4-5D6E-409C-BE32-E72D297353CC}">
              <c16:uniqueId val="{00000003-3117-C849-85EF-3428DB73AAD1}"/>
            </c:ext>
          </c:extLst>
        </c:ser>
        <c:ser>
          <c:idx val="4"/>
          <c:order val="4"/>
          <c:tx>
            <c:strRef>
              <c:f>Etappes!$AB$41</c:f>
              <c:strCache>
                <c:ptCount val="1"/>
                <c:pt idx="0">
                  <c:v>De Lange Man</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Etappes!$AC$36:$AX$36</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Etappes!$AC$41:$AX$41</c:f>
              <c:numCache>
                <c:formatCode>0</c:formatCode>
                <c:ptCount val="22"/>
                <c:pt idx="0">
                  <c:v>-15.135122524185135</c:v>
                </c:pt>
                <c:pt idx="1">
                  <c:v>-1.9470810131193446</c:v>
                </c:pt>
                <c:pt idx="2">
                  <c:v>-21.045579175462763</c:v>
                </c:pt>
                <c:pt idx="3">
                  <c:v>-1.4937266394465496</c:v>
                </c:pt>
                <c:pt idx="4">
                  <c:v>-15.245585880460112</c:v>
                </c:pt>
                <c:pt idx="5">
                  <c:v>-43.027250268772832</c:v>
                </c:pt>
                <c:pt idx="6">
                  <c:v>-34.299164293910053</c:v>
                </c:pt>
                <c:pt idx="7">
                  <c:v>-31.629061492616529</c:v>
                </c:pt>
                <c:pt idx="8">
                  <c:v>-23.242189460742793</c:v>
                </c:pt>
                <c:pt idx="9">
                  <c:v>-50.617983956090939</c:v>
                </c:pt>
                <c:pt idx="10">
                  <c:v>-71.221611525333174</c:v>
                </c:pt>
                <c:pt idx="11">
                  <c:v>-84.727978646396195</c:v>
                </c:pt>
                <c:pt idx="12">
                  <c:v>-88.356568294015005</c:v>
                </c:pt>
                <c:pt idx="13">
                  <c:v>-104.67494347451111</c:v>
                </c:pt>
                <c:pt idx="14">
                  <c:v>-64.670718472411863</c:v>
                </c:pt>
                <c:pt idx="15">
                  <c:v>-70.425470075747398</c:v>
                </c:pt>
                <c:pt idx="16">
                  <c:v>-15.883214988000873</c:v>
                </c:pt>
                <c:pt idx="17">
                  <c:v>45.840751392217499</c:v>
                </c:pt>
                <c:pt idx="18">
                  <c:v>31.924341890663527</c:v>
                </c:pt>
                <c:pt idx="19">
                  <c:v>68.169098423451942</c:v>
                </c:pt>
                <c:pt idx="20">
                  <c:v>68.73582537227685</c:v>
                </c:pt>
                <c:pt idx="21">
                  <c:v>152.8159802415139</c:v>
                </c:pt>
              </c:numCache>
            </c:numRef>
          </c:val>
          <c:extLst xmlns:c16r2="http://schemas.microsoft.com/office/drawing/2015/06/chart">
            <c:ext xmlns:c16="http://schemas.microsoft.com/office/drawing/2014/chart" uri="{C3380CC4-5D6E-409C-BE32-E72D297353CC}">
              <c16:uniqueId val="{00000004-3117-C849-85EF-3428DB73AAD1}"/>
            </c:ext>
          </c:extLst>
        </c:ser>
        <c:ser>
          <c:idx val="9"/>
          <c:order val="5"/>
          <c:tx>
            <c:strRef>
              <c:f>Etappes!$AB$42</c:f>
              <c:strCache>
                <c:ptCount val="1"/>
                <c:pt idx="0">
                  <c:v>Majella sykler på</c:v>
                </c:pt>
              </c:strCache>
            </c:strRef>
          </c:tx>
          <c:spPr>
            <a:ln>
              <a:prstDash val="lgDash"/>
            </a:ln>
          </c:spPr>
          <c:marker>
            <c:spPr>
              <a:ln>
                <a:prstDash val="lgDash"/>
              </a:ln>
            </c:spPr>
          </c:marker>
          <c:cat>
            <c:strRef>
              <c:f>Etappes!$AC$36:$AX$36</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Etappes!$AC$42:$AX$42</c:f>
              <c:numCache>
                <c:formatCode>0</c:formatCode>
                <c:ptCount val="22"/>
                <c:pt idx="0">
                  <c:v>36.596688272347819</c:v>
                </c:pt>
                <c:pt idx="1">
                  <c:v>113.97959840739526</c:v>
                </c:pt>
                <c:pt idx="2">
                  <c:v>146.43941139665509</c:v>
                </c:pt>
                <c:pt idx="3">
                  <c:v>212.50362707756972</c:v>
                </c:pt>
                <c:pt idx="4">
                  <c:v>233.10469753263271</c:v>
                </c:pt>
                <c:pt idx="5">
                  <c:v>275.71328492266559</c:v>
                </c:pt>
                <c:pt idx="6">
                  <c:v>266.59982407725965</c:v>
                </c:pt>
                <c:pt idx="7">
                  <c:v>266.13247496607482</c:v>
                </c:pt>
                <c:pt idx="8">
                  <c:v>318.27017412771625</c:v>
                </c:pt>
                <c:pt idx="9">
                  <c:v>342.45991993584357</c:v>
                </c:pt>
                <c:pt idx="10">
                  <c:v>335.58445177166209</c:v>
                </c:pt>
                <c:pt idx="11">
                  <c:v>388.33326155812074</c:v>
                </c:pt>
                <c:pt idx="12">
                  <c:v>446.54283702418866</c:v>
                </c:pt>
                <c:pt idx="13">
                  <c:v>498.81465480589259</c:v>
                </c:pt>
                <c:pt idx="14">
                  <c:v>506.33107129490963</c:v>
                </c:pt>
                <c:pt idx="15">
                  <c:v>528.64711641082158</c:v>
                </c:pt>
                <c:pt idx="16">
                  <c:v>502.23732883512821</c:v>
                </c:pt>
                <c:pt idx="17">
                  <c:v>470.2064245864708</c:v>
                </c:pt>
                <c:pt idx="18">
                  <c:v>482.40171164683352</c:v>
                </c:pt>
                <c:pt idx="19">
                  <c:v>494.88424597612766</c:v>
                </c:pt>
                <c:pt idx="20">
                  <c:v>478.98296496037756</c:v>
                </c:pt>
                <c:pt idx="21">
                  <c:v>465.85994375776136</c:v>
                </c:pt>
              </c:numCache>
            </c:numRef>
          </c:val>
          <c:extLst xmlns:c16r2="http://schemas.microsoft.com/office/drawing/2015/06/chart">
            <c:ext xmlns:c16="http://schemas.microsoft.com/office/drawing/2014/chart" uri="{C3380CC4-5D6E-409C-BE32-E72D297353CC}">
              <c16:uniqueId val="{00000005-3117-C849-85EF-3428DB73AAD1}"/>
            </c:ext>
          </c:extLst>
        </c:ser>
        <c:ser>
          <c:idx val="5"/>
          <c:order val="6"/>
          <c:tx>
            <c:strRef>
              <c:f>Etappes!$AB$43</c:f>
              <c:strCache>
                <c:ptCount val="1"/>
                <c:pt idx="0">
                  <c:v>Kol de la Madeleine</c:v>
                </c:pt>
              </c:strCache>
            </c:strRef>
          </c:tx>
          <c:spPr>
            <a:ln w="28575">
              <a:solidFill>
                <a:schemeClr val="tx2">
                  <a:lumMod val="60000"/>
                  <a:lumOff val="40000"/>
                </a:schemeClr>
              </a:solidFill>
              <a:prstDash val="solid"/>
            </a:ln>
          </c:spPr>
          <c:marker>
            <c:symbol val="circle"/>
            <c:size val="5"/>
            <c:spPr>
              <a:solidFill>
                <a:srgbClr val="800000"/>
              </a:solidFill>
              <a:ln>
                <a:solidFill>
                  <a:srgbClr val="800000"/>
                </a:solidFill>
                <a:prstDash val="solid"/>
              </a:ln>
            </c:spPr>
          </c:marker>
          <c:cat>
            <c:strRef>
              <c:f>Etappes!$AC$36:$AX$36</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Etappes!$AC$43:$AX$43</c:f>
              <c:numCache>
                <c:formatCode>0</c:formatCode>
                <c:ptCount val="22"/>
                <c:pt idx="0">
                  <c:v>1.8204893082715756</c:v>
                </c:pt>
                <c:pt idx="1">
                  <c:v>-25.62512483743194</c:v>
                </c:pt>
                <c:pt idx="2">
                  <c:v>-24.348282707244948</c:v>
                </c:pt>
                <c:pt idx="3">
                  <c:v>-69.361683663608915</c:v>
                </c:pt>
                <c:pt idx="4">
                  <c:v>-67.289172045650162</c:v>
                </c:pt>
                <c:pt idx="5">
                  <c:v>-73.681280096239561</c:v>
                </c:pt>
                <c:pt idx="6">
                  <c:v>-45.800114191001967</c:v>
                </c:pt>
                <c:pt idx="7">
                  <c:v>-48.454645626971342</c:v>
                </c:pt>
                <c:pt idx="8">
                  <c:v>-70.962354664052555</c:v>
                </c:pt>
                <c:pt idx="9">
                  <c:v>-69.120925395957102</c:v>
                </c:pt>
                <c:pt idx="10">
                  <c:v>-55.975863922913277</c:v>
                </c:pt>
                <c:pt idx="11">
                  <c:v>-63.585474935065804</c:v>
                </c:pt>
                <c:pt idx="12">
                  <c:v>-85.645490788595225</c:v>
                </c:pt>
                <c:pt idx="13">
                  <c:v>-88.271949358986149</c:v>
                </c:pt>
                <c:pt idx="14">
                  <c:v>-89.863584979608277</c:v>
                </c:pt>
                <c:pt idx="15">
                  <c:v>-73.117043426451801</c:v>
                </c:pt>
                <c:pt idx="16">
                  <c:v>-56.04877093160394</c:v>
                </c:pt>
                <c:pt idx="17">
                  <c:v>-32.845510114002991</c:v>
                </c:pt>
                <c:pt idx="18">
                  <c:v>-46.443351755207914</c:v>
                </c:pt>
                <c:pt idx="19">
                  <c:v>-25.860431458764651</c:v>
                </c:pt>
                <c:pt idx="20">
                  <c:v>-22.92069901958439</c:v>
                </c:pt>
                <c:pt idx="21">
                  <c:v>-10.141232404393122</c:v>
                </c:pt>
              </c:numCache>
            </c:numRef>
          </c:val>
          <c:extLst xmlns:c16r2="http://schemas.microsoft.com/office/drawing/2015/06/chart">
            <c:ext xmlns:c16="http://schemas.microsoft.com/office/drawing/2014/chart" uri="{C3380CC4-5D6E-409C-BE32-E72D297353CC}">
              <c16:uniqueId val="{00000006-3117-C849-85EF-3428DB73AAD1}"/>
            </c:ext>
          </c:extLst>
        </c:ser>
        <c:ser>
          <c:idx val="2"/>
          <c:order val="7"/>
          <c:tx>
            <c:strRef>
              <c:f>Etappes!$AB$44</c:f>
              <c:strCache>
                <c:ptCount val="1"/>
                <c:pt idx="0">
                  <c:v>Equipe l'Ami</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Etappes!$AC$36:$AX$36</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Etappes!$AC$44:$AX$44</c:f>
              <c:numCache>
                <c:formatCode>0</c:formatCode>
                <c:ptCount val="22"/>
                <c:pt idx="0">
                  <c:v>14.123845548169669</c:v>
                </c:pt>
                <c:pt idx="1">
                  <c:v>-5.8424241552302192</c:v>
                </c:pt>
                <c:pt idx="2">
                  <c:v>-1.8608207956528986</c:v>
                </c:pt>
                <c:pt idx="3">
                  <c:v>4.0430355971726613</c:v>
                </c:pt>
                <c:pt idx="4">
                  <c:v>24.55277274667435</c:v>
                </c:pt>
                <c:pt idx="5">
                  <c:v>14.46042630903537</c:v>
                </c:pt>
                <c:pt idx="6">
                  <c:v>25.920398735864637</c:v>
                </c:pt>
                <c:pt idx="7">
                  <c:v>36.59813768120739</c:v>
                </c:pt>
                <c:pt idx="8">
                  <c:v>12.586491266107259</c:v>
                </c:pt>
                <c:pt idx="9">
                  <c:v>14.825529884505386</c:v>
                </c:pt>
                <c:pt idx="10">
                  <c:v>36.670749152382314</c:v>
                </c:pt>
                <c:pt idx="11">
                  <c:v>27.493961249456788</c:v>
                </c:pt>
                <c:pt idx="12">
                  <c:v>16.017841090777665</c:v>
                </c:pt>
                <c:pt idx="13">
                  <c:v>2.3324635889316596</c:v>
                </c:pt>
                <c:pt idx="14">
                  <c:v>-11.849650197309984</c:v>
                </c:pt>
                <c:pt idx="15">
                  <c:v>-48.810536909498296</c:v>
                </c:pt>
                <c:pt idx="16">
                  <c:v>-58.207273611172695</c:v>
                </c:pt>
                <c:pt idx="17">
                  <c:v>-75.85601114158726</c:v>
                </c:pt>
                <c:pt idx="18">
                  <c:v>-89.016627875649192</c:v>
                </c:pt>
                <c:pt idx="19">
                  <c:v>-92.734035523074454</c:v>
                </c:pt>
                <c:pt idx="20">
                  <c:v>-76.30575114807516</c:v>
                </c:pt>
                <c:pt idx="21">
                  <c:v>-124.5589563588801</c:v>
                </c:pt>
              </c:numCache>
            </c:numRef>
          </c:val>
          <c:extLst xmlns:c16r2="http://schemas.microsoft.com/office/drawing/2015/06/chart">
            <c:ext xmlns:c16="http://schemas.microsoft.com/office/drawing/2014/chart" uri="{C3380CC4-5D6E-409C-BE32-E72D297353CC}">
              <c16:uniqueId val="{00000007-3117-C849-85EF-3428DB73AAD1}"/>
            </c:ext>
          </c:extLst>
        </c:ser>
        <c:ser>
          <c:idx val="10"/>
          <c:order val="8"/>
          <c:tx>
            <c:strRef>
              <c:f>Etappes!$AB$45</c:f>
              <c:strCache>
                <c:ptCount val="1"/>
                <c:pt idx="0">
                  <c:v>Prajak Mahawong</c:v>
                </c:pt>
              </c:strCache>
            </c:strRef>
          </c:tx>
          <c:spPr>
            <a:ln>
              <a:prstDash val="sysDash"/>
            </a:ln>
          </c:spPr>
          <c:marker>
            <c:symbol val="square"/>
            <c:size val="5"/>
            <c:spPr>
              <a:ln>
                <a:prstDash val="sysDash"/>
              </a:ln>
            </c:spPr>
          </c:marker>
          <c:cat>
            <c:strRef>
              <c:f>Etappes!$AC$36:$AX$36</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Etappes!$AC$45:$AX$45</c:f>
              <c:numCache>
                <c:formatCode>0</c:formatCode>
                <c:ptCount val="22"/>
                <c:pt idx="0">
                  <c:v>-18.681066141829746</c:v>
                </c:pt>
                <c:pt idx="1">
                  <c:v>-36.234502098404647</c:v>
                </c:pt>
                <c:pt idx="2">
                  <c:v>-55.12969152044468</c:v>
                </c:pt>
                <c:pt idx="3">
                  <c:v>-77.722544915556909</c:v>
                </c:pt>
                <c:pt idx="4">
                  <c:v>-105.04227273740628</c:v>
                </c:pt>
                <c:pt idx="5">
                  <c:v>-110.55565039366422</c:v>
                </c:pt>
                <c:pt idx="6">
                  <c:v>-158.65235733360203</c:v>
                </c:pt>
                <c:pt idx="7">
                  <c:v>-145.22483030272542</c:v>
                </c:pt>
                <c:pt idx="8">
                  <c:v>-146.02272959749962</c:v>
                </c:pt>
                <c:pt idx="9">
                  <c:v>-153.97655972504026</c:v>
                </c:pt>
                <c:pt idx="10">
                  <c:v>-169.54530613735733</c:v>
                </c:pt>
                <c:pt idx="11">
                  <c:v>-168.18023687210962</c:v>
                </c:pt>
                <c:pt idx="12">
                  <c:v>-178.33862488476734</c:v>
                </c:pt>
                <c:pt idx="13">
                  <c:v>-186.56052846612192</c:v>
                </c:pt>
                <c:pt idx="14">
                  <c:v>-180.75402951682099</c:v>
                </c:pt>
                <c:pt idx="15">
                  <c:v>-219.92317055590411</c:v>
                </c:pt>
                <c:pt idx="16">
                  <c:v>-245.94499364779631</c:v>
                </c:pt>
                <c:pt idx="17">
                  <c:v>-285.96509245176503</c:v>
                </c:pt>
                <c:pt idx="18">
                  <c:v>-279.28752249435092</c:v>
                </c:pt>
                <c:pt idx="19">
                  <c:v>-281.07345973596375</c:v>
                </c:pt>
                <c:pt idx="20">
                  <c:v>-313.34109434613765</c:v>
                </c:pt>
                <c:pt idx="21">
                  <c:v>-333.14572610310597</c:v>
                </c:pt>
              </c:numCache>
            </c:numRef>
          </c:val>
          <c:extLst xmlns:c16r2="http://schemas.microsoft.com/office/drawing/2015/06/chart">
            <c:ext xmlns:c16="http://schemas.microsoft.com/office/drawing/2014/chart" uri="{C3380CC4-5D6E-409C-BE32-E72D297353CC}">
              <c16:uniqueId val="{00000008-3117-C849-85EF-3428DB73AAD1}"/>
            </c:ext>
          </c:extLst>
        </c:ser>
        <c:ser>
          <c:idx val="0"/>
          <c:order val="9"/>
          <c:tx>
            <c:strRef>
              <c:f>Etappes!$AB$46</c:f>
              <c:strCache>
                <c:ptCount val="1"/>
                <c:pt idx="0">
                  <c:v>Freaky's monstermannnen</c:v>
                </c:pt>
              </c:strCache>
            </c:strRef>
          </c:tx>
          <c:spPr>
            <a:ln w="38100">
              <a:solidFill>
                <a:srgbClr val="FF0000"/>
              </a:solidFill>
              <a:prstDash val="dashDot"/>
            </a:ln>
          </c:spPr>
          <c:marker>
            <c:symbol val="triangle"/>
            <c:size val="5"/>
            <c:spPr>
              <a:solidFill>
                <a:srgbClr val="000080"/>
              </a:solidFill>
              <a:ln>
                <a:solidFill>
                  <a:srgbClr val="FFCC00"/>
                </a:solidFill>
                <a:prstDash val="dashDot"/>
              </a:ln>
            </c:spPr>
          </c:marker>
          <c:cat>
            <c:strRef>
              <c:f>Etappes!$AC$36:$AX$36</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Etappes!$AC$46:$AX$46</c:f>
              <c:numCache>
                <c:formatCode>0</c:formatCode>
                <c:ptCount val="22"/>
                <c:pt idx="0">
                  <c:v>-53.030427570304056</c:v>
                </c:pt>
                <c:pt idx="1">
                  <c:v>-69.403160992320096</c:v>
                </c:pt>
                <c:pt idx="2">
                  <c:v>-102.64842737284494</c:v>
                </c:pt>
                <c:pt idx="3">
                  <c:v>-100.21038703530905</c:v>
                </c:pt>
                <c:pt idx="4">
                  <c:v>-112.79858015673926</c:v>
                </c:pt>
                <c:pt idx="5">
                  <c:v>-114.35206315863047</c:v>
                </c:pt>
                <c:pt idx="6">
                  <c:v>-95.766323877558534</c:v>
                </c:pt>
                <c:pt idx="7">
                  <c:v>-103.24631403556305</c:v>
                </c:pt>
                <c:pt idx="8">
                  <c:v>-131.07321904454648</c:v>
                </c:pt>
                <c:pt idx="9">
                  <c:v>-165.65643248998435</c:v>
                </c:pt>
                <c:pt idx="10">
                  <c:v>-172.97842581476698</c:v>
                </c:pt>
                <c:pt idx="11">
                  <c:v>-184.41943788588878</c:v>
                </c:pt>
                <c:pt idx="12">
                  <c:v>-192.39806737320691</c:v>
                </c:pt>
                <c:pt idx="13">
                  <c:v>-202.65441224487836</c:v>
                </c:pt>
                <c:pt idx="14">
                  <c:v>-213.61388928631368</c:v>
                </c:pt>
                <c:pt idx="15">
                  <c:v>-198.36172580942139</c:v>
                </c:pt>
                <c:pt idx="16">
                  <c:v>-200.35171115944604</c:v>
                </c:pt>
                <c:pt idx="17">
                  <c:v>-190.25552853498493</c:v>
                </c:pt>
                <c:pt idx="18">
                  <c:v>-190.2262220798566</c:v>
                </c:pt>
                <c:pt idx="19">
                  <c:v>-197.13459185601687</c:v>
                </c:pt>
                <c:pt idx="20">
                  <c:v>-166.93398006083771</c:v>
                </c:pt>
                <c:pt idx="21">
                  <c:v>-177.20216826944579</c:v>
                </c:pt>
              </c:numCache>
            </c:numRef>
          </c:val>
          <c:extLst xmlns:c16r2="http://schemas.microsoft.com/office/drawing/2015/06/chart">
            <c:ext xmlns:c16="http://schemas.microsoft.com/office/drawing/2014/chart" uri="{C3380CC4-5D6E-409C-BE32-E72D297353CC}">
              <c16:uniqueId val="{00000009-3117-C849-85EF-3428DB73AAD1}"/>
            </c:ext>
          </c:extLst>
        </c:ser>
        <c:ser>
          <c:idx val="1"/>
          <c:order val="10"/>
          <c:tx>
            <c:strRef>
              <c:f>Etappes!$AB$47</c:f>
              <c:strCache>
                <c:ptCount val="1"/>
                <c:pt idx="0">
                  <c:v>Onder de vod</c:v>
                </c:pt>
              </c:strCache>
            </c:strRef>
          </c:tx>
          <c:cat>
            <c:strRef>
              <c:f>Etappes!$AC$36:$AX$36</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Etappes!$AC$47:$AX$47</c:f>
              <c:numCache>
                <c:formatCode>0</c:formatCode>
                <c:ptCount val="22"/>
                <c:pt idx="0">
                  <c:v>8.2752809548682364</c:v>
                </c:pt>
                <c:pt idx="1">
                  <c:v>14.123508961360812</c:v>
                </c:pt>
                <c:pt idx="2">
                  <c:v>24.961762834167587</c:v>
                </c:pt>
                <c:pt idx="3">
                  <c:v>-13.590136712973276</c:v>
                </c:pt>
                <c:pt idx="4">
                  <c:v>-2.8821605948379556</c:v>
                </c:pt>
                <c:pt idx="5">
                  <c:v>15.672628799527274</c:v>
                </c:pt>
                <c:pt idx="6">
                  <c:v>5.529569900956858</c:v>
                </c:pt>
                <c:pt idx="7">
                  <c:v>-30.660355141759055</c:v>
                </c:pt>
                <c:pt idx="8">
                  <c:v>-77.558051325803717</c:v>
                </c:pt>
                <c:pt idx="9">
                  <c:v>-75.810558734478036</c:v>
                </c:pt>
                <c:pt idx="10">
                  <c:v>-71.569352266666556</c:v>
                </c:pt>
                <c:pt idx="11">
                  <c:v>-73.31463074334556</c:v>
                </c:pt>
                <c:pt idx="12">
                  <c:v>-67.032609262962069</c:v>
                </c:pt>
                <c:pt idx="13">
                  <c:v>-87.399680217554305</c:v>
                </c:pt>
                <c:pt idx="14">
                  <c:v>-135.76507110680996</c:v>
                </c:pt>
                <c:pt idx="15">
                  <c:v>-162.97418451919884</c:v>
                </c:pt>
                <c:pt idx="16">
                  <c:v>-221.98791044509926</c:v>
                </c:pt>
                <c:pt idx="17">
                  <c:v>-265.82188802785913</c:v>
                </c:pt>
                <c:pt idx="18">
                  <c:v>-264.69851046674239</c:v>
                </c:pt>
                <c:pt idx="19">
                  <c:v>-269.92804699405997</c:v>
                </c:pt>
                <c:pt idx="20">
                  <c:v>-264.83448075180513</c:v>
                </c:pt>
                <c:pt idx="21">
                  <c:v>-360.17612909842137</c:v>
                </c:pt>
              </c:numCache>
            </c:numRef>
          </c:val>
        </c:ser>
        <c:marker val="1"/>
        <c:axId val="121151488"/>
        <c:axId val="121153024"/>
      </c:lineChart>
      <c:catAx>
        <c:axId val="121151488"/>
        <c:scaling>
          <c:orientation val="minMax"/>
        </c:scaling>
        <c:axPos val="b"/>
        <c:numFmt formatCode="General" sourceLinked="1"/>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121153024"/>
        <c:crosses val="autoZero"/>
        <c:auto val="1"/>
        <c:lblAlgn val="ctr"/>
        <c:lblOffset val="100"/>
        <c:tickLblSkip val="1"/>
        <c:tickMarkSkip val="1"/>
      </c:catAx>
      <c:valAx>
        <c:axId val="121153024"/>
        <c:scaling>
          <c:orientation val="minMax"/>
          <c:min val="-50"/>
        </c:scaling>
        <c:axPos val="l"/>
        <c:majorGridlines>
          <c:spPr>
            <a:ln w="12700">
              <a:solidFill>
                <a:srgbClr val="99CC00"/>
              </a:solidFill>
              <a:prstDash val="sysDot"/>
            </a:ln>
          </c:spPr>
        </c:majorGridlines>
        <c:numFmt formatCode="0" sourceLinked="0"/>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121151488"/>
        <c:crosses val="autoZero"/>
        <c:crossBetween val="midCat"/>
      </c:valAx>
      <c:spPr>
        <a:noFill/>
        <a:ln w="25400">
          <a:noFill/>
        </a:ln>
      </c:spPr>
    </c:plotArea>
    <c:legend>
      <c:legendPos val="r"/>
      <c:layout>
        <c:manualLayout>
          <c:xMode val="edge"/>
          <c:yMode val="edge"/>
          <c:x val="6.7907618062737013E-2"/>
          <c:y val="0.88587570621469502"/>
          <c:w val="0.87800068941744225"/>
          <c:h val="0.10056497175141373"/>
        </c:manualLayout>
      </c:layout>
      <c:spPr>
        <a:noFill/>
        <a:ln w="3175">
          <a:no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chart>
  <c:spPr>
    <a:solidFill>
      <a:srgbClr val="00206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codeName="Grafiek2">
    <tabColor rgb="FFFFFF00"/>
  </sheetPr>
  <sheetViews>
    <sheetView zoomScale="110" workbookViewId="0"/>
  </sheetViews>
  <pageMargins left="0.75" right="0.75" top="1" bottom="1" header="0.5" footer="0.5"/>
  <pageSetup paperSize="9" orientation="landscape" verticalDpi="300" r:id="rId1"/>
  <headerFooter alignWithMargins="0"/>
  <drawing r:id="rId2"/>
</chartsheet>
</file>

<file path=xl/chartsheets/sheet2.xml><?xml version="1.0" encoding="utf-8"?>
<chartsheet xmlns="http://schemas.openxmlformats.org/spreadsheetml/2006/main" xmlns:r="http://schemas.openxmlformats.org/officeDocument/2006/relationships">
  <sheetPr codeName="Grafiek3">
    <tabColor rgb="FFFFFF00"/>
  </sheetPr>
  <sheetViews>
    <sheetView workbookViewId="0"/>
  </sheetViews>
  <pageMargins left="0.75" right="0.75" top="1" bottom="1" header="0.5" footer="0.5"/>
  <pageSetup paperSize="9" orientation="landscape" verticalDpi="300" r:id="rId1"/>
  <headerFooter alignWithMargins="0"/>
  <drawing r:id="rId2"/>
</chartsheet>
</file>

<file path=xl/chartsheets/sheet3.xml><?xml version="1.0" encoding="utf-8"?>
<chartsheet xmlns="http://schemas.openxmlformats.org/spreadsheetml/2006/main" xmlns:r="http://schemas.openxmlformats.org/officeDocument/2006/relationships">
  <sheetPr>
    <tabColor rgb="FFFFC000"/>
  </sheetPr>
  <sheetViews>
    <sheetView zoomScale="110" workbookViewId="0"/>
  </sheetViews>
  <pageMargins left="0.75" right="0.75" top="1" bottom="1" header="0.5" footer="0.5"/>
  <pageSetup paperSize="9" orientation="landscape" verticalDpi="300"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204614" cy="5611091"/>
    <xdr:graphicFrame macro="">
      <xdr:nvGraphicFramePr>
        <xdr:cNvPr id="2" name="Grafiek 1">
          <a:extLst>
            <a:ext uri="{FF2B5EF4-FFF2-40B4-BE49-F238E27FC236}">
              <a16:creationId xmlns=""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10675" cy="5619750"/>
    <xdr:graphicFrame macro="">
      <xdr:nvGraphicFramePr>
        <xdr:cNvPr id="2" name="Grafiek 1">
          <a:extLst>
            <a:ext uri="{FF2B5EF4-FFF2-40B4-BE49-F238E27FC236}">
              <a16:creationId xmlns=""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13</xdr:col>
      <xdr:colOff>0</xdr:colOff>
      <xdr:row>18</xdr:row>
      <xdr:rowOff>0</xdr:rowOff>
    </xdr:from>
    <xdr:to>
      <xdr:col>13</xdr:col>
      <xdr:colOff>9525</xdr:colOff>
      <xdr:row>18</xdr:row>
      <xdr:rowOff>9525</xdr:rowOff>
    </xdr:to>
    <xdr:pic>
      <xdr:nvPicPr>
        <xdr:cNvPr id="4160" name="Picture 1" descr="hit">
          <a:extLst>
            <a:ext uri="{FF2B5EF4-FFF2-40B4-BE49-F238E27FC236}">
              <a16:creationId xmlns="" xmlns:a16="http://schemas.microsoft.com/office/drawing/2014/main" id="{00000000-0008-0000-0300-000040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772400" y="2447925"/>
          <a:ext cx="9525" cy="95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absoluteAnchor>
    <xdr:pos x="11257" y="-8659"/>
    <xdr:ext cx="9210675" cy="5619750"/>
    <xdr:graphicFrame macro="">
      <xdr:nvGraphicFramePr>
        <xdr:cNvPr id="2" name="Grafiek 1">
          <a:extLst>
            <a:ext uri="{FF2B5EF4-FFF2-40B4-BE49-F238E27FC236}">
              <a16:creationId xmlns=""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9</xdr:row>
      <xdr:rowOff>0</xdr:rowOff>
    </xdr:from>
    <xdr:to>
      <xdr:col>6</xdr:col>
      <xdr:colOff>9525</xdr:colOff>
      <xdr:row>9</xdr:row>
      <xdr:rowOff>9525</xdr:rowOff>
    </xdr:to>
    <xdr:pic>
      <xdr:nvPicPr>
        <xdr:cNvPr id="1151" name="Picture 1" descr="hit">
          <a:extLst>
            <a:ext uri="{FF2B5EF4-FFF2-40B4-BE49-F238E27FC236}">
              <a16:creationId xmlns="" xmlns:a16="http://schemas.microsoft.com/office/drawing/2014/main" id="{00000000-0008-0000-0600-00007F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1809750"/>
          <a:ext cx="9525" cy="9525"/>
        </a:xfrm>
        <a:prstGeom prst="rect">
          <a:avLst/>
        </a:prstGeom>
        <a:noFill/>
        <a:ln w="9525">
          <a:noFill/>
          <a:miter lim="800000"/>
          <a:headEnd/>
          <a:tailEnd/>
        </a:ln>
      </xdr:spPr>
    </xdr:pic>
    <xdr:clientData/>
  </xdr:twoCellAnchor>
  <xdr:twoCellAnchor editAs="oneCell">
    <xdr:from>
      <xdr:col>8</xdr:col>
      <xdr:colOff>0</xdr:colOff>
      <xdr:row>18</xdr:row>
      <xdr:rowOff>0</xdr:rowOff>
    </xdr:from>
    <xdr:to>
      <xdr:col>8</xdr:col>
      <xdr:colOff>9525</xdr:colOff>
      <xdr:row>18</xdr:row>
      <xdr:rowOff>9525</xdr:rowOff>
    </xdr:to>
    <xdr:pic>
      <xdr:nvPicPr>
        <xdr:cNvPr id="1152" name="Picture 2" descr="hit">
          <a:extLst>
            <a:ext uri="{FF2B5EF4-FFF2-40B4-BE49-F238E27FC236}">
              <a16:creationId xmlns="" xmlns:a16="http://schemas.microsoft.com/office/drawing/2014/main" id="{00000000-0008-0000-0600-000080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638550" y="3267075"/>
          <a:ext cx="9525" cy="9525"/>
        </a:xfrm>
        <a:prstGeom prst="rect">
          <a:avLst/>
        </a:prstGeom>
        <a:noFill/>
        <a:ln w="9525">
          <a:noFill/>
          <a:miter lim="800000"/>
          <a:headEnd/>
          <a:tailEnd/>
        </a:ln>
      </xdr:spPr>
    </xdr:pic>
    <xdr:clientData/>
  </xdr:twoCellAnchor>
  <xdr:twoCellAnchor editAs="oneCell">
    <xdr:from>
      <xdr:col>9</xdr:col>
      <xdr:colOff>0</xdr:colOff>
      <xdr:row>28</xdr:row>
      <xdr:rowOff>0</xdr:rowOff>
    </xdr:from>
    <xdr:to>
      <xdr:col>9</xdr:col>
      <xdr:colOff>9525</xdr:colOff>
      <xdr:row>28</xdr:row>
      <xdr:rowOff>9525</xdr:rowOff>
    </xdr:to>
    <xdr:pic>
      <xdr:nvPicPr>
        <xdr:cNvPr id="4" name="Picture 2" descr="hit">
          <a:extLst>
            <a:ext uri="{FF2B5EF4-FFF2-40B4-BE49-F238E27FC236}">
              <a16:creationId xmlns=""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630706" y="3182471"/>
          <a:ext cx="9525" cy="95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2</xdr:col>
      <xdr:colOff>9525</xdr:colOff>
      <xdr:row>9</xdr:row>
      <xdr:rowOff>9525</xdr:rowOff>
    </xdr:to>
    <xdr:pic>
      <xdr:nvPicPr>
        <xdr:cNvPr id="6208" name="Picture 1" descr="hit">
          <a:extLst>
            <a:ext uri="{FF2B5EF4-FFF2-40B4-BE49-F238E27FC236}">
              <a16:creationId xmlns="" xmlns:a16="http://schemas.microsoft.com/office/drawing/2014/main" id="{00000000-0008-0000-1500-000040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9575" y="1466850"/>
          <a:ext cx="9525" cy="95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0</xdr:colOff>
      <xdr:row>31</xdr:row>
      <xdr:rowOff>0</xdr:rowOff>
    </xdr:from>
    <xdr:to>
      <xdr:col>13</xdr:col>
      <xdr:colOff>9525</xdr:colOff>
      <xdr:row>31</xdr:row>
      <xdr:rowOff>9525</xdr:rowOff>
    </xdr:to>
    <xdr:pic>
      <xdr:nvPicPr>
        <xdr:cNvPr id="2" name="Picture 1" descr="hit">
          <a:extLst>
            <a:ext uri="{FF2B5EF4-FFF2-40B4-BE49-F238E27FC236}">
              <a16:creationId xmlns=""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496300" y="3743325"/>
          <a:ext cx="9525" cy="95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0</xdr:colOff>
      <xdr:row>17</xdr:row>
      <xdr:rowOff>0</xdr:rowOff>
    </xdr:from>
    <xdr:to>
      <xdr:col>13</xdr:col>
      <xdr:colOff>9525</xdr:colOff>
      <xdr:row>17</xdr:row>
      <xdr:rowOff>9525</xdr:rowOff>
    </xdr:to>
    <xdr:pic>
      <xdr:nvPicPr>
        <xdr:cNvPr id="2" name="Picture 1" descr="hit">
          <a:extLst>
            <a:ext uri="{FF2B5EF4-FFF2-40B4-BE49-F238E27FC236}">
              <a16:creationId xmlns="" xmlns:a16="http://schemas.microsoft.com/office/drawing/2014/main" id="{00000000-0008-0000-0300-000040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496300" y="2771775"/>
          <a:ext cx="9525" cy="95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sheetPr codeName="Blad1">
    <tabColor rgb="FF00B050"/>
    <pageSetUpPr fitToPage="1"/>
  </sheetPr>
  <dimension ref="A1:BH338"/>
  <sheetViews>
    <sheetView showZeros="0" tabSelected="1" topLeftCell="A39" zoomScale="90" zoomScaleNormal="90" workbookViewId="0">
      <pane xSplit="2" topLeftCell="C1" activePane="topRight" state="frozen"/>
      <selection activeCell="B11" sqref="B11"/>
      <selection pane="topRight" activeCell="I70" sqref="I70"/>
    </sheetView>
  </sheetViews>
  <sheetFormatPr defaultColWidth="9.140625" defaultRowHeight="12" customHeight="1"/>
  <cols>
    <col min="1" max="1" width="4.140625" style="108" customWidth="1"/>
    <col min="2" max="2" width="30" style="108" customWidth="1"/>
    <col min="3" max="4" width="5.140625" style="109" customWidth="1"/>
    <col min="5" max="5" width="6" style="109" customWidth="1"/>
    <col min="6" max="6" width="5.140625" style="115" customWidth="1"/>
    <col min="7" max="10" width="5.140625" style="109" customWidth="1"/>
    <col min="11" max="11" width="5.140625" style="108" customWidth="1"/>
    <col min="12" max="12" width="5.140625" style="112" customWidth="1"/>
    <col min="13" max="13" width="5.42578125" style="108" customWidth="1"/>
    <col min="14" max="14" width="5.140625" style="109" customWidth="1"/>
    <col min="15" max="23" width="5.140625" style="108" customWidth="1"/>
    <col min="24" max="24" width="5.140625" style="319" customWidth="1"/>
    <col min="25" max="25" width="7" style="108" customWidth="1"/>
    <col min="26" max="26" width="6.7109375" style="108" customWidth="1"/>
    <col min="27" max="27" width="5.7109375" style="108" customWidth="1"/>
    <col min="28" max="28" width="22.7109375" style="108" customWidth="1"/>
    <col min="29" max="40" width="5.28515625" style="108" customWidth="1"/>
    <col min="41" max="50" width="4.7109375" style="108" customWidth="1"/>
    <col min="51" max="52" width="9.140625" style="108" customWidth="1"/>
    <col min="53" max="16384" width="9.140625" style="108"/>
  </cols>
  <sheetData>
    <row r="1" spans="1:28" ht="13.5" hidden="1" customHeight="1">
      <c r="C1" s="109" t="s">
        <v>23</v>
      </c>
      <c r="D1" s="109" t="s">
        <v>24</v>
      </c>
      <c r="E1" s="109" t="s">
        <v>25</v>
      </c>
      <c r="F1" s="109" t="s">
        <v>26</v>
      </c>
      <c r="G1" s="109" t="s">
        <v>27</v>
      </c>
      <c r="H1" s="109" t="s">
        <v>28</v>
      </c>
      <c r="I1" s="109" t="s">
        <v>29</v>
      </c>
      <c r="J1" s="109" t="s">
        <v>30</v>
      </c>
      <c r="K1" s="109" t="s">
        <v>31</v>
      </c>
      <c r="L1" s="109" t="s">
        <v>32</v>
      </c>
      <c r="M1" s="109" t="s">
        <v>33</v>
      </c>
      <c r="N1" s="109" t="s">
        <v>22</v>
      </c>
      <c r="O1" s="109" t="s">
        <v>34</v>
      </c>
      <c r="P1" s="109" t="s">
        <v>35</v>
      </c>
      <c r="Q1" s="109" t="s">
        <v>36</v>
      </c>
      <c r="R1" s="109" t="s">
        <v>37</v>
      </c>
      <c r="S1" s="109" t="s">
        <v>38</v>
      </c>
      <c r="T1" s="109" t="s">
        <v>39</v>
      </c>
      <c r="U1" s="109" t="s">
        <v>40</v>
      </c>
      <c r="V1" s="155" t="s">
        <v>41</v>
      </c>
      <c r="W1" s="155" t="s">
        <v>58</v>
      </c>
      <c r="X1" s="317" t="s">
        <v>119</v>
      </c>
    </row>
    <row r="2" spans="1:28" ht="13.5" hidden="1" customHeight="1" thickBot="1">
      <c r="B2" s="110" t="s">
        <v>7</v>
      </c>
      <c r="C2" s="111">
        <v>1</v>
      </c>
      <c r="D2" s="111">
        <v>2</v>
      </c>
      <c r="E2" s="111">
        <v>3</v>
      </c>
      <c r="F2" s="111">
        <v>4</v>
      </c>
      <c r="G2" s="111">
        <v>5</v>
      </c>
      <c r="H2" s="111">
        <v>6</v>
      </c>
      <c r="I2" s="111">
        <v>7</v>
      </c>
      <c r="J2" s="111">
        <v>8</v>
      </c>
      <c r="K2" s="111">
        <v>9</v>
      </c>
      <c r="L2" s="111">
        <v>10</v>
      </c>
      <c r="M2" s="111">
        <v>11</v>
      </c>
      <c r="N2" s="111">
        <v>12</v>
      </c>
      <c r="O2" s="111">
        <v>13</v>
      </c>
      <c r="P2" s="111">
        <v>14</v>
      </c>
      <c r="Q2" s="111">
        <v>15</v>
      </c>
      <c r="R2" s="111">
        <v>16</v>
      </c>
      <c r="S2" s="111">
        <v>17</v>
      </c>
      <c r="T2" s="111">
        <v>18</v>
      </c>
      <c r="U2" s="111">
        <v>19</v>
      </c>
      <c r="V2" s="111">
        <v>20</v>
      </c>
      <c r="W2" s="111">
        <v>21</v>
      </c>
      <c r="X2" s="318" t="s">
        <v>2</v>
      </c>
      <c r="Y2" s="109"/>
      <c r="AA2" s="109" t="s">
        <v>11</v>
      </c>
      <c r="AB2" s="168"/>
    </row>
    <row r="3" spans="1:28" ht="13.5" hidden="1" customHeight="1">
      <c r="A3" s="108">
        <v>1</v>
      </c>
      <c r="B3" s="112" t="str">
        <f t="shared" ref="B3:B13" ca="1" si="0">INDIRECT($AB3&amp;"!c1")</f>
        <v>Britless</v>
      </c>
      <c r="C3" s="124">
        <f t="shared" ref="C3:L13" ca="1" si="1">ROUND(INDIRECT($AB3&amp;"!"&amp;C$1&amp;"22"),1)</f>
        <v>161</v>
      </c>
      <c r="D3" s="124">
        <f t="shared" ca="1" si="1"/>
        <v>113</v>
      </c>
      <c r="E3" s="124">
        <f t="shared" ca="1" si="1"/>
        <v>162</v>
      </c>
      <c r="F3" s="124">
        <f t="shared" ca="1" si="1"/>
        <v>242</v>
      </c>
      <c r="G3" s="124">
        <f t="shared" ca="1" si="1"/>
        <v>181</v>
      </c>
      <c r="H3" s="124">
        <f t="shared" ca="1" si="1"/>
        <v>163</v>
      </c>
      <c r="I3" s="124">
        <f t="shared" ca="1" si="1"/>
        <v>136</v>
      </c>
      <c r="J3" s="124">
        <f t="shared" ca="1" si="1"/>
        <v>120</v>
      </c>
      <c r="K3" s="124">
        <f t="shared" ca="1" si="1"/>
        <v>246</v>
      </c>
      <c r="L3" s="124">
        <f t="shared" ca="1" si="1"/>
        <v>209</v>
      </c>
      <c r="M3" s="124">
        <f t="shared" ref="M3:X13" ca="1" si="2">ROUND(INDIRECT($AB3&amp;"!"&amp;M$1&amp;"22"),1)</f>
        <v>153</v>
      </c>
      <c r="N3" s="124">
        <f t="shared" ca="1" si="2"/>
        <v>103</v>
      </c>
      <c r="O3" s="124">
        <f t="shared" ca="1" si="2"/>
        <v>122</v>
      </c>
      <c r="P3" s="124">
        <f t="shared" ca="1" si="2"/>
        <v>144</v>
      </c>
      <c r="Q3" s="124">
        <f t="shared" ca="1" si="2"/>
        <v>232</v>
      </c>
      <c r="R3" s="124">
        <f t="shared" ca="1" si="2"/>
        <v>130</v>
      </c>
      <c r="S3" s="124">
        <f t="shared" ca="1" si="2"/>
        <v>243</v>
      </c>
      <c r="T3" s="124">
        <f t="shared" ca="1" si="2"/>
        <v>226</v>
      </c>
      <c r="U3" s="124">
        <f t="shared" ca="1" si="2"/>
        <v>152</v>
      </c>
      <c r="V3" s="124">
        <f t="shared" ca="1" si="2"/>
        <v>191</v>
      </c>
      <c r="W3" s="124">
        <f t="shared" ca="1" si="2"/>
        <v>193</v>
      </c>
      <c r="X3" s="288">
        <f t="shared" ca="1" si="2"/>
        <v>436</v>
      </c>
      <c r="Y3" s="172">
        <f t="shared" ref="Y3:Y13" ca="1" si="3">SUM(C3:X3)+RAND()/10</f>
        <v>4058.0397970061354</v>
      </c>
      <c r="Z3" s="108">
        <f t="shared" ref="Z3:Z13" ca="1" si="4">RANK(Y3,$Y$3:$Y$13)</f>
        <v>1</v>
      </c>
      <c r="AA3" s="114">
        <f ca="1">IF(AB3&lt;&gt;"",HLOOKUP(AB3,originaliteit!$B$1:$M$65,65,0),"")</f>
        <v>0.98709950941796398</v>
      </c>
      <c r="AB3" s="169" t="s">
        <v>202</v>
      </c>
    </row>
    <row r="4" spans="1:28" ht="13.5" hidden="1" customHeight="1">
      <c r="A4" s="108">
        <v>2</v>
      </c>
      <c r="B4" s="112" t="str">
        <f t="shared" ca="1" si="0"/>
        <v>Lothar blijft positief</v>
      </c>
      <c r="C4" s="124">
        <f t="shared" ca="1" si="1"/>
        <v>105</v>
      </c>
      <c r="D4" s="124">
        <f t="shared" ca="1" si="1"/>
        <v>131</v>
      </c>
      <c r="E4" s="124">
        <f t="shared" ca="1" si="1"/>
        <v>155</v>
      </c>
      <c r="F4" s="124">
        <f t="shared" ca="1" si="1"/>
        <v>277</v>
      </c>
      <c r="G4" s="124">
        <f t="shared" ca="1" si="1"/>
        <v>206</v>
      </c>
      <c r="H4" s="124">
        <f t="shared" ca="1" si="1"/>
        <v>157</v>
      </c>
      <c r="I4" s="124">
        <f t="shared" ca="1" si="1"/>
        <v>181</v>
      </c>
      <c r="J4" s="124">
        <f t="shared" ca="1" si="1"/>
        <v>151</v>
      </c>
      <c r="K4" s="124">
        <f t="shared" ca="1" si="1"/>
        <v>250</v>
      </c>
      <c r="L4" s="124">
        <f t="shared" ca="1" si="1"/>
        <v>153</v>
      </c>
      <c r="M4" s="124">
        <f t="shared" ca="1" si="2"/>
        <v>155</v>
      </c>
      <c r="N4" s="124">
        <f t="shared" ca="1" si="2"/>
        <v>99</v>
      </c>
      <c r="O4" s="124">
        <f t="shared" ca="1" si="2"/>
        <v>149</v>
      </c>
      <c r="P4" s="124">
        <f t="shared" ca="1" si="2"/>
        <v>106</v>
      </c>
      <c r="Q4" s="124">
        <f t="shared" ca="1" si="2"/>
        <v>214</v>
      </c>
      <c r="R4" s="124">
        <f t="shared" ca="1" si="2"/>
        <v>128</v>
      </c>
      <c r="S4" s="124">
        <f t="shared" ca="1" si="2"/>
        <v>243</v>
      </c>
      <c r="T4" s="124">
        <f t="shared" ca="1" si="2"/>
        <v>230</v>
      </c>
      <c r="U4" s="124">
        <f t="shared" ca="1" si="2"/>
        <v>101</v>
      </c>
      <c r="V4" s="124">
        <f t="shared" ca="1" si="2"/>
        <v>221</v>
      </c>
      <c r="W4" s="124">
        <f t="shared" ca="1" si="2"/>
        <v>165</v>
      </c>
      <c r="X4" s="288">
        <f t="shared" ca="1" si="2"/>
        <v>430</v>
      </c>
      <c r="Y4" s="172">
        <f t="shared" ca="1" si="3"/>
        <v>4007.0021164249888</v>
      </c>
      <c r="Z4" s="108">
        <f t="shared" ca="1" si="4"/>
        <v>2</v>
      </c>
      <c r="AA4" s="114">
        <f ca="1">IF(AB4&lt;&gt;"",HLOOKUP(AB4,originaliteit!$B$1:$M$65,65,0),"")</f>
        <v>0.98089133640275661</v>
      </c>
      <c r="AB4" s="169" t="s">
        <v>82</v>
      </c>
    </row>
    <row r="5" spans="1:28" ht="13.5" hidden="1" customHeight="1">
      <c r="A5" s="108">
        <v>3</v>
      </c>
      <c r="B5" s="112" t="str">
        <f t="shared" ca="1" si="0"/>
        <v>Tins Tour Toppers</v>
      </c>
      <c r="C5" s="124">
        <f t="shared" ca="1" si="1"/>
        <v>130</v>
      </c>
      <c r="D5" s="124">
        <f t="shared" ca="1" si="1"/>
        <v>132</v>
      </c>
      <c r="E5" s="124">
        <f t="shared" ca="1" si="1"/>
        <v>153</v>
      </c>
      <c r="F5" s="124">
        <f t="shared" ca="1" si="1"/>
        <v>293</v>
      </c>
      <c r="G5" s="124">
        <f t="shared" ca="1" si="1"/>
        <v>168</v>
      </c>
      <c r="H5" s="124">
        <f t="shared" ca="1" si="1"/>
        <v>182</v>
      </c>
      <c r="I5" s="124">
        <f t="shared" ca="1" si="1"/>
        <v>124</v>
      </c>
      <c r="J5" s="124">
        <f t="shared" ca="1" si="1"/>
        <v>143</v>
      </c>
      <c r="K5" s="124">
        <f t="shared" ca="1" si="1"/>
        <v>279</v>
      </c>
      <c r="L5" s="124">
        <f t="shared" ca="1" si="1"/>
        <v>180</v>
      </c>
      <c r="M5" s="124">
        <f t="shared" ca="1" si="2"/>
        <v>141</v>
      </c>
      <c r="N5" s="124">
        <f t="shared" ca="1" si="2"/>
        <v>101</v>
      </c>
      <c r="O5" s="124">
        <f t="shared" ca="1" si="2"/>
        <v>117</v>
      </c>
      <c r="P5" s="124">
        <f t="shared" ca="1" si="2"/>
        <v>115</v>
      </c>
      <c r="Q5" s="124">
        <f t="shared" ca="1" si="2"/>
        <v>200</v>
      </c>
      <c r="R5" s="124">
        <f t="shared" ca="1" si="2"/>
        <v>108</v>
      </c>
      <c r="S5" s="124">
        <f t="shared" ca="1" si="2"/>
        <v>213</v>
      </c>
      <c r="T5" s="124">
        <f t="shared" ca="1" si="2"/>
        <v>195</v>
      </c>
      <c r="U5" s="124">
        <f t="shared" ca="1" si="2"/>
        <v>105</v>
      </c>
      <c r="V5" s="124">
        <f t="shared" ca="1" si="2"/>
        <v>161</v>
      </c>
      <c r="W5" s="124">
        <f t="shared" ca="1" si="2"/>
        <v>179</v>
      </c>
      <c r="X5" s="288">
        <f t="shared" ca="1" si="2"/>
        <v>380</v>
      </c>
      <c r="Y5" s="172">
        <f t="shared" ca="1" si="3"/>
        <v>3799.0947139473424</v>
      </c>
      <c r="Z5" s="108">
        <f t="shared" ca="1" si="4"/>
        <v>5</v>
      </c>
      <c r="AA5" s="114">
        <f ca="1">IF(AB5&lt;&gt;"",HLOOKUP(AB5,originaliteit!$B$1:$M$65,65,0),"")</f>
        <v>0.93390252986849298</v>
      </c>
      <c r="AB5" s="169" t="s">
        <v>237</v>
      </c>
    </row>
    <row r="6" spans="1:28" ht="13.5" hidden="1" customHeight="1">
      <c r="A6" s="108">
        <v>4</v>
      </c>
      <c r="B6" s="112" t="str">
        <f t="shared" ca="1" si="0"/>
        <v>Am Selfkant</v>
      </c>
      <c r="C6" s="124">
        <f t="shared" ca="1" si="1"/>
        <v>132</v>
      </c>
      <c r="D6" s="124">
        <f t="shared" ca="1" si="1"/>
        <v>153</v>
      </c>
      <c r="E6" s="124">
        <f t="shared" ca="1" si="1"/>
        <v>139</v>
      </c>
      <c r="F6" s="124">
        <f t="shared" ca="1" si="1"/>
        <v>263</v>
      </c>
      <c r="G6" s="124">
        <f t="shared" ca="1" si="1"/>
        <v>203</v>
      </c>
      <c r="H6" s="124">
        <f t="shared" ca="1" si="1"/>
        <v>162</v>
      </c>
      <c r="I6" s="124">
        <f t="shared" ca="1" si="1"/>
        <v>181</v>
      </c>
      <c r="J6" s="124">
        <f t="shared" ca="1" si="1"/>
        <v>127</v>
      </c>
      <c r="K6" s="124">
        <f t="shared" ca="1" si="1"/>
        <v>245</v>
      </c>
      <c r="L6" s="124">
        <f t="shared" ca="1" si="1"/>
        <v>143</v>
      </c>
      <c r="M6" s="124">
        <f t="shared" ca="1" si="2"/>
        <v>142</v>
      </c>
      <c r="N6" s="124">
        <f t="shared" ca="1" si="2"/>
        <v>97</v>
      </c>
      <c r="O6" s="124">
        <f t="shared" ca="1" si="2"/>
        <v>120</v>
      </c>
      <c r="P6" s="124">
        <f t="shared" ca="1" si="2"/>
        <v>101</v>
      </c>
      <c r="Q6" s="124">
        <f t="shared" ca="1" si="2"/>
        <v>189</v>
      </c>
      <c r="R6" s="124">
        <f t="shared" ca="1" si="2"/>
        <v>168</v>
      </c>
      <c r="S6" s="124">
        <f t="shared" ca="1" si="2"/>
        <v>210</v>
      </c>
      <c r="T6" s="124">
        <f t="shared" ca="1" si="2"/>
        <v>215</v>
      </c>
      <c r="U6" s="124">
        <f t="shared" ca="1" si="2"/>
        <v>111</v>
      </c>
      <c r="V6" s="124">
        <f t="shared" ca="1" si="2"/>
        <v>189</v>
      </c>
      <c r="W6" s="124">
        <f t="shared" ca="1" si="2"/>
        <v>164</v>
      </c>
      <c r="X6" s="288">
        <f t="shared" ca="1" si="2"/>
        <v>367</v>
      </c>
      <c r="Y6" s="172">
        <f t="shared" ca="1" si="3"/>
        <v>3821.0415833063998</v>
      </c>
      <c r="Z6" s="108">
        <f t="shared" ca="1" si="4"/>
        <v>4</v>
      </c>
      <c r="AA6" s="114">
        <f ca="1">IF(AB6&lt;&gt;"",HLOOKUP(AB6,originaliteit!$B$1:$M$65,65,0),"")</f>
        <v>0.98089133640275661</v>
      </c>
      <c r="AB6" s="169" t="s">
        <v>83</v>
      </c>
    </row>
    <row r="7" spans="1:28" ht="13.5" hidden="1" customHeight="1">
      <c r="A7" s="108">
        <v>5</v>
      </c>
      <c r="B7" s="112" t="str">
        <f t="shared" ca="1" si="0"/>
        <v>De Lange Man</v>
      </c>
      <c r="C7" s="124">
        <f t="shared" ca="1" si="1"/>
        <v>110</v>
      </c>
      <c r="D7" s="124">
        <f t="shared" ca="1" si="1"/>
        <v>150</v>
      </c>
      <c r="E7" s="124">
        <f t="shared" ca="1" si="1"/>
        <v>127</v>
      </c>
      <c r="F7" s="124">
        <f t="shared" ca="1" si="1"/>
        <v>286</v>
      </c>
      <c r="G7" s="124">
        <f t="shared" ca="1" si="1"/>
        <v>176</v>
      </c>
      <c r="H7" s="124">
        <f t="shared" ca="1" si="1"/>
        <v>140</v>
      </c>
      <c r="I7" s="124">
        <f t="shared" ca="1" si="1"/>
        <v>165</v>
      </c>
      <c r="J7" s="124">
        <f t="shared" ca="1" si="1"/>
        <v>133</v>
      </c>
      <c r="K7" s="124">
        <f t="shared" ca="1" si="1"/>
        <v>248</v>
      </c>
      <c r="L7" s="124">
        <f t="shared" ca="1" si="1"/>
        <v>133</v>
      </c>
      <c r="M7" s="124">
        <f t="shared" ca="1" si="2"/>
        <v>124</v>
      </c>
      <c r="N7" s="124">
        <f t="shared" ca="1" si="2"/>
        <v>89</v>
      </c>
      <c r="O7" s="124">
        <f t="shared" ca="1" si="2"/>
        <v>126</v>
      </c>
      <c r="P7" s="124">
        <f t="shared" ca="1" si="2"/>
        <v>95</v>
      </c>
      <c r="Q7" s="124">
        <f t="shared" ca="1" si="2"/>
        <v>245</v>
      </c>
      <c r="R7" s="124">
        <f t="shared" ca="1" si="2"/>
        <v>114</v>
      </c>
      <c r="S7" s="124">
        <f t="shared" ca="1" si="2"/>
        <v>271</v>
      </c>
      <c r="T7" s="124">
        <f t="shared" ca="1" si="2"/>
        <v>271</v>
      </c>
      <c r="U7" s="124">
        <f t="shared" ca="1" si="2"/>
        <v>98</v>
      </c>
      <c r="V7" s="124">
        <f t="shared" ca="1" si="2"/>
        <v>242</v>
      </c>
      <c r="W7" s="124">
        <f t="shared" ca="1" si="2"/>
        <v>178</v>
      </c>
      <c r="X7" s="288">
        <f t="shared" ca="1" si="2"/>
        <v>468</v>
      </c>
      <c r="Y7" s="172">
        <f t="shared" ca="1" si="3"/>
        <v>3989.0191304859327</v>
      </c>
      <c r="Z7" s="108">
        <f t="shared" ca="1" si="4"/>
        <v>3</v>
      </c>
      <c r="AA7" s="114">
        <f ca="1">IF(AB7&lt;&gt;"",HLOOKUP(AB7,originaliteit!$B$1:$M$65,65,0),"")</f>
        <v>0.96870635085738077</v>
      </c>
      <c r="AB7" s="169" t="s">
        <v>84</v>
      </c>
    </row>
    <row r="8" spans="1:28" ht="13.5" hidden="1" customHeight="1">
      <c r="A8" s="108">
        <v>6</v>
      </c>
      <c r="B8" s="112" t="str">
        <f t="shared" ca="1" si="0"/>
        <v>Majella sykler på</v>
      </c>
      <c r="C8" s="124">
        <f t="shared" ca="1" si="1"/>
        <v>136</v>
      </c>
      <c r="D8" s="124">
        <f t="shared" ca="1" si="1"/>
        <v>180</v>
      </c>
      <c r="E8" s="124">
        <f t="shared" ca="1" si="1"/>
        <v>150</v>
      </c>
      <c r="F8" s="124">
        <f t="shared" ca="1" si="1"/>
        <v>278</v>
      </c>
      <c r="G8" s="124">
        <f t="shared" ca="1" si="1"/>
        <v>176</v>
      </c>
      <c r="H8" s="124">
        <f t="shared" ca="1" si="1"/>
        <v>177</v>
      </c>
      <c r="I8" s="124">
        <f t="shared" ca="1" si="1"/>
        <v>122</v>
      </c>
      <c r="J8" s="124">
        <f t="shared" ca="1" si="1"/>
        <v>108</v>
      </c>
      <c r="K8" s="124">
        <f t="shared" ca="1" si="1"/>
        <v>244</v>
      </c>
      <c r="L8" s="124">
        <f t="shared" ca="1" si="1"/>
        <v>155</v>
      </c>
      <c r="M8" s="124">
        <f t="shared" ca="1" si="2"/>
        <v>115</v>
      </c>
      <c r="N8" s="124">
        <f t="shared" ca="1" si="2"/>
        <v>131</v>
      </c>
      <c r="O8" s="124">
        <f t="shared" ca="1" si="2"/>
        <v>158</v>
      </c>
      <c r="P8" s="124">
        <f t="shared" ca="1" si="2"/>
        <v>138</v>
      </c>
      <c r="Q8" s="124">
        <f t="shared" ca="1" si="2"/>
        <v>176</v>
      </c>
      <c r="R8" s="124">
        <f t="shared" ca="1" si="2"/>
        <v>119</v>
      </c>
      <c r="S8" s="124">
        <f t="shared" ca="1" si="2"/>
        <v>156</v>
      </c>
      <c r="T8" s="124">
        <f t="shared" ca="1" si="2"/>
        <v>145</v>
      </c>
      <c r="U8" s="124">
        <f t="shared" ca="1" si="2"/>
        <v>104</v>
      </c>
      <c r="V8" s="124">
        <f t="shared" ca="1" si="2"/>
        <v>181</v>
      </c>
      <c r="W8" s="124">
        <f t="shared" ca="1" si="2"/>
        <v>134</v>
      </c>
      <c r="X8" s="288">
        <f t="shared" ca="1" si="2"/>
        <v>306</v>
      </c>
      <c r="Y8" s="172">
        <f t="shared" ca="1" si="3"/>
        <v>3589.0779196664694</v>
      </c>
      <c r="Z8" s="108">
        <f t="shared" ca="1" si="4"/>
        <v>7</v>
      </c>
      <c r="AA8" s="114">
        <f ca="1">IF(AB8&lt;&gt;"",HLOOKUP(AB8,originaliteit!$B$1:$M$65,65,0),"")</f>
        <v>1.1638934514032708</v>
      </c>
      <c r="AB8" s="169" t="s">
        <v>238</v>
      </c>
    </row>
    <row r="9" spans="1:28" ht="13.5" hidden="1" customHeight="1">
      <c r="A9" s="108">
        <v>7</v>
      </c>
      <c r="B9" s="112" t="str">
        <f t="shared" ca="1" si="0"/>
        <v>Kol de la Madeleine</v>
      </c>
      <c r="C9" s="124">
        <f t="shared" ca="1" si="1"/>
        <v>118</v>
      </c>
      <c r="D9" s="124">
        <f t="shared" ca="1" si="1"/>
        <v>100</v>
      </c>
      <c r="E9" s="124">
        <f t="shared" ca="1" si="1"/>
        <v>137</v>
      </c>
      <c r="F9" s="124">
        <f t="shared" ca="1" si="1"/>
        <v>203</v>
      </c>
      <c r="G9" s="124">
        <f t="shared" ca="1" si="1"/>
        <v>178</v>
      </c>
      <c r="H9" s="124">
        <f t="shared" ca="1" si="1"/>
        <v>150</v>
      </c>
      <c r="I9" s="124">
        <f t="shared" ca="1" si="1"/>
        <v>171</v>
      </c>
      <c r="J9" s="124">
        <f t="shared" ca="1" si="1"/>
        <v>118</v>
      </c>
      <c r="K9" s="124">
        <f t="shared" ca="1" si="1"/>
        <v>200</v>
      </c>
      <c r="L9" s="124">
        <f t="shared" ca="1" si="1"/>
        <v>151</v>
      </c>
      <c r="M9" s="124">
        <f t="shared" ca="1" si="2"/>
        <v>147</v>
      </c>
      <c r="N9" s="124">
        <f t="shared" ca="1" si="2"/>
        <v>88</v>
      </c>
      <c r="O9" s="124">
        <f t="shared" ca="1" si="2"/>
        <v>99</v>
      </c>
      <c r="P9" s="124">
        <f t="shared" ca="1" si="2"/>
        <v>101</v>
      </c>
      <c r="Q9" s="124">
        <f t="shared" ca="1" si="2"/>
        <v>187</v>
      </c>
      <c r="R9" s="124">
        <f t="shared" ca="1" si="2"/>
        <v>127</v>
      </c>
      <c r="S9" s="124">
        <f t="shared" ca="1" si="2"/>
        <v>215</v>
      </c>
      <c r="T9" s="124">
        <f t="shared" ca="1" si="2"/>
        <v>214</v>
      </c>
      <c r="U9" s="124">
        <f t="shared" ca="1" si="2"/>
        <v>91</v>
      </c>
      <c r="V9" s="124">
        <f t="shared" ca="1" si="2"/>
        <v>209</v>
      </c>
      <c r="W9" s="124">
        <f t="shared" ca="1" si="2"/>
        <v>167</v>
      </c>
      <c r="X9" s="288">
        <f t="shared" ca="1" si="2"/>
        <v>365</v>
      </c>
      <c r="Y9" s="172">
        <f t="shared" ca="1" si="3"/>
        <v>3536.0320500222588</v>
      </c>
      <c r="Z9" s="108">
        <f t="shared" ca="1" si="4"/>
        <v>8</v>
      </c>
      <c r="AA9" s="114">
        <f ca="1">IF(AB9&lt;&gt;"",HLOOKUP(AB9,originaliteit!$B$1:$M$65,65,0),"")</f>
        <v>1.046722969718378</v>
      </c>
      <c r="AB9" s="169" t="s">
        <v>185</v>
      </c>
    </row>
    <row r="10" spans="1:28" ht="13.5" hidden="1" customHeight="1">
      <c r="A10" s="108">
        <v>8</v>
      </c>
      <c r="B10" s="112" t="str">
        <f t="shared" ca="1" si="0"/>
        <v>Equipe l'Ami</v>
      </c>
      <c r="C10" s="124">
        <f t="shared" ca="1" si="1"/>
        <v>132</v>
      </c>
      <c r="D10" s="124">
        <f t="shared" ca="1" si="1"/>
        <v>109</v>
      </c>
      <c r="E10" s="124">
        <f t="shared" ca="1" si="1"/>
        <v>142</v>
      </c>
      <c r="F10" s="124">
        <f t="shared" ca="1" si="1"/>
        <v>256</v>
      </c>
      <c r="G10" s="124">
        <f t="shared" ca="1" si="1"/>
        <v>199</v>
      </c>
      <c r="H10" s="124">
        <f t="shared" ca="1" si="1"/>
        <v>149</v>
      </c>
      <c r="I10" s="124">
        <f t="shared" ca="1" si="1"/>
        <v>158</v>
      </c>
      <c r="J10" s="124">
        <f t="shared" ca="1" si="1"/>
        <v>133</v>
      </c>
      <c r="K10" s="124">
        <f t="shared" ca="1" si="1"/>
        <v>202</v>
      </c>
      <c r="L10" s="124">
        <f t="shared" ca="1" si="1"/>
        <v>154</v>
      </c>
      <c r="M10" s="124">
        <f t="shared" ca="1" si="2"/>
        <v>158</v>
      </c>
      <c r="N10" s="124">
        <f t="shared" ca="1" si="2"/>
        <v>88</v>
      </c>
      <c r="O10" s="124">
        <f t="shared" ca="1" si="2"/>
        <v>111</v>
      </c>
      <c r="P10" s="124">
        <f t="shared" ca="1" si="2"/>
        <v>92</v>
      </c>
      <c r="Q10" s="124">
        <f t="shared" ca="1" si="2"/>
        <v>178</v>
      </c>
      <c r="R10" s="124">
        <f t="shared" ca="1" si="2"/>
        <v>77</v>
      </c>
      <c r="S10" s="124">
        <f t="shared" ca="1" si="2"/>
        <v>193</v>
      </c>
      <c r="T10" s="124">
        <f t="shared" ca="1" si="2"/>
        <v>178</v>
      </c>
      <c r="U10" s="124">
        <f t="shared" ca="1" si="2"/>
        <v>93</v>
      </c>
      <c r="V10" s="124">
        <f t="shared" ca="1" si="2"/>
        <v>189</v>
      </c>
      <c r="W10" s="124">
        <f t="shared" ca="1" si="2"/>
        <v>183</v>
      </c>
      <c r="X10" s="288">
        <f t="shared" ca="1" si="2"/>
        <v>312</v>
      </c>
      <c r="Y10" s="172">
        <f t="shared" ca="1" si="3"/>
        <v>3486.0977639659836</v>
      </c>
      <c r="Z10" s="108">
        <f t="shared" ca="1" si="4"/>
        <v>10</v>
      </c>
      <c r="AA10" s="114">
        <f ca="1">IF(AB10&lt;&gt;"",HLOOKUP(AB10,originaliteit!$B$1:$M$65,65,0),"")</f>
        <v>1.0289141414141416</v>
      </c>
      <c r="AB10" s="169" t="s">
        <v>241</v>
      </c>
    </row>
    <row r="11" spans="1:28" ht="13.5" hidden="1" customHeight="1">
      <c r="A11" s="108">
        <v>9</v>
      </c>
      <c r="B11" s="112" t="str">
        <f t="shared" ca="1" si="0"/>
        <v>Prajak Mahawong</v>
      </c>
      <c r="C11" s="124">
        <f t="shared" ca="1" si="1"/>
        <v>107</v>
      </c>
      <c r="D11" s="124">
        <f t="shared" ca="1" si="1"/>
        <v>119</v>
      </c>
      <c r="E11" s="124">
        <f t="shared" ca="1" si="1"/>
        <v>128</v>
      </c>
      <c r="F11" s="124">
        <f t="shared" ca="1" si="1"/>
        <v>244</v>
      </c>
      <c r="G11" s="124">
        <f t="shared" ca="1" si="1"/>
        <v>163</v>
      </c>
      <c r="H11" s="124">
        <f t="shared" ca="1" si="1"/>
        <v>164</v>
      </c>
      <c r="I11" s="124">
        <f t="shared" ca="1" si="1"/>
        <v>107</v>
      </c>
      <c r="J11" s="124">
        <f t="shared" ca="1" si="1"/>
        <v>145</v>
      </c>
      <c r="K11" s="124">
        <f t="shared" ca="1" si="1"/>
        <v>240</v>
      </c>
      <c r="L11" s="124">
        <f t="shared" ca="1" si="1"/>
        <v>154</v>
      </c>
      <c r="M11" s="124">
        <f t="shared" ca="1" si="2"/>
        <v>130</v>
      </c>
      <c r="N11" s="124">
        <f t="shared" ca="1" si="2"/>
        <v>105</v>
      </c>
      <c r="O11" s="124">
        <f t="shared" ca="1" si="2"/>
        <v>120</v>
      </c>
      <c r="P11" s="124">
        <f t="shared" ca="1" si="2"/>
        <v>104</v>
      </c>
      <c r="Q11" s="124">
        <f t="shared" ca="1" si="2"/>
        <v>211</v>
      </c>
      <c r="R11" s="124">
        <f t="shared" ca="1" si="2"/>
        <v>80</v>
      </c>
      <c r="S11" s="124">
        <f t="shared" ca="1" si="2"/>
        <v>189</v>
      </c>
      <c r="T11" s="124">
        <f t="shared" ca="1" si="2"/>
        <v>167</v>
      </c>
      <c r="U11" s="124">
        <f t="shared" ca="1" si="2"/>
        <v>120</v>
      </c>
      <c r="V11" s="124">
        <f t="shared" ca="1" si="2"/>
        <v>204</v>
      </c>
      <c r="W11" s="124">
        <f t="shared" ca="1" si="2"/>
        <v>145</v>
      </c>
      <c r="X11" s="288">
        <f t="shared" ca="1" si="2"/>
        <v>363</v>
      </c>
      <c r="Y11" s="172">
        <f t="shared" ca="1" si="3"/>
        <v>3509.0759292140019</v>
      </c>
      <c r="Z11" s="108">
        <f t="shared" ca="1" si="4"/>
        <v>9</v>
      </c>
      <c r="AA11" s="114">
        <f ca="1">IF(AB11&lt;&gt;"",HLOOKUP(AB11,originaliteit!$B$1:$M$65,65,0),"")</f>
        <v>0.96272668202492784</v>
      </c>
      <c r="AB11" s="169" t="s">
        <v>126</v>
      </c>
    </row>
    <row r="12" spans="1:28" ht="13.5" hidden="1" customHeight="1">
      <c r="A12" s="108">
        <v>10</v>
      </c>
      <c r="B12" s="112" t="str">
        <f t="shared" ca="1" si="0"/>
        <v>Freaky's monstermannnen</v>
      </c>
      <c r="C12" s="124">
        <f t="shared" ca="1" si="1"/>
        <v>70</v>
      </c>
      <c r="D12" s="124">
        <f t="shared" ca="1" si="1"/>
        <v>118</v>
      </c>
      <c r="E12" s="124">
        <f t="shared" ca="1" si="1"/>
        <v>111</v>
      </c>
      <c r="F12" s="124">
        <f t="shared" ca="1" si="1"/>
        <v>265</v>
      </c>
      <c r="G12" s="124">
        <f t="shared" ca="1" si="1"/>
        <v>175</v>
      </c>
      <c r="H12" s="124">
        <f t="shared" ca="1" si="1"/>
        <v>165</v>
      </c>
      <c r="I12" s="124">
        <f t="shared" ca="1" si="1"/>
        <v>173</v>
      </c>
      <c r="J12" s="124">
        <f t="shared" ca="1" si="1"/>
        <v>121</v>
      </c>
      <c r="K12" s="124">
        <f t="shared" ca="1" si="1"/>
        <v>208</v>
      </c>
      <c r="L12" s="124">
        <f t="shared" ca="1" si="1"/>
        <v>124</v>
      </c>
      <c r="M12" s="124">
        <f t="shared" ca="1" si="2"/>
        <v>136</v>
      </c>
      <c r="N12" s="124">
        <f t="shared" ca="1" si="2"/>
        <v>90</v>
      </c>
      <c r="O12" s="124">
        <f t="shared" ca="1" si="2"/>
        <v>120</v>
      </c>
      <c r="P12" s="124">
        <f t="shared" ca="1" si="2"/>
        <v>100</v>
      </c>
      <c r="Q12" s="124">
        <f t="shared" ca="1" si="2"/>
        <v>190</v>
      </c>
      <c r="R12" s="124">
        <f t="shared" ca="1" si="2"/>
        <v>134</v>
      </c>
      <c r="S12" s="124">
        <f t="shared" ca="1" si="2"/>
        <v>210</v>
      </c>
      <c r="T12" s="124">
        <f t="shared" ca="1" si="2"/>
        <v>215</v>
      </c>
      <c r="U12" s="124">
        <f t="shared" ca="1" si="2"/>
        <v>111</v>
      </c>
      <c r="V12" s="124">
        <f t="shared" ca="1" si="2"/>
        <v>195</v>
      </c>
      <c r="W12" s="124">
        <f t="shared" ca="1" si="2"/>
        <v>206</v>
      </c>
      <c r="X12" s="288">
        <f t="shared" ca="1" si="2"/>
        <v>366</v>
      </c>
      <c r="Y12" s="172">
        <f t="shared" ca="1" si="3"/>
        <v>3603.0641933405927</v>
      </c>
      <c r="Z12" s="108">
        <f t="shared" ca="1" si="4"/>
        <v>6</v>
      </c>
      <c r="AA12" s="114">
        <f ca="1">IF(AB12&lt;&gt;"",HLOOKUP(AB12,originaliteit!$B$1:$M$65,65,0),"")</f>
        <v>0.98089133640275661</v>
      </c>
      <c r="AB12" s="169" t="s">
        <v>236</v>
      </c>
    </row>
    <row r="13" spans="1:28" ht="13.5" hidden="1" customHeight="1">
      <c r="A13" s="108">
        <v>11</v>
      </c>
      <c r="B13" s="112" t="str">
        <f t="shared" ca="1" si="0"/>
        <v>Onder de vod</v>
      </c>
      <c r="C13" s="124">
        <f t="shared" ca="1" si="1"/>
        <v>130</v>
      </c>
      <c r="D13" s="124">
        <f t="shared" ca="1" si="1"/>
        <v>138</v>
      </c>
      <c r="E13" s="124">
        <f t="shared" ca="1" si="1"/>
        <v>153</v>
      </c>
      <c r="F13" s="124">
        <f t="shared" ca="1" si="1"/>
        <v>219</v>
      </c>
      <c r="G13" s="124">
        <f t="shared" ca="1" si="1"/>
        <v>195</v>
      </c>
      <c r="H13" s="124">
        <f t="shared" ca="1" si="1"/>
        <v>182</v>
      </c>
      <c r="I13" s="124">
        <f t="shared" ca="1" si="1"/>
        <v>141</v>
      </c>
      <c r="J13" s="124">
        <f t="shared" ca="1" si="1"/>
        <v>90</v>
      </c>
      <c r="K13" s="124">
        <f t="shared" ca="1" si="1"/>
        <v>185</v>
      </c>
      <c r="L13" s="124">
        <f t="shared" ca="1" si="1"/>
        <v>158</v>
      </c>
      <c r="M13" s="124">
        <f t="shared" ca="1" si="2"/>
        <v>145</v>
      </c>
      <c r="N13" s="124">
        <f t="shared" ca="1" si="2"/>
        <v>98</v>
      </c>
      <c r="O13" s="124">
        <f t="shared" ca="1" si="2"/>
        <v>132</v>
      </c>
      <c r="P13" s="124">
        <f t="shared" ca="1" si="2"/>
        <v>88</v>
      </c>
      <c r="Q13" s="124">
        <f t="shared" ca="1" si="2"/>
        <v>149</v>
      </c>
      <c r="R13" s="124">
        <f t="shared" ca="1" si="2"/>
        <v>89</v>
      </c>
      <c r="S13" s="124">
        <f t="shared" ca="1" si="2"/>
        <v>149</v>
      </c>
      <c r="T13" s="124">
        <f t="shared" ca="1" si="2"/>
        <v>157</v>
      </c>
      <c r="U13" s="124">
        <f t="shared" ca="1" si="2"/>
        <v>110</v>
      </c>
      <c r="V13" s="124">
        <f t="shared" ca="1" si="2"/>
        <v>193</v>
      </c>
      <c r="W13" s="124">
        <f t="shared" ca="1" si="2"/>
        <v>177</v>
      </c>
      <c r="X13" s="288">
        <f t="shared" ca="1" si="2"/>
        <v>274</v>
      </c>
      <c r="Y13" s="172">
        <f t="shared" ca="1" si="3"/>
        <v>3352.0101672814758</v>
      </c>
      <c r="Z13" s="108">
        <f t="shared" ca="1" si="4"/>
        <v>11</v>
      </c>
      <c r="AA13" s="114">
        <f ca="1">IF(AB13&lt;&gt;"",HLOOKUP(AB13,originaliteit!$B$1:$M$65,65,0),"")</f>
        <v>0.99975463133357889</v>
      </c>
      <c r="AB13" s="169" t="s">
        <v>162</v>
      </c>
    </row>
    <row r="14" spans="1:28" ht="13.5" hidden="1" customHeight="1">
      <c r="A14" s="108">
        <v>12</v>
      </c>
      <c r="B14" s="112" t="e">
        <f t="shared" ref="B14:B19" ca="1" si="5">INDIRECT($AB14&amp;"!c1")</f>
        <v>#REF!</v>
      </c>
      <c r="C14" s="124" t="e">
        <f t="shared" ref="C14:C19" ca="1" si="6">ROUND(INDIRECT($AB14&amp;"!"&amp;C$1&amp;"22"),1)</f>
        <v>#REF!</v>
      </c>
      <c r="D14" s="124" t="e">
        <f t="shared" ref="D14:D19" ca="1" si="7">ROUND(INDIRECT($AB14&amp;"!"&amp;D$1&amp;"22"),1)</f>
        <v>#REF!</v>
      </c>
      <c r="E14" s="124" t="e">
        <f t="shared" ref="E14:X16" ca="1" si="8">ROUND(INDIRECT($AB14&amp;"!"&amp;E$1&amp;"22"),1)</f>
        <v>#REF!</v>
      </c>
      <c r="F14" s="124" t="e">
        <f t="shared" ca="1" si="8"/>
        <v>#REF!</v>
      </c>
      <c r="G14" s="124" t="e">
        <f t="shared" ca="1" si="8"/>
        <v>#REF!</v>
      </c>
      <c r="H14" s="124" t="e">
        <f t="shared" ca="1" si="8"/>
        <v>#REF!</v>
      </c>
      <c r="I14" s="124" t="e">
        <f t="shared" ca="1" si="8"/>
        <v>#REF!</v>
      </c>
      <c r="J14" s="124" t="e">
        <f t="shared" ca="1" si="8"/>
        <v>#REF!</v>
      </c>
      <c r="K14" s="124" t="e">
        <f t="shared" ca="1" si="8"/>
        <v>#REF!</v>
      </c>
      <c r="L14" s="124" t="e">
        <f t="shared" ca="1" si="8"/>
        <v>#REF!</v>
      </c>
      <c r="M14" s="124" t="e">
        <f t="shared" ca="1" si="8"/>
        <v>#REF!</v>
      </c>
      <c r="N14" s="124" t="e">
        <f t="shared" ca="1" si="8"/>
        <v>#REF!</v>
      </c>
      <c r="O14" s="124" t="e">
        <f t="shared" ca="1" si="8"/>
        <v>#REF!</v>
      </c>
      <c r="P14" s="124" t="e">
        <f t="shared" ca="1" si="8"/>
        <v>#REF!</v>
      </c>
      <c r="Q14" s="124" t="e">
        <f t="shared" ca="1" si="8"/>
        <v>#REF!</v>
      </c>
      <c r="R14" s="124" t="e">
        <f t="shared" ca="1" si="8"/>
        <v>#REF!</v>
      </c>
      <c r="S14" s="124" t="e">
        <f t="shared" ca="1" si="8"/>
        <v>#REF!</v>
      </c>
      <c r="T14" s="124" t="e">
        <f t="shared" ca="1" si="8"/>
        <v>#REF!</v>
      </c>
      <c r="U14" s="124" t="e">
        <f t="shared" ca="1" si="8"/>
        <v>#REF!</v>
      </c>
      <c r="V14" s="124" t="e">
        <f t="shared" ca="1" si="8"/>
        <v>#REF!</v>
      </c>
      <c r="W14" s="124" t="e">
        <f t="shared" ca="1" si="8"/>
        <v>#REF!</v>
      </c>
      <c r="X14" s="288" t="e">
        <f t="shared" ca="1" si="8"/>
        <v>#REF!</v>
      </c>
      <c r="Y14" s="172" t="e">
        <f t="shared" ref="Y14:Y19" ca="1" si="9">SUM(C14:X14)+RAND()/10</f>
        <v>#REF!</v>
      </c>
      <c r="Z14" s="108" t="e">
        <f t="shared" ref="Z14:Z19" ca="1" si="10">RANK(Y14,$Y$3:$Y$13)</f>
        <v>#REF!</v>
      </c>
      <c r="AA14" s="114" t="e">
        <f>IF(AB14&lt;&gt;"",HLOOKUP(AB14,originaliteit!$B$1:$M$65,65,0),"")</f>
        <v>#REF!</v>
      </c>
      <c r="AB14" s="169" t="e">
        <f t="shared" ref="AB14:AB19" si="11">INDEX(lijst_sheets,,A14)</f>
        <v>#REF!</v>
      </c>
    </row>
    <row r="15" spans="1:28" ht="13.5" hidden="1" customHeight="1">
      <c r="A15" s="108">
        <v>13</v>
      </c>
      <c r="B15" s="112" t="e">
        <f t="shared" ca="1" si="5"/>
        <v>#REF!</v>
      </c>
      <c r="C15" s="124" t="e">
        <f t="shared" ca="1" si="6"/>
        <v>#REF!</v>
      </c>
      <c r="D15" s="124" t="e">
        <f t="shared" ca="1" si="7"/>
        <v>#REF!</v>
      </c>
      <c r="E15" s="124" t="e">
        <f t="shared" ca="1" si="8"/>
        <v>#REF!</v>
      </c>
      <c r="F15" s="124" t="e">
        <f t="shared" ca="1" si="8"/>
        <v>#REF!</v>
      </c>
      <c r="G15" s="124" t="e">
        <f t="shared" ca="1" si="8"/>
        <v>#REF!</v>
      </c>
      <c r="H15" s="124" t="e">
        <f t="shared" ca="1" si="8"/>
        <v>#REF!</v>
      </c>
      <c r="I15" s="124" t="e">
        <f t="shared" ca="1" si="8"/>
        <v>#REF!</v>
      </c>
      <c r="J15" s="124" t="e">
        <f t="shared" ca="1" si="8"/>
        <v>#REF!</v>
      </c>
      <c r="K15" s="124" t="e">
        <f t="shared" ca="1" si="8"/>
        <v>#REF!</v>
      </c>
      <c r="L15" s="124" t="e">
        <f t="shared" ca="1" si="8"/>
        <v>#REF!</v>
      </c>
      <c r="M15" s="124" t="e">
        <f t="shared" ca="1" si="8"/>
        <v>#REF!</v>
      </c>
      <c r="N15" s="124" t="e">
        <f t="shared" ca="1" si="8"/>
        <v>#REF!</v>
      </c>
      <c r="O15" s="124" t="e">
        <f t="shared" ca="1" si="8"/>
        <v>#REF!</v>
      </c>
      <c r="P15" s="124" t="e">
        <f t="shared" ca="1" si="8"/>
        <v>#REF!</v>
      </c>
      <c r="Q15" s="124" t="e">
        <f t="shared" ca="1" si="8"/>
        <v>#REF!</v>
      </c>
      <c r="R15" s="124" t="e">
        <f t="shared" ca="1" si="8"/>
        <v>#REF!</v>
      </c>
      <c r="S15" s="124" t="e">
        <f t="shared" ca="1" si="8"/>
        <v>#REF!</v>
      </c>
      <c r="T15" s="124" t="e">
        <f t="shared" ca="1" si="8"/>
        <v>#REF!</v>
      </c>
      <c r="U15" s="124" t="e">
        <f t="shared" ca="1" si="8"/>
        <v>#REF!</v>
      </c>
      <c r="V15" s="124" t="e">
        <f t="shared" ca="1" si="8"/>
        <v>#REF!</v>
      </c>
      <c r="W15" s="124" t="e">
        <f t="shared" ca="1" si="8"/>
        <v>#REF!</v>
      </c>
      <c r="X15" s="288" t="e">
        <f t="shared" ca="1" si="8"/>
        <v>#REF!</v>
      </c>
      <c r="Y15" s="172" t="e">
        <f t="shared" ca="1" si="9"/>
        <v>#REF!</v>
      </c>
      <c r="Z15" s="108" t="e">
        <f t="shared" ca="1" si="10"/>
        <v>#REF!</v>
      </c>
      <c r="AA15" s="114" t="e">
        <f>IF(AB15&lt;&gt;"",HLOOKUP(AB15,originaliteit!$B$1:$M$65,65,0),"")</f>
        <v>#REF!</v>
      </c>
      <c r="AB15" s="169" t="e">
        <f t="shared" si="11"/>
        <v>#REF!</v>
      </c>
    </row>
    <row r="16" spans="1:28" ht="13.5" hidden="1" customHeight="1">
      <c r="A16" s="108">
        <v>14</v>
      </c>
      <c r="B16" s="112" t="e">
        <f t="shared" ca="1" si="5"/>
        <v>#REF!</v>
      </c>
      <c r="C16" s="124" t="e">
        <f t="shared" ca="1" si="6"/>
        <v>#REF!</v>
      </c>
      <c r="D16" s="124" t="e">
        <f t="shared" ca="1" si="7"/>
        <v>#REF!</v>
      </c>
      <c r="E16" s="124" t="e">
        <f t="shared" ca="1" si="8"/>
        <v>#REF!</v>
      </c>
      <c r="F16" s="124" t="e">
        <f t="shared" ca="1" si="8"/>
        <v>#REF!</v>
      </c>
      <c r="G16" s="124" t="e">
        <f t="shared" ca="1" si="8"/>
        <v>#REF!</v>
      </c>
      <c r="H16" s="124" t="e">
        <f t="shared" ca="1" si="8"/>
        <v>#REF!</v>
      </c>
      <c r="I16" s="124" t="e">
        <f t="shared" ca="1" si="8"/>
        <v>#REF!</v>
      </c>
      <c r="J16" s="124" t="e">
        <f t="shared" ca="1" si="8"/>
        <v>#REF!</v>
      </c>
      <c r="K16" s="124" t="e">
        <f t="shared" ca="1" si="8"/>
        <v>#REF!</v>
      </c>
      <c r="L16" s="124" t="e">
        <f t="shared" ca="1" si="8"/>
        <v>#REF!</v>
      </c>
      <c r="M16" s="124" t="e">
        <f t="shared" ca="1" si="8"/>
        <v>#REF!</v>
      </c>
      <c r="N16" s="124" t="e">
        <f t="shared" ca="1" si="8"/>
        <v>#REF!</v>
      </c>
      <c r="O16" s="124" t="e">
        <f t="shared" ref="E16:X19" ca="1" si="12">ROUND(INDIRECT($AB16&amp;"!"&amp;O$1&amp;"22"),1)</f>
        <v>#REF!</v>
      </c>
      <c r="P16" s="124" t="e">
        <f t="shared" ca="1" si="12"/>
        <v>#REF!</v>
      </c>
      <c r="Q16" s="124" t="e">
        <f t="shared" ca="1" si="12"/>
        <v>#REF!</v>
      </c>
      <c r="R16" s="124" t="e">
        <f t="shared" ca="1" si="12"/>
        <v>#REF!</v>
      </c>
      <c r="S16" s="124" t="e">
        <f t="shared" ca="1" si="12"/>
        <v>#REF!</v>
      </c>
      <c r="T16" s="124" t="e">
        <f t="shared" ca="1" si="12"/>
        <v>#REF!</v>
      </c>
      <c r="U16" s="124" t="e">
        <f t="shared" ca="1" si="12"/>
        <v>#REF!</v>
      </c>
      <c r="V16" s="124" t="e">
        <f t="shared" ca="1" si="12"/>
        <v>#REF!</v>
      </c>
      <c r="W16" s="124" t="e">
        <f t="shared" ca="1" si="12"/>
        <v>#REF!</v>
      </c>
      <c r="X16" s="288" t="e">
        <f t="shared" ca="1" si="12"/>
        <v>#REF!</v>
      </c>
      <c r="Y16" s="172" t="e">
        <f t="shared" ca="1" si="9"/>
        <v>#REF!</v>
      </c>
      <c r="Z16" s="108" t="e">
        <f t="shared" ca="1" si="10"/>
        <v>#REF!</v>
      </c>
      <c r="AA16" s="114" t="e">
        <f>IF(AB16&lt;&gt;"",HLOOKUP(AB16,originaliteit!$B$1:$M$65,65,0),"")</f>
        <v>#REF!</v>
      </c>
      <c r="AB16" s="169" t="e">
        <f t="shared" si="11"/>
        <v>#REF!</v>
      </c>
    </row>
    <row r="17" spans="1:50" ht="13.5" hidden="1" customHeight="1">
      <c r="A17" s="108">
        <v>15</v>
      </c>
      <c r="B17" s="112" t="e">
        <f t="shared" ca="1" si="5"/>
        <v>#REF!</v>
      </c>
      <c r="C17" s="124" t="e">
        <f t="shared" ca="1" si="6"/>
        <v>#REF!</v>
      </c>
      <c r="D17" s="124" t="e">
        <f t="shared" ca="1" si="7"/>
        <v>#REF!</v>
      </c>
      <c r="E17" s="124" t="e">
        <f t="shared" ca="1" si="12"/>
        <v>#REF!</v>
      </c>
      <c r="F17" s="124" t="e">
        <f t="shared" ca="1" si="12"/>
        <v>#REF!</v>
      </c>
      <c r="G17" s="124" t="e">
        <f t="shared" ca="1" si="12"/>
        <v>#REF!</v>
      </c>
      <c r="H17" s="124" t="e">
        <f t="shared" ca="1" si="12"/>
        <v>#REF!</v>
      </c>
      <c r="I17" s="124" t="e">
        <f t="shared" ca="1" si="12"/>
        <v>#REF!</v>
      </c>
      <c r="J17" s="124" t="e">
        <f t="shared" ca="1" si="12"/>
        <v>#REF!</v>
      </c>
      <c r="K17" s="124" t="e">
        <f t="shared" ca="1" si="12"/>
        <v>#REF!</v>
      </c>
      <c r="L17" s="124" t="e">
        <f t="shared" ca="1" si="12"/>
        <v>#REF!</v>
      </c>
      <c r="M17" s="124" t="e">
        <f t="shared" ca="1" si="12"/>
        <v>#REF!</v>
      </c>
      <c r="N17" s="124" t="e">
        <f t="shared" ca="1" si="12"/>
        <v>#REF!</v>
      </c>
      <c r="O17" s="124" t="e">
        <f t="shared" ca="1" si="12"/>
        <v>#REF!</v>
      </c>
      <c r="P17" s="124" t="e">
        <f t="shared" ca="1" si="12"/>
        <v>#REF!</v>
      </c>
      <c r="Q17" s="124" t="e">
        <f t="shared" ca="1" si="12"/>
        <v>#REF!</v>
      </c>
      <c r="R17" s="124" t="e">
        <f t="shared" ca="1" si="12"/>
        <v>#REF!</v>
      </c>
      <c r="S17" s="124" t="e">
        <f t="shared" ca="1" si="12"/>
        <v>#REF!</v>
      </c>
      <c r="T17" s="124" t="e">
        <f t="shared" ca="1" si="12"/>
        <v>#REF!</v>
      </c>
      <c r="U17" s="124" t="e">
        <f t="shared" ca="1" si="12"/>
        <v>#REF!</v>
      </c>
      <c r="V17" s="124" t="e">
        <f t="shared" ca="1" si="12"/>
        <v>#REF!</v>
      </c>
      <c r="W17" s="124" t="e">
        <f t="shared" ca="1" si="12"/>
        <v>#REF!</v>
      </c>
      <c r="X17" s="288" t="e">
        <f t="shared" ca="1" si="12"/>
        <v>#REF!</v>
      </c>
      <c r="Y17" s="172" t="e">
        <f t="shared" ca="1" si="9"/>
        <v>#REF!</v>
      </c>
      <c r="Z17" s="108" t="e">
        <f t="shared" ca="1" si="10"/>
        <v>#REF!</v>
      </c>
      <c r="AA17" s="114" t="e">
        <f>IF(AB17&lt;&gt;"",HLOOKUP(AB17,originaliteit!$B$1:$M$65,65,0),"")</f>
        <v>#REF!</v>
      </c>
      <c r="AB17" s="169" t="e">
        <f t="shared" si="11"/>
        <v>#REF!</v>
      </c>
    </row>
    <row r="18" spans="1:50" ht="13.5" hidden="1" customHeight="1">
      <c r="A18" s="108">
        <v>16</v>
      </c>
      <c r="B18" s="112" t="e">
        <f t="shared" ca="1" si="5"/>
        <v>#REF!</v>
      </c>
      <c r="C18" s="124" t="e">
        <f t="shared" ca="1" si="6"/>
        <v>#REF!</v>
      </c>
      <c r="D18" s="124" t="e">
        <f t="shared" ca="1" si="7"/>
        <v>#REF!</v>
      </c>
      <c r="E18" s="124" t="e">
        <f t="shared" ca="1" si="12"/>
        <v>#REF!</v>
      </c>
      <c r="F18" s="124" t="e">
        <f t="shared" ca="1" si="12"/>
        <v>#REF!</v>
      </c>
      <c r="G18" s="124" t="e">
        <f t="shared" ca="1" si="12"/>
        <v>#REF!</v>
      </c>
      <c r="H18" s="124" t="e">
        <f t="shared" ca="1" si="12"/>
        <v>#REF!</v>
      </c>
      <c r="I18" s="124" t="e">
        <f t="shared" ca="1" si="12"/>
        <v>#REF!</v>
      </c>
      <c r="J18" s="124" t="e">
        <f t="shared" ca="1" si="12"/>
        <v>#REF!</v>
      </c>
      <c r="K18" s="124" t="e">
        <f t="shared" ca="1" si="12"/>
        <v>#REF!</v>
      </c>
      <c r="L18" s="124" t="e">
        <f t="shared" ca="1" si="12"/>
        <v>#REF!</v>
      </c>
      <c r="M18" s="124" t="e">
        <f t="shared" ca="1" si="12"/>
        <v>#REF!</v>
      </c>
      <c r="N18" s="124" t="e">
        <f t="shared" ca="1" si="12"/>
        <v>#REF!</v>
      </c>
      <c r="O18" s="124" t="e">
        <f t="shared" ca="1" si="12"/>
        <v>#REF!</v>
      </c>
      <c r="P18" s="124" t="e">
        <f t="shared" ca="1" si="12"/>
        <v>#REF!</v>
      </c>
      <c r="Q18" s="124" t="e">
        <f t="shared" ca="1" si="12"/>
        <v>#REF!</v>
      </c>
      <c r="R18" s="124" t="e">
        <f t="shared" ca="1" si="12"/>
        <v>#REF!</v>
      </c>
      <c r="S18" s="124" t="e">
        <f t="shared" ca="1" si="12"/>
        <v>#REF!</v>
      </c>
      <c r="T18" s="124" t="e">
        <f t="shared" ca="1" si="12"/>
        <v>#REF!</v>
      </c>
      <c r="U18" s="124" t="e">
        <f t="shared" ca="1" si="12"/>
        <v>#REF!</v>
      </c>
      <c r="V18" s="124" t="e">
        <f t="shared" ca="1" si="12"/>
        <v>#REF!</v>
      </c>
      <c r="W18" s="124" t="e">
        <f t="shared" ca="1" si="12"/>
        <v>#REF!</v>
      </c>
      <c r="X18" s="288" t="e">
        <f t="shared" ca="1" si="12"/>
        <v>#REF!</v>
      </c>
      <c r="Y18" s="172" t="e">
        <f t="shared" ca="1" si="9"/>
        <v>#REF!</v>
      </c>
      <c r="Z18" s="108" t="e">
        <f t="shared" ca="1" si="10"/>
        <v>#REF!</v>
      </c>
      <c r="AA18" s="114" t="e">
        <f>IF(AB18&lt;&gt;"",HLOOKUP(AB18,originaliteit!$B$1:$M$65,65,0),"")</f>
        <v>#REF!</v>
      </c>
      <c r="AB18" s="169" t="e">
        <f t="shared" si="11"/>
        <v>#REF!</v>
      </c>
    </row>
    <row r="19" spans="1:50" ht="13.5" hidden="1" customHeight="1">
      <c r="A19" s="108">
        <v>17</v>
      </c>
      <c r="B19" s="112" t="e">
        <f t="shared" ca="1" si="5"/>
        <v>#REF!</v>
      </c>
      <c r="C19" s="124" t="e">
        <f t="shared" ca="1" si="6"/>
        <v>#REF!</v>
      </c>
      <c r="D19" s="124" t="e">
        <f t="shared" ca="1" si="7"/>
        <v>#REF!</v>
      </c>
      <c r="E19" s="124" t="e">
        <f t="shared" ca="1" si="12"/>
        <v>#REF!</v>
      </c>
      <c r="F19" s="124" t="e">
        <f t="shared" ca="1" si="12"/>
        <v>#REF!</v>
      </c>
      <c r="G19" s="124" t="e">
        <f t="shared" ca="1" si="12"/>
        <v>#REF!</v>
      </c>
      <c r="H19" s="124" t="e">
        <f t="shared" ca="1" si="12"/>
        <v>#REF!</v>
      </c>
      <c r="I19" s="124" t="e">
        <f t="shared" ca="1" si="12"/>
        <v>#REF!</v>
      </c>
      <c r="J19" s="124" t="e">
        <f t="shared" ca="1" si="12"/>
        <v>#REF!</v>
      </c>
      <c r="K19" s="124" t="e">
        <f t="shared" ca="1" si="12"/>
        <v>#REF!</v>
      </c>
      <c r="L19" s="124" t="e">
        <f t="shared" ca="1" si="12"/>
        <v>#REF!</v>
      </c>
      <c r="M19" s="124" t="e">
        <f t="shared" ca="1" si="12"/>
        <v>#REF!</v>
      </c>
      <c r="N19" s="124" t="e">
        <f t="shared" ca="1" si="12"/>
        <v>#REF!</v>
      </c>
      <c r="O19" s="124" t="e">
        <f t="shared" ca="1" si="12"/>
        <v>#REF!</v>
      </c>
      <c r="P19" s="124" t="e">
        <f t="shared" ca="1" si="12"/>
        <v>#REF!</v>
      </c>
      <c r="Q19" s="124" t="e">
        <f t="shared" ca="1" si="12"/>
        <v>#REF!</v>
      </c>
      <c r="R19" s="124" t="e">
        <f t="shared" ca="1" si="12"/>
        <v>#REF!</v>
      </c>
      <c r="S19" s="124" t="e">
        <f t="shared" ca="1" si="12"/>
        <v>#REF!</v>
      </c>
      <c r="T19" s="124" t="e">
        <f t="shared" ca="1" si="12"/>
        <v>#REF!</v>
      </c>
      <c r="U19" s="124" t="e">
        <f t="shared" ca="1" si="12"/>
        <v>#REF!</v>
      </c>
      <c r="V19" s="124" t="e">
        <f t="shared" ca="1" si="12"/>
        <v>#REF!</v>
      </c>
      <c r="W19" s="124" t="e">
        <f t="shared" ca="1" si="12"/>
        <v>#REF!</v>
      </c>
      <c r="X19" s="288" t="e">
        <f t="shared" ca="1" si="12"/>
        <v>#REF!</v>
      </c>
      <c r="Y19" s="172" t="e">
        <f t="shared" ca="1" si="9"/>
        <v>#REF!</v>
      </c>
      <c r="Z19" s="108" t="e">
        <f t="shared" ca="1" si="10"/>
        <v>#REF!</v>
      </c>
      <c r="AA19" s="114" t="e">
        <f>IF(AB19&lt;&gt;"",HLOOKUP(AB19,originaliteit!$B$1:$M$65,65,0),"")</f>
        <v>#REF!</v>
      </c>
      <c r="AB19" s="169" t="e">
        <f t="shared" si="11"/>
        <v>#REF!</v>
      </c>
    </row>
    <row r="20" spans="1:50" ht="12" customHeight="1">
      <c r="B20" s="116" t="s">
        <v>6</v>
      </c>
      <c r="AB20" s="116" t="s">
        <v>8</v>
      </c>
    </row>
    <row r="21" spans="1:50" s="109" customFormat="1" ht="12" customHeight="1" thickBot="1">
      <c r="C21" s="111">
        <f>C2</f>
        <v>1</v>
      </c>
      <c r="D21" s="111">
        <f t="shared" ref="D21" si="13">D2</f>
        <v>2</v>
      </c>
      <c r="E21" s="111">
        <f t="shared" ref="E21:X21" si="14">E2</f>
        <v>3</v>
      </c>
      <c r="F21" s="111">
        <f t="shared" si="14"/>
        <v>4</v>
      </c>
      <c r="G21" s="111">
        <f t="shared" si="14"/>
        <v>5</v>
      </c>
      <c r="H21" s="111">
        <f t="shared" si="14"/>
        <v>6</v>
      </c>
      <c r="I21" s="111">
        <f t="shared" si="14"/>
        <v>7</v>
      </c>
      <c r="J21" s="111">
        <f t="shared" si="14"/>
        <v>8</v>
      </c>
      <c r="K21" s="111">
        <f t="shared" si="14"/>
        <v>9</v>
      </c>
      <c r="L21" s="111">
        <f t="shared" si="14"/>
        <v>10</v>
      </c>
      <c r="M21" s="111">
        <f t="shared" si="14"/>
        <v>11</v>
      </c>
      <c r="N21" s="111">
        <f t="shared" si="14"/>
        <v>12</v>
      </c>
      <c r="O21" s="111">
        <f t="shared" si="14"/>
        <v>13</v>
      </c>
      <c r="P21" s="111">
        <f t="shared" si="14"/>
        <v>14</v>
      </c>
      <c r="Q21" s="111">
        <f t="shared" si="14"/>
        <v>15</v>
      </c>
      <c r="R21" s="111">
        <f t="shared" si="14"/>
        <v>16</v>
      </c>
      <c r="S21" s="111">
        <f t="shared" si="14"/>
        <v>17</v>
      </c>
      <c r="T21" s="111">
        <f t="shared" si="14"/>
        <v>18</v>
      </c>
      <c r="U21" s="111">
        <f t="shared" si="14"/>
        <v>19</v>
      </c>
      <c r="V21" s="111">
        <f t="shared" si="14"/>
        <v>20</v>
      </c>
      <c r="W21" s="111">
        <f t="shared" si="14"/>
        <v>21</v>
      </c>
      <c r="X21" s="318" t="str">
        <f t="shared" si="14"/>
        <v>B</v>
      </c>
      <c r="AC21" s="111">
        <f>C21</f>
        <v>1</v>
      </c>
      <c r="AD21" s="111">
        <f>D21</f>
        <v>2</v>
      </c>
      <c r="AE21" s="111">
        <f t="shared" ref="AE21:AX21" si="15">E21</f>
        <v>3</v>
      </c>
      <c r="AF21" s="111">
        <f t="shared" si="15"/>
        <v>4</v>
      </c>
      <c r="AG21" s="111">
        <f t="shared" si="15"/>
        <v>5</v>
      </c>
      <c r="AH21" s="111">
        <f t="shared" si="15"/>
        <v>6</v>
      </c>
      <c r="AI21" s="111">
        <f t="shared" si="15"/>
        <v>7</v>
      </c>
      <c r="AJ21" s="111">
        <f t="shared" si="15"/>
        <v>8</v>
      </c>
      <c r="AK21" s="111">
        <f t="shared" si="15"/>
        <v>9</v>
      </c>
      <c r="AL21" s="111">
        <f t="shared" si="15"/>
        <v>10</v>
      </c>
      <c r="AM21" s="111">
        <f t="shared" si="15"/>
        <v>11</v>
      </c>
      <c r="AN21" s="111">
        <f t="shared" si="15"/>
        <v>12</v>
      </c>
      <c r="AO21" s="111">
        <f t="shared" si="15"/>
        <v>13</v>
      </c>
      <c r="AP21" s="111">
        <f t="shared" si="15"/>
        <v>14</v>
      </c>
      <c r="AQ21" s="111">
        <f t="shared" si="15"/>
        <v>15</v>
      </c>
      <c r="AR21" s="111">
        <f t="shared" si="15"/>
        <v>16</v>
      </c>
      <c r="AS21" s="111">
        <f t="shared" si="15"/>
        <v>17</v>
      </c>
      <c r="AT21" s="111">
        <f t="shared" si="15"/>
        <v>18</v>
      </c>
      <c r="AU21" s="111">
        <f t="shared" si="15"/>
        <v>19</v>
      </c>
      <c r="AV21" s="111">
        <f t="shared" si="15"/>
        <v>20</v>
      </c>
      <c r="AW21" s="111">
        <f t="shared" si="15"/>
        <v>21</v>
      </c>
      <c r="AX21" s="111" t="str">
        <f t="shared" si="15"/>
        <v>B</v>
      </c>
    </row>
    <row r="22" spans="1:50" ht="12" customHeight="1">
      <c r="A22" s="112"/>
      <c r="B22" s="117" t="str">
        <f ca="1">B3</f>
        <v>Britless</v>
      </c>
      <c r="C22" s="124">
        <f ca="1">C3</f>
        <v>161</v>
      </c>
      <c r="D22" s="124">
        <f t="shared" ref="D22:D23" ca="1" si="16">IF(D3=0,,D3+C22)</f>
        <v>274</v>
      </c>
      <c r="E22" s="124">
        <f t="shared" ref="E22:G23" ca="1" si="17">IF(E3=0,,E3+D22)</f>
        <v>436</v>
      </c>
      <c r="F22" s="124">
        <f t="shared" ca="1" si="17"/>
        <v>678</v>
      </c>
      <c r="G22" s="124">
        <f t="shared" ca="1" si="17"/>
        <v>859</v>
      </c>
      <c r="H22" s="124">
        <f t="shared" ref="H22:H23" ca="1" si="18">IF(H3=0,,H3+G22)</f>
        <v>1022</v>
      </c>
      <c r="I22" s="124">
        <f t="shared" ref="I22:I23" ca="1" si="19">IF(I3=0,,I3+H22)</f>
        <v>1158</v>
      </c>
      <c r="J22" s="124">
        <f t="shared" ref="J22:J23" ca="1" si="20">IF(J3=0,,J3+I22)</f>
        <v>1278</v>
      </c>
      <c r="K22" s="124">
        <f t="shared" ref="K22:K23" ca="1" si="21">IF(K3=0,,K3+J22)</f>
        <v>1524</v>
      </c>
      <c r="L22" s="124">
        <f t="shared" ref="L22:L23" ca="1" si="22">IF(L3=0,,L3+K22)</f>
        <v>1733</v>
      </c>
      <c r="M22" s="124">
        <f t="shared" ref="M22:M23" ca="1" si="23">IF(M3=0,,M3+L22)</f>
        <v>1886</v>
      </c>
      <c r="N22" s="124">
        <f t="shared" ref="N22:N23" ca="1" si="24">IF(N3=0,,N3+M22)</f>
        <v>1989</v>
      </c>
      <c r="O22" s="124">
        <f t="shared" ref="O22:O23" ca="1" si="25">IF(O3=0,,O3+N22)</f>
        <v>2111</v>
      </c>
      <c r="P22" s="124">
        <f t="shared" ref="P22:P23" ca="1" si="26">IF(P3=0,,P3+O22)</f>
        <v>2255</v>
      </c>
      <c r="Q22" s="124">
        <f t="shared" ref="Q22:Q23" ca="1" si="27">IF(Q3=0,,Q3+P22)</f>
        <v>2487</v>
      </c>
      <c r="R22" s="124">
        <f t="shared" ref="R22:R23" ca="1" si="28">IF(R3=0,,R3+Q22)</f>
        <v>2617</v>
      </c>
      <c r="S22" s="124">
        <f t="shared" ref="S22:S23" ca="1" si="29">IF(S3=0,,S3+R22)</f>
        <v>2860</v>
      </c>
      <c r="T22" s="124">
        <f t="shared" ref="T22:T23" ca="1" si="30">IF(T3=0,,T3+S22)</f>
        <v>3086</v>
      </c>
      <c r="U22" s="124">
        <f t="shared" ref="U22:U23" ca="1" si="31">IF(U3=0,,U3+T22)</f>
        <v>3238</v>
      </c>
      <c r="V22" s="124">
        <f t="shared" ref="V22:V23" ca="1" si="32">IF(V3=0,,V3+U22)</f>
        <v>3429</v>
      </c>
      <c r="W22" s="124">
        <f t="shared" ref="W22:W23" ca="1" si="33">IF(W3=0,,W3+V22)</f>
        <v>3622</v>
      </c>
      <c r="X22" s="288">
        <f t="shared" ref="X22:X23" ca="1" si="34">IF(X3=0,,X3+W22)</f>
        <v>4058</v>
      </c>
      <c r="Y22" s="120"/>
      <c r="Z22" s="109"/>
      <c r="AB22" s="118" t="str">
        <f t="shared" ref="AB22" ca="1" si="35">B22</f>
        <v>Britless</v>
      </c>
      <c r="AC22" s="119">
        <f t="shared" ref="AC22:AC23" ca="1" si="36">C22-AC$33</f>
        <v>40</v>
      </c>
      <c r="AD22" s="119">
        <f t="shared" ref="AD22:AD23" ca="1" si="37">IF(D22&gt;0,D22-AD$33,"")</f>
        <v>21.818181818181813</v>
      </c>
      <c r="AE22" s="119">
        <f t="shared" ref="AE22:AE23" ca="1" si="38">IF(E22&gt;0,E22-AE$33,"")</f>
        <v>42.272727272727252</v>
      </c>
      <c r="AF22" s="119">
        <f t="shared" ref="AF22:AF23" ca="1" si="39">IF(F22&gt;0,F22-AF$33,"")</f>
        <v>27.363636363636374</v>
      </c>
      <c r="AG22" s="119">
        <f t="shared" ref="AG22:AG23" ca="1" si="40">IF(G22&gt;0,G22-AG$33,"")</f>
        <v>24.727272727272748</v>
      </c>
      <c r="AH22" s="119">
        <f t="shared" ref="AH22:AH23" ca="1" si="41">IF(H22&gt;0,H22-AH$33,"")</f>
        <v>24.909090909090878</v>
      </c>
      <c r="AI22" s="119">
        <f t="shared" ref="AI22:AI23" ca="1" si="42">IF(I22&gt;0,I22-AI$33,"")</f>
        <v>10.090909090909008</v>
      </c>
      <c r="AJ22" s="119">
        <f t="shared" ref="AJ22:AJ23" ca="1" si="43">IF(J22&gt;0,J22-AJ$33,"")</f>
        <v>3.8181818181817562</v>
      </c>
      <c r="AK22" s="119">
        <f t="shared" ref="AK22:AK23" ca="1" si="44">IF(K22&gt;0,K22-AK$33,"")</f>
        <v>18.272727272727252</v>
      </c>
      <c r="AL22" s="119">
        <f t="shared" ref="AL22:AL23" ca="1" si="45">IF(L22&gt;0,L22-AL$33,"")</f>
        <v>71.454545454545496</v>
      </c>
      <c r="AM22" s="119">
        <f t="shared" ref="AM22:AM23" ca="1" si="46">IF(M22&gt;0,M22-AM$33,"")</f>
        <v>83.909090909090992</v>
      </c>
      <c r="AN22" s="119">
        <f t="shared" ref="AN22:AN23" ca="1" si="47">IF(N22&gt;0,N22-AN$33,"")</f>
        <v>87.909090909090992</v>
      </c>
      <c r="AO22" s="119">
        <f t="shared" ref="AO22:AO23" ca="1" si="48">IF(O22&gt;0,O22-AO$33,"")</f>
        <v>85</v>
      </c>
      <c r="AP22" s="119">
        <f t="shared" ref="AP22:AP23" ca="1" si="49">IF(P22&gt;0,P22-AP$33,"")</f>
        <v>121.36363636363649</v>
      </c>
      <c r="AQ22" s="119">
        <f t="shared" ref="AQ22:AQ23" ca="1" si="50">IF(Q22&gt;0,Q22-AQ$33,"")</f>
        <v>156</v>
      </c>
      <c r="AR22" s="119">
        <f t="shared" ref="AR22:AR23" ca="1" si="51">IF(R22&gt;0,R22-AR$33,"")</f>
        <v>170.18181818181802</v>
      </c>
      <c r="AS22" s="119">
        <f t="shared" ref="AS22:AS23" ca="1" si="52">IF(S22&gt;0,S22-AS$33,"")</f>
        <v>204.81818181818198</v>
      </c>
      <c r="AT22" s="119">
        <f t="shared" ref="AT22:AT23" ca="1" si="53">IF(T22&gt;0,T22-AT$33,"")</f>
        <v>229.63636363636351</v>
      </c>
      <c r="AU22" s="119">
        <f t="shared" ref="AU22:AU23" ca="1" si="54">IF(U22&gt;0,U22-AU$33,"")</f>
        <v>272.90909090909099</v>
      </c>
      <c r="AV22" s="119">
        <f t="shared" ref="AV22:AV23" ca="1" si="55">IF(V22&gt;0,V22-AV$33,"")</f>
        <v>266.18181818181802</v>
      </c>
      <c r="AW22" s="119">
        <f t="shared" ref="AW22:AW23" ca="1" si="56">IF(W22&gt;0,W22-AW$33,"")</f>
        <v>287.27272727272748</v>
      </c>
      <c r="AX22" s="119">
        <f t="shared" ref="AX22:AX23" ca="1" si="57">IF(X22&gt;0,X22-AX$33,"")</f>
        <v>353.5454545454545</v>
      </c>
    </row>
    <row r="23" spans="1:50" ht="12" customHeight="1">
      <c r="A23" s="112"/>
      <c r="B23" s="117" t="str">
        <f t="shared" ref="B23:C23" ca="1" si="58">B4</f>
        <v>Lothar blijft positief</v>
      </c>
      <c r="C23" s="124">
        <f t="shared" ca="1" si="58"/>
        <v>105</v>
      </c>
      <c r="D23" s="124">
        <f t="shared" ca="1" si="16"/>
        <v>236</v>
      </c>
      <c r="E23" s="124">
        <f t="shared" ca="1" si="17"/>
        <v>391</v>
      </c>
      <c r="F23" s="124">
        <f t="shared" ca="1" si="17"/>
        <v>668</v>
      </c>
      <c r="G23" s="124">
        <f t="shared" ca="1" si="17"/>
        <v>874</v>
      </c>
      <c r="H23" s="124">
        <f t="shared" ca="1" si="18"/>
        <v>1031</v>
      </c>
      <c r="I23" s="124">
        <f t="shared" ca="1" si="19"/>
        <v>1212</v>
      </c>
      <c r="J23" s="124">
        <f t="shared" ca="1" si="20"/>
        <v>1363</v>
      </c>
      <c r="K23" s="124">
        <f t="shared" ca="1" si="21"/>
        <v>1613</v>
      </c>
      <c r="L23" s="124">
        <f t="shared" ca="1" si="22"/>
        <v>1766</v>
      </c>
      <c r="M23" s="124">
        <f t="shared" ca="1" si="23"/>
        <v>1921</v>
      </c>
      <c r="N23" s="124">
        <f t="shared" ca="1" si="24"/>
        <v>2020</v>
      </c>
      <c r="O23" s="124">
        <f t="shared" ca="1" si="25"/>
        <v>2169</v>
      </c>
      <c r="P23" s="124">
        <f t="shared" ca="1" si="26"/>
        <v>2275</v>
      </c>
      <c r="Q23" s="124">
        <f t="shared" ca="1" si="27"/>
        <v>2489</v>
      </c>
      <c r="R23" s="124">
        <f t="shared" ca="1" si="28"/>
        <v>2617</v>
      </c>
      <c r="S23" s="124">
        <f t="shared" ca="1" si="29"/>
        <v>2860</v>
      </c>
      <c r="T23" s="124">
        <f t="shared" ca="1" si="30"/>
        <v>3090</v>
      </c>
      <c r="U23" s="124">
        <f t="shared" ca="1" si="31"/>
        <v>3191</v>
      </c>
      <c r="V23" s="124">
        <f t="shared" ca="1" si="32"/>
        <v>3412</v>
      </c>
      <c r="W23" s="124">
        <f t="shared" ca="1" si="33"/>
        <v>3577</v>
      </c>
      <c r="X23" s="288">
        <f t="shared" ca="1" si="34"/>
        <v>4007</v>
      </c>
      <c r="Y23" s="120"/>
      <c r="Z23" s="109"/>
      <c r="AB23" s="118" t="str">
        <f ca="1">B23</f>
        <v>Lothar blijft positief</v>
      </c>
      <c r="AC23" s="119">
        <f t="shared" ca="1" si="36"/>
        <v>-16</v>
      </c>
      <c r="AD23" s="119">
        <f t="shared" ca="1" si="37"/>
        <v>-16.181818181818187</v>
      </c>
      <c r="AE23" s="119">
        <f t="shared" ca="1" si="38"/>
        <v>-2.7272727272727479</v>
      </c>
      <c r="AF23" s="119">
        <f t="shared" ca="1" si="39"/>
        <v>17.363636363636374</v>
      </c>
      <c r="AG23" s="119">
        <f t="shared" ca="1" si="40"/>
        <v>39.727272727272748</v>
      </c>
      <c r="AH23" s="119">
        <f t="shared" ca="1" si="41"/>
        <v>33.909090909090878</v>
      </c>
      <c r="AI23" s="119">
        <f t="shared" ca="1" si="42"/>
        <v>64.090909090909008</v>
      </c>
      <c r="AJ23" s="119">
        <f t="shared" ca="1" si="43"/>
        <v>88.818181818181756</v>
      </c>
      <c r="AK23" s="119">
        <f t="shared" ca="1" si="44"/>
        <v>107.27272727272725</v>
      </c>
      <c r="AL23" s="119">
        <f t="shared" ca="1" si="45"/>
        <v>104.4545454545455</v>
      </c>
      <c r="AM23" s="119">
        <f t="shared" ca="1" si="46"/>
        <v>118.90909090909099</v>
      </c>
      <c r="AN23" s="119">
        <f t="shared" ca="1" si="47"/>
        <v>118.90909090909099</v>
      </c>
      <c r="AO23" s="119">
        <f t="shared" ca="1" si="48"/>
        <v>143</v>
      </c>
      <c r="AP23" s="119">
        <f t="shared" ca="1" si="49"/>
        <v>141.36363636363649</v>
      </c>
      <c r="AQ23" s="119">
        <f t="shared" ca="1" si="50"/>
        <v>158</v>
      </c>
      <c r="AR23" s="119">
        <f t="shared" ca="1" si="51"/>
        <v>170.18181818181802</v>
      </c>
      <c r="AS23" s="119">
        <f t="shared" ca="1" si="52"/>
        <v>204.81818181818198</v>
      </c>
      <c r="AT23" s="119">
        <f t="shared" ca="1" si="53"/>
        <v>233.63636363636351</v>
      </c>
      <c r="AU23" s="119">
        <f t="shared" ca="1" si="54"/>
        <v>225.90909090909099</v>
      </c>
      <c r="AV23" s="119">
        <f t="shared" ca="1" si="55"/>
        <v>249.18181818181802</v>
      </c>
      <c r="AW23" s="119">
        <f t="shared" ca="1" si="56"/>
        <v>242.27272727272748</v>
      </c>
      <c r="AX23" s="119">
        <f t="shared" ca="1" si="57"/>
        <v>302.5454545454545</v>
      </c>
    </row>
    <row r="24" spans="1:50" ht="12" customHeight="1">
      <c r="A24" s="112"/>
      <c r="B24" s="117" t="str">
        <f t="shared" ref="B24:C24" ca="1" si="59">B5</f>
        <v>Tins Tour Toppers</v>
      </c>
      <c r="C24" s="124">
        <f t="shared" ca="1" si="59"/>
        <v>130</v>
      </c>
      <c r="D24" s="124">
        <f t="shared" ref="D24:D32" ca="1" si="60">IF(D5=0,,D5+C24)</f>
        <v>262</v>
      </c>
      <c r="E24" s="124">
        <f t="shared" ref="E24:E32" ca="1" si="61">IF(E5=0,,E5+D24)</f>
        <v>415</v>
      </c>
      <c r="F24" s="124">
        <f t="shared" ref="F24:F32" ca="1" si="62">IF(F5=0,,F5+E24)</f>
        <v>708</v>
      </c>
      <c r="G24" s="124">
        <f t="shared" ref="G24:G32" ca="1" si="63">IF(G5=0,,G5+F24)</f>
        <v>876</v>
      </c>
      <c r="H24" s="124">
        <f t="shared" ref="H24:H32" ca="1" si="64">IF(H5=0,,H5+G24)</f>
        <v>1058</v>
      </c>
      <c r="I24" s="124">
        <f t="shared" ref="I24:I32" ca="1" si="65">IF(I5=0,,I5+H24)</f>
        <v>1182</v>
      </c>
      <c r="J24" s="124">
        <f t="shared" ref="J24:J32" ca="1" si="66">IF(J5=0,,J5+I24)</f>
        <v>1325</v>
      </c>
      <c r="K24" s="124">
        <f t="shared" ref="K24:K32" ca="1" si="67">IF(K5=0,,K5+J24)</f>
        <v>1604</v>
      </c>
      <c r="L24" s="124">
        <f t="shared" ref="L24:L32" ca="1" si="68">IF(L5=0,,L5+K24)</f>
        <v>1784</v>
      </c>
      <c r="M24" s="124">
        <f t="shared" ref="M24:M32" ca="1" si="69">IF(M5=0,,M5+L24)</f>
        <v>1925</v>
      </c>
      <c r="N24" s="124">
        <f t="shared" ref="N24:N32" ca="1" si="70">IF(N5=0,,N5+M24)</f>
        <v>2026</v>
      </c>
      <c r="O24" s="124">
        <f t="shared" ref="O24:O32" ca="1" si="71">IF(O5=0,,O5+N24)</f>
        <v>2143</v>
      </c>
      <c r="P24" s="124">
        <f t="shared" ref="P24:P32" ca="1" si="72">IF(P5=0,,P5+O24)</f>
        <v>2258</v>
      </c>
      <c r="Q24" s="124">
        <f t="shared" ref="Q24:Q32" ca="1" si="73">IF(Q5=0,,Q5+P24)</f>
        <v>2458</v>
      </c>
      <c r="R24" s="124">
        <f t="shared" ref="R24:R32" ca="1" si="74">IF(R5=0,,R5+Q24)</f>
        <v>2566</v>
      </c>
      <c r="S24" s="124">
        <f t="shared" ref="S24:S32" ca="1" si="75">IF(S5=0,,S5+R24)</f>
        <v>2779</v>
      </c>
      <c r="T24" s="124">
        <f t="shared" ref="T24:T32" ca="1" si="76">IF(T5=0,,T5+S24)</f>
        <v>2974</v>
      </c>
      <c r="U24" s="124">
        <f t="shared" ref="U24:U32" ca="1" si="77">IF(U5=0,,U5+T24)</f>
        <v>3079</v>
      </c>
      <c r="V24" s="124">
        <f t="shared" ref="V24:V32" ca="1" si="78">IF(V5=0,,V5+U24)</f>
        <v>3240</v>
      </c>
      <c r="W24" s="124">
        <f t="shared" ref="W24:W32" ca="1" si="79">IF(W5=0,,W5+V24)</f>
        <v>3419</v>
      </c>
      <c r="X24" s="288">
        <f t="shared" ref="X24:X32" ca="1" si="80">IF(X5=0,,X5+W24)</f>
        <v>3799</v>
      </c>
      <c r="Y24" s="120"/>
      <c r="Z24" s="109"/>
      <c r="AB24" s="118" t="str">
        <f t="shared" ref="AB24:AB32" ca="1" si="81">B24</f>
        <v>Tins Tour Toppers</v>
      </c>
      <c r="AC24" s="119">
        <f t="shared" ref="AC24:AC32" ca="1" si="82">C24-AC$33</f>
        <v>9</v>
      </c>
      <c r="AD24" s="119">
        <f t="shared" ref="AD24:AD32" ca="1" si="83">IF(D24&gt;0,D24-AD$33,"")</f>
        <v>9.818181818181813</v>
      </c>
      <c r="AE24" s="119">
        <f t="shared" ref="AE24:AE32" ca="1" si="84">IF(E24&gt;0,E24-AE$33,"")</f>
        <v>21.272727272727252</v>
      </c>
      <c r="AF24" s="119">
        <f t="shared" ref="AF24:AF32" ca="1" si="85">IF(F24&gt;0,F24-AF$33,"")</f>
        <v>57.363636363636374</v>
      </c>
      <c r="AG24" s="119">
        <f t="shared" ref="AG24:AG32" ca="1" si="86">IF(G24&gt;0,G24-AG$33,"")</f>
        <v>41.727272727272748</v>
      </c>
      <c r="AH24" s="119">
        <f t="shared" ref="AH24:AH32" ca="1" si="87">IF(H24&gt;0,H24-AH$33,"")</f>
        <v>60.909090909090878</v>
      </c>
      <c r="AI24" s="119">
        <f t="shared" ref="AI24:AI32" ca="1" si="88">IF(I24&gt;0,I24-AI$33,"")</f>
        <v>34.090909090909008</v>
      </c>
      <c r="AJ24" s="119">
        <f t="shared" ref="AJ24:AJ32" ca="1" si="89">IF(J24&gt;0,J24-AJ$33,"")</f>
        <v>50.818181818181756</v>
      </c>
      <c r="AK24" s="119">
        <f t="shared" ref="AK24:AK32" ca="1" si="90">IF(K24&gt;0,K24-AK$33,"")</f>
        <v>98.272727272727252</v>
      </c>
      <c r="AL24" s="119">
        <f t="shared" ref="AL24:AL32" ca="1" si="91">IF(L24&gt;0,L24-AL$33,"")</f>
        <v>122.4545454545455</v>
      </c>
      <c r="AM24" s="119">
        <f t="shared" ref="AM24:AM32" ca="1" si="92">IF(M24&gt;0,M24-AM$33,"")</f>
        <v>122.90909090909099</v>
      </c>
      <c r="AN24" s="119">
        <f t="shared" ref="AN24:AN32" ca="1" si="93">IF(N24&gt;0,N24-AN$33,"")</f>
        <v>124.90909090909099</v>
      </c>
      <c r="AO24" s="119">
        <f t="shared" ref="AO24:AO32" ca="1" si="94">IF(O24&gt;0,O24-AO$33,"")</f>
        <v>117</v>
      </c>
      <c r="AP24" s="119">
        <f t="shared" ref="AP24:AP32" ca="1" si="95">IF(P24&gt;0,P24-AP$33,"")</f>
        <v>124.36363636363649</v>
      </c>
      <c r="AQ24" s="119">
        <f t="shared" ref="AQ24:AQ32" ca="1" si="96">IF(Q24&gt;0,Q24-AQ$33,"")</f>
        <v>127</v>
      </c>
      <c r="AR24" s="119">
        <f t="shared" ref="AR24:AR32" ca="1" si="97">IF(R24&gt;0,R24-AR$33,"")</f>
        <v>119.18181818181802</v>
      </c>
      <c r="AS24" s="119">
        <f t="shared" ref="AS24:AS32" ca="1" si="98">IF(S24&gt;0,S24-AS$33,"")</f>
        <v>123.81818181818198</v>
      </c>
      <c r="AT24" s="119">
        <f t="shared" ref="AT24:AT32" ca="1" si="99">IF(T24&gt;0,T24-AT$33,"")</f>
        <v>117.63636363636351</v>
      </c>
      <c r="AU24" s="119">
        <f t="shared" ref="AU24:AU32" ca="1" si="100">IF(U24&gt;0,U24-AU$33,"")</f>
        <v>113.90909090909099</v>
      </c>
      <c r="AV24" s="119">
        <f t="shared" ref="AV24:AV32" ca="1" si="101">IF(V24&gt;0,V24-AV$33,"")</f>
        <v>77.181818181818016</v>
      </c>
      <c r="AW24" s="119">
        <f t="shared" ref="AW24:AW32" ca="1" si="102">IF(W24&gt;0,W24-AW$33,"")</f>
        <v>84.272727272727479</v>
      </c>
      <c r="AX24" s="119">
        <f t="shared" ref="AX24:AX32" ca="1" si="103">IF(X24&gt;0,X24-AX$33,"")</f>
        <v>94.545454545454504</v>
      </c>
    </row>
    <row r="25" spans="1:50" ht="12" customHeight="1">
      <c r="A25" s="112"/>
      <c r="B25" s="117" t="str">
        <f t="shared" ref="B25:C25" ca="1" si="104">B6</f>
        <v>Am Selfkant</v>
      </c>
      <c r="C25" s="124">
        <f t="shared" ca="1" si="104"/>
        <v>132</v>
      </c>
      <c r="D25" s="124">
        <f t="shared" ca="1" si="60"/>
        <v>285</v>
      </c>
      <c r="E25" s="124">
        <f t="shared" ca="1" si="61"/>
        <v>424</v>
      </c>
      <c r="F25" s="124">
        <f t="shared" ca="1" si="62"/>
        <v>687</v>
      </c>
      <c r="G25" s="124">
        <f t="shared" ca="1" si="63"/>
        <v>890</v>
      </c>
      <c r="H25" s="124">
        <f t="shared" ca="1" si="64"/>
        <v>1052</v>
      </c>
      <c r="I25" s="124">
        <f t="shared" ca="1" si="65"/>
        <v>1233</v>
      </c>
      <c r="J25" s="124">
        <f t="shared" ca="1" si="66"/>
        <v>1360</v>
      </c>
      <c r="K25" s="124">
        <f t="shared" ca="1" si="67"/>
        <v>1605</v>
      </c>
      <c r="L25" s="124">
        <f t="shared" ca="1" si="68"/>
        <v>1748</v>
      </c>
      <c r="M25" s="124">
        <f t="shared" ca="1" si="69"/>
        <v>1890</v>
      </c>
      <c r="N25" s="124">
        <f t="shared" ca="1" si="70"/>
        <v>1987</v>
      </c>
      <c r="O25" s="124">
        <f t="shared" ca="1" si="71"/>
        <v>2107</v>
      </c>
      <c r="P25" s="124">
        <f t="shared" ca="1" si="72"/>
        <v>2208</v>
      </c>
      <c r="Q25" s="124">
        <f t="shared" ca="1" si="73"/>
        <v>2397</v>
      </c>
      <c r="R25" s="124">
        <f t="shared" ca="1" si="74"/>
        <v>2565</v>
      </c>
      <c r="S25" s="124">
        <f t="shared" ca="1" si="75"/>
        <v>2775</v>
      </c>
      <c r="T25" s="124">
        <f t="shared" ca="1" si="76"/>
        <v>2990</v>
      </c>
      <c r="U25" s="124">
        <f t="shared" ca="1" si="77"/>
        <v>3101</v>
      </c>
      <c r="V25" s="124">
        <f t="shared" ca="1" si="78"/>
        <v>3290</v>
      </c>
      <c r="W25" s="124">
        <f t="shared" ca="1" si="79"/>
        <v>3454</v>
      </c>
      <c r="X25" s="288">
        <f t="shared" ca="1" si="80"/>
        <v>3821</v>
      </c>
      <c r="Y25" s="120"/>
      <c r="Z25" s="109"/>
      <c r="AB25" s="118" t="str">
        <f t="shared" ca="1" si="81"/>
        <v>Am Selfkant</v>
      </c>
      <c r="AC25" s="119">
        <f t="shared" ca="1" si="82"/>
        <v>11</v>
      </c>
      <c r="AD25" s="119">
        <f t="shared" ca="1" si="83"/>
        <v>32.818181818181813</v>
      </c>
      <c r="AE25" s="119">
        <f t="shared" ca="1" si="84"/>
        <v>30.272727272727252</v>
      </c>
      <c r="AF25" s="119">
        <f t="shared" ca="1" si="85"/>
        <v>36.363636363636374</v>
      </c>
      <c r="AG25" s="119">
        <f t="shared" ca="1" si="86"/>
        <v>55.727272727272748</v>
      </c>
      <c r="AH25" s="119">
        <f t="shared" ca="1" si="87"/>
        <v>54.909090909090878</v>
      </c>
      <c r="AI25" s="119">
        <f t="shared" ca="1" si="88"/>
        <v>85.090909090909008</v>
      </c>
      <c r="AJ25" s="119">
        <f t="shared" ca="1" si="89"/>
        <v>85.818181818181756</v>
      </c>
      <c r="AK25" s="119">
        <f t="shared" ca="1" si="90"/>
        <v>99.272727272727252</v>
      </c>
      <c r="AL25" s="119">
        <f t="shared" ca="1" si="91"/>
        <v>86.454545454545496</v>
      </c>
      <c r="AM25" s="119">
        <f t="shared" ca="1" si="92"/>
        <v>87.909090909090992</v>
      </c>
      <c r="AN25" s="119">
        <f t="shared" ca="1" si="93"/>
        <v>85.909090909090992</v>
      </c>
      <c r="AO25" s="119">
        <f t="shared" ca="1" si="94"/>
        <v>81</v>
      </c>
      <c r="AP25" s="119">
        <f t="shared" ca="1" si="95"/>
        <v>74.363636363636488</v>
      </c>
      <c r="AQ25" s="119">
        <f t="shared" ca="1" si="96"/>
        <v>66</v>
      </c>
      <c r="AR25" s="119">
        <f t="shared" ca="1" si="97"/>
        <v>118.18181818181802</v>
      </c>
      <c r="AS25" s="119">
        <f t="shared" ca="1" si="98"/>
        <v>119.81818181818198</v>
      </c>
      <c r="AT25" s="119">
        <f t="shared" ca="1" si="99"/>
        <v>133.63636363636351</v>
      </c>
      <c r="AU25" s="119">
        <f t="shared" ca="1" si="100"/>
        <v>135.90909090909099</v>
      </c>
      <c r="AV25" s="119">
        <f t="shared" ca="1" si="101"/>
        <v>127.18181818181802</v>
      </c>
      <c r="AW25" s="119">
        <f t="shared" ca="1" si="102"/>
        <v>119.27272727272748</v>
      </c>
      <c r="AX25" s="119">
        <f t="shared" ca="1" si="103"/>
        <v>116.5454545454545</v>
      </c>
    </row>
    <row r="26" spans="1:50" ht="12" customHeight="1">
      <c r="A26" s="112"/>
      <c r="B26" s="117" t="str">
        <f t="shared" ref="B26:C26" ca="1" si="105">B7</f>
        <v>De Lange Man</v>
      </c>
      <c r="C26" s="124">
        <f t="shared" ca="1" si="105"/>
        <v>110</v>
      </c>
      <c r="D26" s="124">
        <f t="shared" ca="1" si="60"/>
        <v>260</v>
      </c>
      <c r="E26" s="124">
        <f t="shared" ca="1" si="61"/>
        <v>387</v>
      </c>
      <c r="F26" s="124">
        <f t="shared" ca="1" si="62"/>
        <v>673</v>
      </c>
      <c r="G26" s="124">
        <f t="shared" ca="1" si="63"/>
        <v>849</v>
      </c>
      <c r="H26" s="124">
        <f t="shared" ca="1" si="64"/>
        <v>989</v>
      </c>
      <c r="I26" s="124">
        <f t="shared" ca="1" si="65"/>
        <v>1154</v>
      </c>
      <c r="J26" s="124">
        <f t="shared" ca="1" si="66"/>
        <v>1287</v>
      </c>
      <c r="K26" s="124">
        <f t="shared" ca="1" si="67"/>
        <v>1535</v>
      </c>
      <c r="L26" s="124">
        <f t="shared" ca="1" si="68"/>
        <v>1668</v>
      </c>
      <c r="M26" s="124">
        <f t="shared" ca="1" si="69"/>
        <v>1792</v>
      </c>
      <c r="N26" s="124">
        <f t="shared" ca="1" si="70"/>
        <v>1881</v>
      </c>
      <c r="O26" s="124">
        <f t="shared" ca="1" si="71"/>
        <v>2007</v>
      </c>
      <c r="P26" s="124">
        <f t="shared" ca="1" si="72"/>
        <v>2102</v>
      </c>
      <c r="Q26" s="124">
        <f t="shared" ca="1" si="73"/>
        <v>2347</v>
      </c>
      <c r="R26" s="124">
        <f t="shared" ca="1" si="74"/>
        <v>2461</v>
      </c>
      <c r="S26" s="124">
        <f t="shared" ca="1" si="75"/>
        <v>2732</v>
      </c>
      <c r="T26" s="124">
        <f t="shared" ca="1" si="76"/>
        <v>3003</v>
      </c>
      <c r="U26" s="124">
        <f t="shared" ca="1" si="77"/>
        <v>3101</v>
      </c>
      <c r="V26" s="124">
        <f t="shared" ca="1" si="78"/>
        <v>3343</v>
      </c>
      <c r="W26" s="124">
        <f t="shared" ca="1" si="79"/>
        <v>3521</v>
      </c>
      <c r="X26" s="288">
        <f t="shared" ca="1" si="80"/>
        <v>3989</v>
      </c>
      <c r="Y26" s="120"/>
      <c r="Z26" s="109"/>
      <c r="AB26" s="118" t="str">
        <f t="shared" ca="1" si="81"/>
        <v>De Lange Man</v>
      </c>
      <c r="AC26" s="119">
        <f t="shared" ca="1" si="82"/>
        <v>-11</v>
      </c>
      <c r="AD26" s="119">
        <f t="shared" ca="1" si="83"/>
        <v>7.818181818181813</v>
      </c>
      <c r="AE26" s="119">
        <f t="shared" ca="1" si="84"/>
        <v>-6.7272727272727479</v>
      </c>
      <c r="AF26" s="119">
        <f t="shared" ca="1" si="85"/>
        <v>22.363636363636374</v>
      </c>
      <c r="AG26" s="119">
        <f t="shared" ca="1" si="86"/>
        <v>14.727272727272748</v>
      </c>
      <c r="AH26" s="119">
        <f t="shared" ca="1" si="87"/>
        <v>-8.0909090909091219</v>
      </c>
      <c r="AI26" s="119">
        <f t="shared" ca="1" si="88"/>
        <v>6.0909090909090082</v>
      </c>
      <c r="AJ26" s="119">
        <f t="shared" ca="1" si="89"/>
        <v>12.818181818181756</v>
      </c>
      <c r="AK26" s="119">
        <f t="shared" ca="1" si="90"/>
        <v>29.272727272727252</v>
      </c>
      <c r="AL26" s="119">
        <f t="shared" ca="1" si="91"/>
        <v>6.4545454545454959</v>
      </c>
      <c r="AM26" s="119">
        <f t="shared" ca="1" si="92"/>
        <v>-10.090909090909008</v>
      </c>
      <c r="AN26" s="119">
        <f t="shared" ca="1" si="93"/>
        <v>-20.090909090909008</v>
      </c>
      <c r="AO26" s="119">
        <f t="shared" ca="1" si="94"/>
        <v>-19</v>
      </c>
      <c r="AP26" s="119">
        <f t="shared" ca="1" si="95"/>
        <v>-31.636363636363512</v>
      </c>
      <c r="AQ26" s="119">
        <f t="shared" ca="1" si="96"/>
        <v>16</v>
      </c>
      <c r="AR26" s="119">
        <f t="shared" ca="1" si="97"/>
        <v>14.181818181818016</v>
      </c>
      <c r="AS26" s="119">
        <f t="shared" ca="1" si="98"/>
        <v>76.818181818181984</v>
      </c>
      <c r="AT26" s="119">
        <f t="shared" ca="1" si="99"/>
        <v>146.63636363636351</v>
      </c>
      <c r="AU26" s="119">
        <f t="shared" ca="1" si="100"/>
        <v>135.90909090909099</v>
      </c>
      <c r="AV26" s="119">
        <f t="shared" ca="1" si="101"/>
        <v>180.18181818181802</v>
      </c>
      <c r="AW26" s="119">
        <f t="shared" ca="1" si="102"/>
        <v>186.27272727272748</v>
      </c>
      <c r="AX26" s="119">
        <f t="shared" ca="1" si="103"/>
        <v>284.5454545454545</v>
      </c>
    </row>
    <row r="27" spans="1:50" ht="12" customHeight="1">
      <c r="A27" s="112"/>
      <c r="B27" s="117" t="str">
        <f t="shared" ref="B27:C27" ca="1" si="106">B8</f>
        <v>Majella sykler på</v>
      </c>
      <c r="C27" s="124">
        <f t="shared" ca="1" si="106"/>
        <v>136</v>
      </c>
      <c r="D27" s="124">
        <f t="shared" ca="1" si="60"/>
        <v>316</v>
      </c>
      <c r="E27" s="124">
        <f t="shared" ca="1" si="61"/>
        <v>466</v>
      </c>
      <c r="F27" s="124">
        <f t="shared" ca="1" si="62"/>
        <v>744</v>
      </c>
      <c r="G27" s="124">
        <f t="shared" ca="1" si="63"/>
        <v>920</v>
      </c>
      <c r="H27" s="124">
        <f t="shared" ca="1" si="64"/>
        <v>1097</v>
      </c>
      <c r="I27" s="124">
        <f t="shared" ca="1" si="65"/>
        <v>1219</v>
      </c>
      <c r="J27" s="124">
        <f t="shared" ca="1" si="66"/>
        <v>1327</v>
      </c>
      <c r="K27" s="124">
        <f t="shared" ca="1" si="67"/>
        <v>1571</v>
      </c>
      <c r="L27" s="124">
        <f t="shared" ca="1" si="68"/>
        <v>1726</v>
      </c>
      <c r="M27" s="124">
        <f t="shared" ca="1" si="69"/>
        <v>1841</v>
      </c>
      <c r="N27" s="124">
        <f t="shared" ca="1" si="70"/>
        <v>1972</v>
      </c>
      <c r="O27" s="124">
        <f t="shared" ca="1" si="71"/>
        <v>2130</v>
      </c>
      <c r="P27" s="124">
        <f t="shared" ca="1" si="72"/>
        <v>2268</v>
      </c>
      <c r="Q27" s="124">
        <f t="shared" ca="1" si="73"/>
        <v>2444</v>
      </c>
      <c r="R27" s="124">
        <f t="shared" ca="1" si="74"/>
        <v>2563</v>
      </c>
      <c r="S27" s="124">
        <f t="shared" ca="1" si="75"/>
        <v>2719</v>
      </c>
      <c r="T27" s="124">
        <f t="shared" ca="1" si="76"/>
        <v>2864</v>
      </c>
      <c r="U27" s="124">
        <f t="shared" ca="1" si="77"/>
        <v>2968</v>
      </c>
      <c r="V27" s="124">
        <f t="shared" ca="1" si="78"/>
        <v>3149</v>
      </c>
      <c r="W27" s="124">
        <f t="shared" ca="1" si="79"/>
        <v>3283</v>
      </c>
      <c r="X27" s="288">
        <f t="shared" ca="1" si="80"/>
        <v>3589</v>
      </c>
      <c r="Y27" s="120"/>
      <c r="Z27" s="109"/>
      <c r="AB27" s="118" t="str">
        <f t="shared" ca="1" si="81"/>
        <v>Majella sykler på</v>
      </c>
      <c r="AC27" s="119">
        <f t="shared" ca="1" si="82"/>
        <v>15</v>
      </c>
      <c r="AD27" s="119">
        <f t="shared" ca="1" si="83"/>
        <v>63.818181818181813</v>
      </c>
      <c r="AE27" s="119">
        <f t="shared" ca="1" si="84"/>
        <v>72.272727272727252</v>
      </c>
      <c r="AF27" s="119">
        <f t="shared" ca="1" si="85"/>
        <v>93.363636363636374</v>
      </c>
      <c r="AG27" s="119">
        <f t="shared" ca="1" si="86"/>
        <v>85.727272727272748</v>
      </c>
      <c r="AH27" s="119">
        <f t="shared" ca="1" si="87"/>
        <v>99.909090909090878</v>
      </c>
      <c r="AI27" s="119">
        <f t="shared" ca="1" si="88"/>
        <v>71.090909090909008</v>
      </c>
      <c r="AJ27" s="119">
        <f t="shared" ca="1" si="89"/>
        <v>52.818181818181756</v>
      </c>
      <c r="AK27" s="119">
        <f t="shared" ca="1" si="90"/>
        <v>65.272727272727252</v>
      </c>
      <c r="AL27" s="119">
        <f t="shared" ca="1" si="91"/>
        <v>64.454545454545496</v>
      </c>
      <c r="AM27" s="119">
        <f t="shared" ca="1" si="92"/>
        <v>38.909090909090992</v>
      </c>
      <c r="AN27" s="119">
        <f t="shared" ca="1" si="93"/>
        <v>70.909090909090992</v>
      </c>
      <c r="AO27" s="119">
        <f t="shared" ca="1" si="94"/>
        <v>104</v>
      </c>
      <c r="AP27" s="119">
        <f t="shared" ca="1" si="95"/>
        <v>134.36363636363649</v>
      </c>
      <c r="AQ27" s="119">
        <f t="shared" ca="1" si="96"/>
        <v>113</v>
      </c>
      <c r="AR27" s="119">
        <f t="shared" ca="1" si="97"/>
        <v>116.18181818181802</v>
      </c>
      <c r="AS27" s="119">
        <f t="shared" ca="1" si="98"/>
        <v>63.818181818181984</v>
      </c>
      <c r="AT27" s="119">
        <f t="shared" ca="1" si="99"/>
        <v>7.6363636363635123</v>
      </c>
      <c r="AU27" s="119">
        <f t="shared" ca="1" si="100"/>
        <v>2.9090909090909918</v>
      </c>
      <c r="AV27" s="119">
        <f t="shared" ca="1" si="101"/>
        <v>-13.818181818181984</v>
      </c>
      <c r="AW27" s="119">
        <f t="shared" ca="1" si="102"/>
        <v>-51.727272727272521</v>
      </c>
      <c r="AX27" s="119">
        <f t="shared" ca="1" si="103"/>
        <v>-115.4545454545455</v>
      </c>
    </row>
    <row r="28" spans="1:50" ht="12" customHeight="1">
      <c r="A28" s="112"/>
      <c r="B28" s="117" t="str">
        <f t="shared" ref="B28:C28" ca="1" si="107">B9</f>
        <v>Kol de la Madeleine</v>
      </c>
      <c r="C28" s="124">
        <f t="shared" ca="1" si="107"/>
        <v>118</v>
      </c>
      <c r="D28" s="124">
        <f t="shared" ca="1" si="60"/>
        <v>218</v>
      </c>
      <c r="E28" s="124">
        <f t="shared" ca="1" si="61"/>
        <v>355</v>
      </c>
      <c r="F28" s="124">
        <f t="shared" ca="1" si="62"/>
        <v>558</v>
      </c>
      <c r="G28" s="124">
        <f t="shared" ca="1" si="63"/>
        <v>736</v>
      </c>
      <c r="H28" s="124">
        <f t="shared" ca="1" si="64"/>
        <v>886</v>
      </c>
      <c r="I28" s="124">
        <f t="shared" ca="1" si="65"/>
        <v>1057</v>
      </c>
      <c r="J28" s="124">
        <f t="shared" ca="1" si="66"/>
        <v>1175</v>
      </c>
      <c r="K28" s="124">
        <f t="shared" ca="1" si="67"/>
        <v>1375</v>
      </c>
      <c r="L28" s="124">
        <f t="shared" ca="1" si="68"/>
        <v>1526</v>
      </c>
      <c r="M28" s="124">
        <f t="shared" ca="1" si="69"/>
        <v>1673</v>
      </c>
      <c r="N28" s="124">
        <f t="shared" ca="1" si="70"/>
        <v>1761</v>
      </c>
      <c r="O28" s="124">
        <f t="shared" ca="1" si="71"/>
        <v>1860</v>
      </c>
      <c r="P28" s="124">
        <f t="shared" ca="1" si="72"/>
        <v>1961</v>
      </c>
      <c r="Q28" s="124">
        <f t="shared" ca="1" si="73"/>
        <v>2148</v>
      </c>
      <c r="R28" s="124">
        <f t="shared" ca="1" si="74"/>
        <v>2275</v>
      </c>
      <c r="S28" s="124">
        <f t="shared" ca="1" si="75"/>
        <v>2490</v>
      </c>
      <c r="T28" s="124">
        <f t="shared" ca="1" si="76"/>
        <v>2704</v>
      </c>
      <c r="U28" s="124">
        <f t="shared" ca="1" si="77"/>
        <v>2795</v>
      </c>
      <c r="V28" s="124">
        <f t="shared" ca="1" si="78"/>
        <v>3004</v>
      </c>
      <c r="W28" s="124">
        <f t="shared" ca="1" si="79"/>
        <v>3171</v>
      </c>
      <c r="X28" s="288">
        <f t="shared" ca="1" si="80"/>
        <v>3536</v>
      </c>
      <c r="Y28" s="120"/>
      <c r="Z28" s="109"/>
      <c r="AB28" s="118" t="str">
        <f t="shared" ca="1" si="81"/>
        <v>Kol de la Madeleine</v>
      </c>
      <c r="AC28" s="119">
        <f t="shared" ca="1" si="82"/>
        <v>-3</v>
      </c>
      <c r="AD28" s="119">
        <f t="shared" ca="1" si="83"/>
        <v>-34.181818181818187</v>
      </c>
      <c r="AE28" s="119">
        <f t="shared" ca="1" si="84"/>
        <v>-38.727272727272748</v>
      </c>
      <c r="AF28" s="119">
        <f t="shared" ca="1" si="85"/>
        <v>-92.636363636363626</v>
      </c>
      <c r="AG28" s="119">
        <f t="shared" ca="1" si="86"/>
        <v>-98.272727272727252</v>
      </c>
      <c r="AH28" s="119">
        <f t="shared" ca="1" si="87"/>
        <v>-111.09090909090912</v>
      </c>
      <c r="AI28" s="119">
        <f t="shared" ca="1" si="88"/>
        <v>-90.909090909090992</v>
      </c>
      <c r="AJ28" s="119">
        <f t="shared" ca="1" si="89"/>
        <v>-99.181818181818244</v>
      </c>
      <c r="AK28" s="119">
        <f t="shared" ca="1" si="90"/>
        <v>-130.72727272727275</v>
      </c>
      <c r="AL28" s="119">
        <f t="shared" ca="1" si="91"/>
        <v>-135.5454545454545</v>
      </c>
      <c r="AM28" s="119">
        <f t="shared" ca="1" si="92"/>
        <v>-129.09090909090901</v>
      </c>
      <c r="AN28" s="119">
        <f t="shared" ca="1" si="93"/>
        <v>-140.09090909090901</v>
      </c>
      <c r="AO28" s="119">
        <f t="shared" ca="1" si="94"/>
        <v>-166</v>
      </c>
      <c r="AP28" s="119">
        <f t="shared" ca="1" si="95"/>
        <v>-172.63636363636351</v>
      </c>
      <c r="AQ28" s="119">
        <f t="shared" ca="1" si="96"/>
        <v>-183</v>
      </c>
      <c r="AR28" s="119">
        <f t="shared" ca="1" si="97"/>
        <v>-171.81818181818198</v>
      </c>
      <c r="AS28" s="119">
        <f t="shared" ca="1" si="98"/>
        <v>-165.18181818181802</v>
      </c>
      <c r="AT28" s="119">
        <f t="shared" ca="1" si="99"/>
        <v>-152.36363636363649</v>
      </c>
      <c r="AU28" s="119">
        <f t="shared" ca="1" si="100"/>
        <v>-170.09090909090901</v>
      </c>
      <c r="AV28" s="119">
        <f t="shared" ca="1" si="101"/>
        <v>-158.81818181818198</v>
      </c>
      <c r="AW28" s="119">
        <f t="shared" ca="1" si="102"/>
        <v>-163.72727272727252</v>
      </c>
      <c r="AX28" s="119">
        <f t="shared" ca="1" si="103"/>
        <v>-168.4545454545455</v>
      </c>
    </row>
    <row r="29" spans="1:50" ht="12" customHeight="1">
      <c r="A29" s="112"/>
      <c r="B29" s="117" t="str">
        <f t="shared" ref="B29:C29" ca="1" si="108">B10</f>
        <v>Equipe l'Ami</v>
      </c>
      <c r="C29" s="124">
        <f t="shared" ca="1" si="108"/>
        <v>132</v>
      </c>
      <c r="D29" s="124">
        <f t="shared" ca="1" si="60"/>
        <v>241</v>
      </c>
      <c r="E29" s="124">
        <f t="shared" ca="1" si="61"/>
        <v>383</v>
      </c>
      <c r="F29" s="124">
        <f t="shared" ca="1" si="62"/>
        <v>639</v>
      </c>
      <c r="G29" s="124">
        <f t="shared" ca="1" si="63"/>
        <v>838</v>
      </c>
      <c r="H29" s="124">
        <f t="shared" ca="1" si="64"/>
        <v>987</v>
      </c>
      <c r="I29" s="124">
        <f t="shared" ca="1" si="65"/>
        <v>1145</v>
      </c>
      <c r="J29" s="124">
        <f t="shared" ca="1" si="66"/>
        <v>1278</v>
      </c>
      <c r="K29" s="124">
        <f t="shared" ca="1" si="67"/>
        <v>1480</v>
      </c>
      <c r="L29" s="124">
        <f t="shared" ca="1" si="68"/>
        <v>1634</v>
      </c>
      <c r="M29" s="124">
        <f t="shared" ca="1" si="69"/>
        <v>1792</v>
      </c>
      <c r="N29" s="124">
        <f t="shared" ca="1" si="70"/>
        <v>1880</v>
      </c>
      <c r="O29" s="124">
        <f t="shared" ca="1" si="71"/>
        <v>1991</v>
      </c>
      <c r="P29" s="124">
        <f t="shared" ca="1" si="72"/>
        <v>2083</v>
      </c>
      <c r="Q29" s="124">
        <f t="shared" ca="1" si="73"/>
        <v>2261</v>
      </c>
      <c r="R29" s="124">
        <f t="shared" ca="1" si="74"/>
        <v>2338</v>
      </c>
      <c r="S29" s="124">
        <f t="shared" ca="1" si="75"/>
        <v>2531</v>
      </c>
      <c r="T29" s="124">
        <f t="shared" ca="1" si="76"/>
        <v>2709</v>
      </c>
      <c r="U29" s="124">
        <f t="shared" ca="1" si="77"/>
        <v>2802</v>
      </c>
      <c r="V29" s="124">
        <f t="shared" ca="1" si="78"/>
        <v>2991</v>
      </c>
      <c r="W29" s="124">
        <f t="shared" ca="1" si="79"/>
        <v>3174</v>
      </c>
      <c r="X29" s="288">
        <f t="shared" ca="1" si="80"/>
        <v>3486</v>
      </c>
      <c r="Y29" s="120"/>
      <c r="Z29" s="109"/>
      <c r="AB29" s="118" t="str">
        <f t="shared" ca="1" si="81"/>
        <v>Equipe l'Ami</v>
      </c>
      <c r="AC29" s="119">
        <f t="shared" ca="1" si="82"/>
        <v>11</v>
      </c>
      <c r="AD29" s="119">
        <f t="shared" ca="1" si="83"/>
        <v>-11.181818181818187</v>
      </c>
      <c r="AE29" s="119">
        <f t="shared" ca="1" si="84"/>
        <v>-10.727272727272748</v>
      </c>
      <c r="AF29" s="119">
        <f t="shared" ca="1" si="85"/>
        <v>-11.636363636363626</v>
      </c>
      <c r="AG29" s="119">
        <f t="shared" ca="1" si="86"/>
        <v>3.7272727272727479</v>
      </c>
      <c r="AH29" s="119">
        <f t="shared" ca="1" si="87"/>
        <v>-10.090909090909122</v>
      </c>
      <c r="AI29" s="119">
        <f t="shared" ca="1" si="88"/>
        <v>-2.9090909090909918</v>
      </c>
      <c r="AJ29" s="119">
        <f t="shared" ca="1" si="89"/>
        <v>3.8181818181817562</v>
      </c>
      <c r="AK29" s="119">
        <f t="shared" ca="1" si="90"/>
        <v>-25.727272727272748</v>
      </c>
      <c r="AL29" s="119">
        <f t="shared" ca="1" si="91"/>
        <v>-27.545454545454504</v>
      </c>
      <c r="AM29" s="119">
        <f t="shared" ca="1" si="92"/>
        <v>-10.090909090909008</v>
      </c>
      <c r="AN29" s="119">
        <f t="shared" ca="1" si="93"/>
        <v>-21.090909090909008</v>
      </c>
      <c r="AO29" s="119">
        <f t="shared" ca="1" si="94"/>
        <v>-35</v>
      </c>
      <c r="AP29" s="119">
        <f t="shared" ca="1" si="95"/>
        <v>-50.636363636363512</v>
      </c>
      <c r="AQ29" s="119">
        <f t="shared" ca="1" si="96"/>
        <v>-70</v>
      </c>
      <c r="AR29" s="119">
        <f t="shared" ca="1" si="97"/>
        <v>-108.81818181818198</v>
      </c>
      <c r="AS29" s="119">
        <f t="shared" ca="1" si="98"/>
        <v>-124.18181818181802</v>
      </c>
      <c r="AT29" s="119">
        <f t="shared" ca="1" si="99"/>
        <v>-147.36363636363649</v>
      </c>
      <c r="AU29" s="119">
        <f t="shared" ca="1" si="100"/>
        <v>-163.09090909090901</v>
      </c>
      <c r="AV29" s="119">
        <f t="shared" ca="1" si="101"/>
        <v>-171.81818181818198</v>
      </c>
      <c r="AW29" s="119">
        <f t="shared" ca="1" si="102"/>
        <v>-160.72727272727252</v>
      </c>
      <c r="AX29" s="119">
        <f t="shared" ca="1" si="103"/>
        <v>-218.4545454545455</v>
      </c>
    </row>
    <row r="30" spans="1:50" ht="12" customHeight="1">
      <c r="A30" s="112"/>
      <c r="B30" s="117" t="str">
        <f t="shared" ref="B30:C30" ca="1" si="109">B11</f>
        <v>Prajak Mahawong</v>
      </c>
      <c r="C30" s="124">
        <f t="shared" ca="1" si="109"/>
        <v>107</v>
      </c>
      <c r="D30" s="124">
        <f t="shared" ca="1" si="60"/>
        <v>226</v>
      </c>
      <c r="E30" s="124">
        <f t="shared" ca="1" si="61"/>
        <v>354</v>
      </c>
      <c r="F30" s="124">
        <f t="shared" ca="1" si="62"/>
        <v>598</v>
      </c>
      <c r="G30" s="124">
        <f t="shared" ca="1" si="63"/>
        <v>761</v>
      </c>
      <c r="H30" s="124">
        <f t="shared" ca="1" si="64"/>
        <v>925</v>
      </c>
      <c r="I30" s="124">
        <f t="shared" ca="1" si="65"/>
        <v>1032</v>
      </c>
      <c r="J30" s="124">
        <f t="shared" ca="1" si="66"/>
        <v>1177</v>
      </c>
      <c r="K30" s="124">
        <f t="shared" ca="1" si="67"/>
        <v>1417</v>
      </c>
      <c r="L30" s="124">
        <f t="shared" ca="1" si="68"/>
        <v>1571</v>
      </c>
      <c r="M30" s="124">
        <f t="shared" ca="1" si="69"/>
        <v>1701</v>
      </c>
      <c r="N30" s="124">
        <f t="shared" ca="1" si="70"/>
        <v>1806</v>
      </c>
      <c r="O30" s="124">
        <f t="shared" ca="1" si="71"/>
        <v>1926</v>
      </c>
      <c r="P30" s="124">
        <f t="shared" ca="1" si="72"/>
        <v>2030</v>
      </c>
      <c r="Q30" s="124">
        <f t="shared" ca="1" si="73"/>
        <v>2241</v>
      </c>
      <c r="R30" s="124">
        <f t="shared" ca="1" si="74"/>
        <v>2321</v>
      </c>
      <c r="S30" s="124">
        <f t="shared" ca="1" si="75"/>
        <v>2510</v>
      </c>
      <c r="T30" s="124">
        <f t="shared" ca="1" si="76"/>
        <v>2677</v>
      </c>
      <c r="U30" s="124">
        <f t="shared" ca="1" si="77"/>
        <v>2797</v>
      </c>
      <c r="V30" s="124">
        <f t="shared" ca="1" si="78"/>
        <v>3001</v>
      </c>
      <c r="W30" s="124">
        <f t="shared" ca="1" si="79"/>
        <v>3146</v>
      </c>
      <c r="X30" s="288">
        <f t="shared" ca="1" si="80"/>
        <v>3509</v>
      </c>
      <c r="Y30" s="120"/>
      <c r="Z30" s="109"/>
      <c r="AB30" s="118" t="str">
        <f t="shared" ca="1" si="81"/>
        <v>Prajak Mahawong</v>
      </c>
      <c r="AC30" s="119">
        <f t="shared" ca="1" si="82"/>
        <v>-14</v>
      </c>
      <c r="AD30" s="119">
        <f t="shared" ca="1" si="83"/>
        <v>-26.181818181818187</v>
      </c>
      <c r="AE30" s="119">
        <f t="shared" ca="1" si="84"/>
        <v>-39.727272727272748</v>
      </c>
      <c r="AF30" s="119">
        <f t="shared" ca="1" si="85"/>
        <v>-52.636363636363626</v>
      </c>
      <c r="AG30" s="119">
        <f t="shared" ca="1" si="86"/>
        <v>-73.272727272727252</v>
      </c>
      <c r="AH30" s="119">
        <f t="shared" ca="1" si="87"/>
        <v>-72.090909090909122</v>
      </c>
      <c r="AI30" s="119">
        <f t="shared" ca="1" si="88"/>
        <v>-115.90909090909099</v>
      </c>
      <c r="AJ30" s="119">
        <f t="shared" ca="1" si="89"/>
        <v>-97.181818181818244</v>
      </c>
      <c r="AK30" s="119">
        <f t="shared" ca="1" si="90"/>
        <v>-88.727272727272748</v>
      </c>
      <c r="AL30" s="119">
        <f t="shared" ca="1" si="91"/>
        <v>-90.545454545454504</v>
      </c>
      <c r="AM30" s="119">
        <f t="shared" ca="1" si="92"/>
        <v>-101.09090909090901</v>
      </c>
      <c r="AN30" s="119">
        <f t="shared" ca="1" si="93"/>
        <v>-95.090909090909008</v>
      </c>
      <c r="AO30" s="119">
        <f t="shared" ca="1" si="94"/>
        <v>-100</v>
      </c>
      <c r="AP30" s="119">
        <f t="shared" ca="1" si="95"/>
        <v>-103.63636363636351</v>
      </c>
      <c r="AQ30" s="119">
        <f t="shared" ca="1" si="96"/>
        <v>-90</v>
      </c>
      <c r="AR30" s="119">
        <f t="shared" ca="1" si="97"/>
        <v>-125.81818181818198</v>
      </c>
      <c r="AS30" s="119">
        <f t="shared" ca="1" si="98"/>
        <v>-145.18181818181802</v>
      </c>
      <c r="AT30" s="119">
        <f t="shared" ca="1" si="99"/>
        <v>-179.36363636363649</v>
      </c>
      <c r="AU30" s="119">
        <f t="shared" ca="1" si="100"/>
        <v>-168.09090909090901</v>
      </c>
      <c r="AV30" s="119">
        <f t="shared" ca="1" si="101"/>
        <v>-161.81818181818198</v>
      </c>
      <c r="AW30" s="119">
        <f t="shared" ca="1" si="102"/>
        <v>-188.72727272727252</v>
      </c>
      <c r="AX30" s="119">
        <f t="shared" ca="1" si="103"/>
        <v>-195.4545454545455</v>
      </c>
    </row>
    <row r="31" spans="1:50" ht="12" customHeight="1">
      <c r="A31" s="112"/>
      <c r="B31" s="117" t="str">
        <f t="shared" ref="B31:C31" ca="1" si="110">B12</f>
        <v>Freaky's monstermannnen</v>
      </c>
      <c r="C31" s="124">
        <f t="shared" ca="1" si="110"/>
        <v>70</v>
      </c>
      <c r="D31" s="124">
        <f t="shared" ca="1" si="60"/>
        <v>188</v>
      </c>
      <c r="E31" s="124">
        <f t="shared" ca="1" si="61"/>
        <v>299</v>
      </c>
      <c r="F31" s="124">
        <f t="shared" ca="1" si="62"/>
        <v>564</v>
      </c>
      <c r="G31" s="124">
        <f t="shared" ca="1" si="63"/>
        <v>739</v>
      </c>
      <c r="H31" s="124">
        <f t="shared" ca="1" si="64"/>
        <v>904</v>
      </c>
      <c r="I31" s="124">
        <f t="shared" ca="1" si="65"/>
        <v>1077</v>
      </c>
      <c r="J31" s="124">
        <f t="shared" ca="1" si="66"/>
        <v>1198</v>
      </c>
      <c r="K31" s="124">
        <f t="shared" ca="1" si="67"/>
        <v>1406</v>
      </c>
      <c r="L31" s="124">
        <f t="shared" ca="1" si="68"/>
        <v>1530</v>
      </c>
      <c r="M31" s="124">
        <f t="shared" ca="1" si="69"/>
        <v>1666</v>
      </c>
      <c r="N31" s="124">
        <f t="shared" ca="1" si="70"/>
        <v>1756</v>
      </c>
      <c r="O31" s="124">
        <f t="shared" ca="1" si="71"/>
        <v>1876</v>
      </c>
      <c r="P31" s="124">
        <f t="shared" ca="1" si="72"/>
        <v>1976</v>
      </c>
      <c r="Q31" s="124">
        <f t="shared" ca="1" si="73"/>
        <v>2166</v>
      </c>
      <c r="R31" s="124">
        <f t="shared" ca="1" si="74"/>
        <v>2300</v>
      </c>
      <c r="S31" s="124">
        <f t="shared" ca="1" si="75"/>
        <v>2510</v>
      </c>
      <c r="T31" s="124">
        <f t="shared" ca="1" si="76"/>
        <v>2725</v>
      </c>
      <c r="U31" s="124">
        <f t="shared" ca="1" si="77"/>
        <v>2836</v>
      </c>
      <c r="V31" s="124">
        <f t="shared" ca="1" si="78"/>
        <v>3031</v>
      </c>
      <c r="W31" s="124">
        <f t="shared" ca="1" si="79"/>
        <v>3237</v>
      </c>
      <c r="X31" s="288">
        <f t="shared" ca="1" si="80"/>
        <v>3603</v>
      </c>
      <c r="Y31" s="120"/>
      <c r="Z31" s="109"/>
      <c r="AB31" s="118" t="str">
        <f t="shared" ca="1" si="81"/>
        <v>Freaky's monstermannnen</v>
      </c>
      <c r="AC31" s="119">
        <f t="shared" ca="1" si="82"/>
        <v>-51</v>
      </c>
      <c r="AD31" s="119">
        <f t="shared" ca="1" si="83"/>
        <v>-64.181818181818187</v>
      </c>
      <c r="AE31" s="119">
        <f t="shared" ca="1" si="84"/>
        <v>-94.727272727272748</v>
      </c>
      <c r="AF31" s="119">
        <f t="shared" ca="1" si="85"/>
        <v>-86.636363636363626</v>
      </c>
      <c r="AG31" s="119">
        <f t="shared" ca="1" si="86"/>
        <v>-95.272727272727252</v>
      </c>
      <c r="AH31" s="119">
        <f t="shared" ca="1" si="87"/>
        <v>-93.090909090909122</v>
      </c>
      <c r="AI31" s="119">
        <f t="shared" ca="1" si="88"/>
        <v>-70.909090909090992</v>
      </c>
      <c r="AJ31" s="119">
        <f t="shared" ca="1" si="89"/>
        <v>-76.181818181818244</v>
      </c>
      <c r="AK31" s="119">
        <f t="shared" ca="1" si="90"/>
        <v>-99.727272727272748</v>
      </c>
      <c r="AL31" s="119">
        <f t="shared" ca="1" si="91"/>
        <v>-131.5454545454545</v>
      </c>
      <c r="AM31" s="119">
        <f t="shared" ca="1" si="92"/>
        <v>-136.09090909090901</v>
      </c>
      <c r="AN31" s="119">
        <f t="shared" ca="1" si="93"/>
        <v>-145.09090909090901</v>
      </c>
      <c r="AO31" s="119">
        <f t="shared" ca="1" si="94"/>
        <v>-150</v>
      </c>
      <c r="AP31" s="119">
        <f t="shared" ca="1" si="95"/>
        <v>-157.63636363636351</v>
      </c>
      <c r="AQ31" s="119">
        <f t="shared" ca="1" si="96"/>
        <v>-165</v>
      </c>
      <c r="AR31" s="119">
        <f t="shared" ca="1" si="97"/>
        <v>-146.81818181818198</v>
      </c>
      <c r="AS31" s="119">
        <f t="shared" ca="1" si="98"/>
        <v>-145.18181818181802</v>
      </c>
      <c r="AT31" s="119">
        <f t="shared" ca="1" si="99"/>
        <v>-131.36363636363649</v>
      </c>
      <c r="AU31" s="119">
        <f t="shared" ca="1" si="100"/>
        <v>-129.09090909090901</v>
      </c>
      <c r="AV31" s="119">
        <f t="shared" ca="1" si="101"/>
        <v>-131.81818181818198</v>
      </c>
      <c r="AW31" s="119">
        <f t="shared" ca="1" si="102"/>
        <v>-97.727272727272521</v>
      </c>
      <c r="AX31" s="119">
        <f t="shared" ca="1" si="103"/>
        <v>-101.4545454545455</v>
      </c>
    </row>
    <row r="32" spans="1:50" ht="12" customHeight="1">
      <c r="A32" s="112"/>
      <c r="B32" s="117" t="str">
        <f t="shared" ref="B32:C32" ca="1" si="111">B13</f>
        <v>Onder de vod</v>
      </c>
      <c r="C32" s="124">
        <f t="shared" ca="1" si="111"/>
        <v>130</v>
      </c>
      <c r="D32" s="124">
        <f t="shared" ca="1" si="60"/>
        <v>268</v>
      </c>
      <c r="E32" s="124">
        <f t="shared" ca="1" si="61"/>
        <v>421</v>
      </c>
      <c r="F32" s="124">
        <f t="shared" ca="1" si="62"/>
        <v>640</v>
      </c>
      <c r="G32" s="124">
        <f t="shared" ca="1" si="63"/>
        <v>835</v>
      </c>
      <c r="H32" s="124">
        <f t="shared" ca="1" si="64"/>
        <v>1017</v>
      </c>
      <c r="I32" s="124">
        <f t="shared" ca="1" si="65"/>
        <v>1158</v>
      </c>
      <c r="J32" s="124">
        <f t="shared" ca="1" si="66"/>
        <v>1248</v>
      </c>
      <c r="K32" s="124">
        <f t="shared" ca="1" si="67"/>
        <v>1433</v>
      </c>
      <c r="L32" s="124">
        <f t="shared" ca="1" si="68"/>
        <v>1591</v>
      </c>
      <c r="M32" s="124">
        <f t="shared" ca="1" si="69"/>
        <v>1736</v>
      </c>
      <c r="N32" s="124">
        <f t="shared" ca="1" si="70"/>
        <v>1834</v>
      </c>
      <c r="O32" s="124">
        <f t="shared" ca="1" si="71"/>
        <v>1966</v>
      </c>
      <c r="P32" s="124">
        <f t="shared" ca="1" si="72"/>
        <v>2054</v>
      </c>
      <c r="Q32" s="124">
        <f t="shared" ca="1" si="73"/>
        <v>2203</v>
      </c>
      <c r="R32" s="124">
        <f t="shared" ca="1" si="74"/>
        <v>2292</v>
      </c>
      <c r="S32" s="124">
        <f t="shared" ca="1" si="75"/>
        <v>2441</v>
      </c>
      <c r="T32" s="124">
        <f t="shared" ca="1" si="76"/>
        <v>2598</v>
      </c>
      <c r="U32" s="124">
        <f t="shared" ca="1" si="77"/>
        <v>2708</v>
      </c>
      <c r="V32" s="124">
        <f t="shared" ca="1" si="78"/>
        <v>2901</v>
      </c>
      <c r="W32" s="124">
        <f t="shared" ca="1" si="79"/>
        <v>3078</v>
      </c>
      <c r="X32" s="288">
        <f t="shared" ca="1" si="80"/>
        <v>3352</v>
      </c>
      <c r="Y32" s="120"/>
      <c r="Z32" s="109"/>
      <c r="AB32" s="118" t="str">
        <f t="shared" ca="1" si="81"/>
        <v>Onder de vod</v>
      </c>
      <c r="AC32" s="119">
        <f t="shared" ca="1" si="82"/>
        <v>9</v>
      </c>
      <c r="AD32" s="119">
        <f t="shared" ca="1" si="83"/>
        <v>15.818181818181813</v>
      </c>
      <c r="AE32" s="119">
        <f t="shared" ca="1" si="84"/>
        <v>27.272727272727252</v>
      </c>
      <c r="AF32" s="119">
        <f t="shared" ca="1" si="85"/>
        <v>-10.636363636363626</v>
      </c>
      <c r="AG32" s="119">
        <f t="shared" ca="1" si="86"/>
        <v>0.72727272727274794</v>
      </c>
      <c r="AH32" s="119">
        <f t="shared" ca="1" si="87"/>
        <v>19.909090909090878</v>
      </c>
      <c r="AI32" s="119">
        <f t="shared" ca="1" si="88"/>
        <v>10.090909090909008</v>
      </c>
      <c r="AJ32" s="119">
        <f t="shared" ca="1" si="89"/>
        <v>-26.181818181818244</v>
      </c>
      <c r="AK32" s="119">
        <f t="shared" ca="1" si="90"/>
        <v>-72.727272727272748</v>
      </c>
      <c r="AL32" s="119">
        <f t="shared" ca="1" si="91"/>
        <v>-70.545454545454504</v>
      </c>
      <c r="AM32" s="119">
        <f t="shared" ca="1" si="92"/>
        <v>-66.090909090909008</v>
      </c>
      <c r="AN32" s="119">
        <f t="shared" ca="1" si="93"/>
        <v>-67.090909090909008</v>
      </c>
      <c r="AO32" s="119">
        <f t="shared" ca="1" si="94"/>
        <v>-60</v>
      </c>
      <c r="AP32" s="119">
        <f t="shared" ca="1" si="95"/>
        <v>-79.636363636363512</v>
      </c>
      <c r="AQ32" s="119">
        <f t="shared" ca="1" si="96"/>
        <v>-128</v>
      </c>
      <c r="AR32" s="119">
        <f t="shared" ca="1" si="97"/>
        <v>-154.81818181818198</v>
      </c>
      <c r="AS32" s="119">
        <f t="shared" ca="1" si="98"/>
        <v>-214.18181818181802</v>
      </c>
      <c r="AT32" s="119">
        <f t="shared" ca="1" si="99"/>
        <v>-258.36363636363649</v>
      </c>
      <c r="AU32" s="119">
        <f t="shared" ca="1" si="100"/>
        <v>-257.09090909090901</v>
      </c>
      <c r="AV32" s="119">
        <f t="shared" ca="1" si="101"/>
        <v>-261.81818181818198</v>
      </c>
      <c r="AW32" s="119">
        <f t="shared" ca="1" si="102"/>
        <v>-256.72727272727252</v>
      </c>
      <c r="AX32" s="119">
        <f t="shared" ca="1" si="103"/>
        <v>-352.4545454545455</v>
      </c>
    </row>
    <row r="33" spans="1:60" ht="12" customHeight="1">
      <c r="A33" s="120"/>
      <c r="B33" s="120"/>
      <c r="C33" s="120"/>
      <c r="D33" s="120"/>
      <c r="E33" s="120"/>
      <c r="F33" s="120"/>
      <c r="G33" s="120"/>
      <c r="H33" s="120"/>
      <c r="I33" s="120"/>
      <c r="J33" s="120"/>
      <c r="K33" s="120"/>
      <c r="L33" s="120"/>
      <c r="M33" s="120"/>
      <c r="N33" s="120"/>
      <c r="O33" s="120"/>
      <c r="P33" s="120"/>
      <c r="Q33" s="120"/>
      <c r="R33" s="120"/>
      <c r="S33" s="120"/>
      <c r="T33" s="120"/>
      <c r="U33" s="120"/>
      <c r="V33" s="120"/>
      <c r="W33" s="120"/>
      <c r="X33" s="320"/>
      <c r="Y33" s="120"/>
      <c r="Z33" s="109"/>
      <c r="AC33" s="121">
        <f t="shared" ref="AC33:AX33" ca="1" si="112">AVERAGE(C22:C32)</f>
        <v>121</v>
      </c>
      <c r="AD33" s="121">
        <f t="shared" ca="1" si="112"/>
        <v>252.18181818181819</v>
      </c>
      <c r="AE33" s="121">
        <f t="shared" ca="1" si="112"/>
        <v>393.72727272727275</v>
      </c>
      <c r="AF33" s="121">
        <f t="shared" ca="1" si="112"/>
        <v>650.63636363636363</v>
      </c>
      <c r="AG33" s="121">
        <f t="shared" ca="1" si="112"/>
        <v>834.27272727272725</v>
      </c>
      <c r="AH33" s="121">
        <f t="shared" ca="1" si="112"/>
        <v>997.09090909090912</v>
      </c>
      <c r="AI33" s="121">
        <f t="shared" ca="1" si="112"/>
        <v>1147.909090909091</v>
      </c>
      <c r="AJ33" s="121">
        <f t="shared" ca="1" si="112"/>
        <v>1274.1818181818182</v>
      </c>
      <c r="AK33" s="121">
        <f t="shared" ca="1" si="112"/>
        <v>1505.7272727272727</v>
      </c>
      <c r="AL33" s="121">
        <f t="shared" ca="1" si="112"/>
        <v>1661.5454545454545</v>
      </c>
      <c r="AM33" s="121">
        <f t="shared" ca="1" si="112"/>
        <v>1802.090909090909</v>
      </c>
      <c r="AN33" s="121">
        <f t="shared" ca="1" si="112"/>
        <v>1901.090909090909</v>
      </c>
      <c r="AO33" s="121">
        <f t="shared" ca="1" si="112"/>
        <v>2026</v>
      </c>
      <c r="AP33" s="121">
        <f t="shared" ca="1" si="112"/>
        <v>2133.6363636363635</v>
      </c>
      <c r="AQ33" s="121">
        <f t="shared" ca="1" si="112"/>
        <v>2331</v>
      </c>
      <c r="AR33" s="121">
        <f t="shared" ca="1" si="112"/>
        <v>2446.818181818182</v>
      </c>
      <c r="AS33" s="121">
        <f t="shared" ca="1" si="112"/>
        <v>2655.181818181818</v>
      </c>
      <c r="AT33" s="121">
        <f t="shared" ca="1" si="112"/>
        <v>2856.3636363636365</v>
      </c>
      <c r="AU33" s="121">
        <f t="shared" ca="1" si="112"/>
        <v>2965.090909090909</v>
      </c>
      <c r="AV33" s="121">
        <f t="shared" ca="1" si="112"/>
        <v>3162.818181818182</v>
      </c>
      <c r="AW33" s="121">
        <f t="shared" ca="1" si="112"/>
        <v>3334.7272727272725</v>
      </c>
      <c r="AX33" s="121">
        <f t="shared" ca="1" si="112"/>
        <v>3704.4545454545455</v>
      </c>
    </row>
    <row r="34" spans="1:60" ht="12" customHeight="1">
      <c r="C34" s="113"/>
      <c r="D34" s="113"/>
      <c r="E34" s="113"/>
      <c r="F34" s="113"/>
      <c r="G34" s="113"/>
      <c r="H34" s="113"/>
      <c r="I34" s="113"/>
      <c r="J34" s="113"/>
      <c r="K34" s="120"/>
      <c r="L34" s="120"/>
      <c r="M34" s="120"/>
      <c r="N34" s="113"/>
      <c r="O34" s="120"/>
      <c r="P34" s="120"/>
      <c r="Q34" s="120"/>
      <c r="R34" s="120"/>
      <c r="S34" s="120"/>
      <c r="T34" s="120"/>
      <c r="U34" s="120"/>
      <c r="V34" s="120"/>
      <c r="W34" s="120"/>
      <c r="X34" s="320"/>
      <c r="Y34" s="120"/>
      <c r="AX34" s="119"/>
    </row>
    <row r="35" spans="1:60" ht="12" customHeight="1">
      <c r="B35" s="122" t="s">
        <v>12</v>
      </c>
      <c r="AB35" s="122" t="s">
        <v>59</v>
      </c>
    </row>
    <row r="36" spans="1:60" s="109" customFormat="1" ht="12" customHeight="1" thickBot="1">
      <c r="C36" s="111">
        <f>C2</f>
        <v>1</v>
      </c>
      <c r="D36" s="111">
        <f t="shared" ref="D36:X36" si="113">D2</f>
        <v>2</v>
      </c>
      <c r="E36" s="111">
        <f t="shared" si="113"/>
        <v>3</v>
      </c>
      <c r="F36" s="111">
        <f t="shared" si="113"/>
        <v>4</v>
      </c>
      <c r="G36" s="111">
        <f t="shared" si="113"/>
        <v>5</v>
      </c>
      <c r="H36" s="111">
        <f t="shared" si="113"/>
        <v>6</v>
      </c>
      <c r="I36" s="111">
        <f t="shared" si="113"/>
        <v>7</v>
      </c>
      <c r="J36" s="111">
        <f t="shared" si="113"/>
        <v>8</v>
      </c>
      <c r="K36" s="111">
        <f t="shared" si="113"/>
        <v>9</v>
      </c>
      <c r="L36" s="111">
        <f t="shared" si="113"/>
        <v>10</v>
      </c>
      <c r="M36" s="111">
        <f t="shared" si="113"/>
        <v>11</v>
      </c>
      <c r="N36" s="111">
        <f t="shared" si="113"/>
        <v>12</v>
      </c>
      <c r="O36" s="111">
        <f t="shared" si="113"/>
        <v>13</v>
      </c>
      <c r="P36" s="111">
        <f t="shared" si="113"/>
        <v>14</v>
      </c>
      <c r="Q36" s="111">
        <f t="shared" si="113"/>
        <v>15</v>
      </c>
      <c r="R36" s="111">
        <f t="shared" si="113"/>
        <v>16</v>
      </c>
      <c r="S36" s="111">
        <f t="shared" si="113"/>
        <v>17</v>
      </c>
      <c r="T36" s="111">
        <f t="shared" si="113"/>
        <v>18</v>
      </c>
      <c r="U36" s="111">
        <f t="shared" si="113"/>
        <v>19</v>
      </c>
      <c r="V36" s="111">
        <f t="shared" si="113"/>
        <v>20</v>
      </c>
      <c r="W36" s="111">
        <f t="shared" si="113"/>
        <v>21</v>
      </c>
      <c r="X36" s="318" t="str">
        <f t="shared" si="113"/>
        <v>B</v>
      </c>
      <c r="AC36" s="111">
        <f>C36</f>
        <v>1</v>
      </c>
      <c r="AD36" s="111">
        <f>D36</f>
        <v>2</v>
      </c>
      <c r="AE36" s="111">
        <f t="shared" ref="AE36:AX36" si="114">E36</f>
        <v>3</v>
      </c>
      <c r="AF36" s="111">
        <f t="shared" si="114"/>
        <v>4</v>
      </c>
      <c r="AG36" s="111">
        <f t="shared" si="114"/>
        <v>5</v>
      </c>
      <c r="AH36" s="111">
        <f t="shared" si="114"/>
        <v>6</v>
      </c>
      <c r="AI36" s="111">
        <f t="shared" si="114"/>
        <v>7</v>
      </c>
      <c r="AJ36" s="111">
        <f t="shared" si="114"/>
        <v>8</v>
      </c>
      <c r="AK36" s="111">
        <f t="shared" si="114"/>
        <v>9</v>
      </c>
      <c r="AL36" s="111">
        <f t="shared" si="114"/>
        <v>10</v>
      </c>
      <c r="AM36" s="111">
        <f t="shared" si="114"/>
        <v>11</v>
      </c>
      <c r="AN36" s="111">
        <f t="shared" si="114"/>
        <v>12</v>
      </c>
      <c r="AO36" s="111">
        <f t="shared" si="114"/>
        <v>13</v>
      </c>
      <c r="AP36" s="111">
        <f t="shared" si="114"/>
        <v>14</v>
      </c>
      <c r="AQ36" s="111">
        <f t="shared" si="114"/>
        <v>15</v>
      </c>
      <c r="AR36" s="111">
        <f t="shared" si="114"/>
        <v>16</v>
      </c>
      <c r="AS36" s="111">
        <f t="shared" si="114"/>
        <v>17</v>
      </c>
      <c r="AT36" s="111">
        <f t="shared" si="114"/>
        <v>18</v>
      </c>
      <c r="AU36" s="111">
        <f t="shared" si="114"/>
        <v>19</v>
      </c>
      <c r="AV36" s="111">
        <f t="shared" si="114"/>
        <v>20</v>
      </c>
      <c r="AW36" s="111">
        <f t="shared" si="114"/>
        <v>21</v>
      </c>
      <c r="AX36" s="111" t="str">
        <f t="shared" si="114"/>
        <v>B</v>
      </c>
      <c r="AZ36" s="123"/>
      <c r="BA36" s="123"/>
      <c r="BB36" s="123"/>
      <c r="BC36" s="123"/>
      <c r="BD36" s="123"/>
      <c r="BE36" s="123"/>
      <c r="BF36" s="123"/>
      <c r="BG36" s="123"/>
      <c r="BH36" s="123"/>
    </row>
    <row r="37" spans="1:60" ht="12" customHeight="1">
      <c r="A37" s="112"/>
      <c r="B37" s="117" t="str">
        <f t="shared" ref="B37:B47" ca="1" si="115">B22</f>
        <v>Britless</v>
      </c>
      <c r="C37" s="124">
        <f t="shared" ref="C37:Y37" ca="1" si="116">IF($AA3&lt;&gt;"",C22*$AA3,"")</f>
        <v>158.92302101629221</v>
      </c>
      <c r="D37" s="124">
        <f t="shared" ca="1" si="116"/>
        <v>270.46526558052216</v>
      </c>
      <c r="E37" s="124">
        <f t="shared" ca="1" si="116"/>
        <v>430.37538610623227</v>
      </c>
      <c r="F37" s="124">
        <f t="shared" ca="1" si="116"/>
        <v>669.25346738537962</v>
      </c>
      <c r="G37" s="124">
        <f t="shared" ca="1" si="116"/>
        <v>847.9184785900311</v>
      </c>
      <c r="H37" s="124">
        <f t="shared" ca="1" si="116"/>
        <v>1008.8156986251591</v>
      </c>
      <c r="I37" s="124">
        <f t="shared" ca="1" si="116"/>
        <v>1143.0612319060024</v>
      </c>
      <c r="J37" s="124">
        <f t="shared" ca="1" si="116"/>
        <v>1261.5131730361579</v>
      </c>
      <c r="K37" s="124">
        <f t="shared" ca="1" si="116"/>
        <v>1504.3396523529771</v>
      </c>
      <c r="L37" s="124">
        <f t="shared" ca="1" si="116"/>
        <v>1710.6434498213316</v>
      </c>
      <c r="M37" s="124">
        <f t="shared" ca="1" si="116"/>
        <v>1861.66967476228</v>
      </c>
      <c r="N37" s="124">
        <f t="shared" ca="1" si="116"/>
        <v>1963.3409242323303</v>
      </c>
      <c r="O37" s="124">
        <f t="shared" ca="1" si="116"/>
        <v>2083.7670643813221</v>
      </c>
      <c r="P37" s="124">
        <f t="shared" ca="1" si="116"/>
        <v>2225.9093937375087</v>
      </c>
      <c r="Q37" s="124">
        <f t="shared" ca="1" si="116"/>
        <v>2454.9164799224764</v>
      </c>
      <c r="R37" s="124">
        <f t="shared" ca="1" si="116"/>
        <v>2583.2394161468119</v>
      </c>
      <c r="S37" s="124">
        <f t="shared" ca="1" si="116"/>
        <v>2823.1045969353768</v>
      </c>
      <c r="T37" s="124">
        <f t="shared" ca="1" si="116"/>
        <v>3046.1890860638368</v>
      </c>
      <c r="U37" s="124">
        <f t="shared" ca="1" si="116"/>
        <v>3196.2282114953673</v>
      </c>
      <c r="V37" s="124">
        <f t="shared" ca="1" si="116"/>
        <v>3384.7642177941984</v>
      </c>
      <c r="W37" s="124">
        <f t="shared" ca="1" si="116"/>
        <v>3575.2744231118654</v>
      </c>
      <c r="X37" s="288">
        <f t="shared" ca="1" si="116"/>
        <v>4005.6498092180977</v>
      </c>
      <c r="Y37" s="124">
        <f t="shared" ca="1" si="116"/>
        <v>0</v>
      </c>
      <c r="Z37" s="109"/>
      <c r="AA37" s="109"/>
      <c r="AB37" s="118" t="str">
        <f t="shared" ref="AB37:AB48" ca="1" si="117">B37</f>
        <v>Britless</v>
      </c>
      <c r="AC37" s="119">
        <f t="shared" ref="AC37" ca="1" si="118">C37-AC$48</f>
        <v>37.230199897795188</v>
      </c>
      <c r="AD37" s="119">
        <f t="shared" ref="AD37" ca="1" si="119">D37-AD$48</f>
        <v>16.654533344483809</v>
      </c>
      <c r="AE37" s="119">
        <f t="shared" ref="AE37" ca="1" si="120">E37-AE$48</f>
        <v>34.440449148963125</v>
      </c>
      <c r="AF37" s="119">
        <f t="shared" ref="AF37" ca="1" si="121">F37-AF$48</f>
        <v>15.820366618915841</v>
      </c>
      <c r="AG37" s="119">
        <f t="shared" ref="AG37" ca="1" si="122">G37-AG$48</f>
        <v>10.241200831654737</v>
      </c>
      <c r="AH37" s="119">
        <f t="shared" ref="AH37" ca="1" si="123">H37-AH$48</f>
        <v>7.7378673584366879</v>
      </c>
      <c r="AI37" s="119">
        <f t="shared" ref="AI37" ca="1" si="124">I37-AI$48</f>
        <v>-9.1250612773251305</v>
      </c>
      <c r="AJ37" s="119">
        <f t="shared" ref="AJ37" ca="1" si="125">J37-AJ$48</f>
        <v>-16.840962009907571</v>
      </c>
      <c r="AK37" s="119">
        <f t="shared" ref="AK37" ca="1" si="126">K37-AK$48</f>
        <v>-5.8667856738452429</v>
      </c>
      <c r="AL37" s="119">
        <f t="shared" ref="AL37" ca="1" si="127">L37-AL$48</f>
        <v>44.223272635129661</v>
      </c>
      <c r="AM37" s="119">
        <f t="shared" ref="AM37" ca="1" si="128">M37-AM$48</f>
        <v>54.526282500520438</v>
      </c>
      <c r="AN37" s="119">
        <f t="shared" ref="AN37" ca="1" si="129">N37-AN$48</f>
        <v>56.47629962320093</v>
      </c>
      <c r="AO37" s="119">
        <f t="shared" ref="AO37" ca="1" si="130">O37-AO$48</f>
        <v>51.216849916543879</v>
      </c>
      <c r="AP37" s="119">
        <f t="shared" ref="AP37" ca="1" si="131">P37-AP$48</f>
        <v>85.013700760783195</v>
      </c>
      <c r="AQ37" s="119">
        <f t="shared" ref="AQ37" ca="1" si="132">Q37-AQ$48</f>
        <v>116.69195598779197</v>
      </c>
      <c r="AR37" s="119">
        <f t="shared" ref="AR37" ca="1" si="133">R37-AR$48</f>
        <v>128.82761661105042</v>
      </c>
      <c r="AS37" s="119">
        <f t="shared" ref="AS37" ca="1" si="134">S37-AS$48</f>
        <v>160.71563140501166</v>
      </c>
      <c r="AT37" s="119">
        <f t="shared" ref="AT37" ca="1" si="135">T37-AT$48</f>
        <v>183.00466583133993</v>
      </c>
      <c r="AU37" s="119">
        <f t="shared" ref="AU37" ca="1" si="136">U37-AU$48</f>
        <v>224.19415937729309</v>
      </c>
      <c r="AV37" s="119">
        <f t="shared" ref="AV37" ca="1" si="137">V37-AV$48</f>
        <v>214.54798530142625</v>
      </c>
      <c r="AW37" s="119">
        <f t="shared" ref="AW37" ca="1" si="138">W37-AW$48</f>
        <v>233.19518711530463</v>
      </c>
      <c r="AX37" s="119">
        <f t="shared" ref="AX37" ca="1" si="139">X37-AX$48</f>
        <v>294.29615588951992</v>
      </c>
      <c r="AZ37" s="125"/>
      <c r="BC37" s="125"/>
      <c r="BD37" s="126"/>
      <c r="BE37" s="126"/>
    </row>
    <row r="38" spans="1:60" ht="12" customHeight="1">
      <c r="A38" s="112"/>
      <c r="B38" s="117" t="str">
        <f t="shared" ca="1" si="115"/>
        <v>Lothar blijft positief</v>
      </c>
      <c r="C38" s="124">
        <f t="shared" ref="C38:Y38" ca="1" si="140">IF($AA4&lt;&gt;"",C23*$AA4,"")</f>
        <v>102.99359032228945</v>
      </c>
      <c r="D38" s="124">
        <f t="shared" ca="1" si="140"/>
        <v>231.49035539105057</v>
      </c>
      <c r="E38" s="124">
        <f t="shared" ca="1" si="140"/>
        <v>383.52851253347785</v>
      </c>
      <c r="F38" s="124">
        <f t="shared" ca="1" si="140"/>
        <v>655.23541271704141</v>
      </c>
      <c r="G38" s="124">
        <f t="shared" ca="1" si="140"/>
        <v>857.29902801600929</v>
      </c>
      <c r="H38" s="124">
        <f t="shared" ca="1" si="140"/>
        <v>1011.2989678312421</v>
      </c>
      <c r="I38" s="124">
        <f t="shared" ca="1" si="140"/>
        <v>1188.840299720141</v>
      </c>
      <c r="J38" s="124">
        <f t="shared" ca="1" si="140"/>
        <v>1336.9548915169573</v>
      </c>
      <c r="K38" s="124">
        <f t="shared" ca="1" si="140"/>
        <v>1582.1777256176465</v>
      </c>
      <c r="L38" s="124">
        <f t="shared" ca="1" si="140"/>
        <v>1732.2541000872682</v>
      </c>
      <c r="M38" s="124">
        <f t="shared" ca="1" si="140"/>
        <v>1884.2922572296955</v>
      </c>
      <c r="N38" s="124">
        <f t="shared" ca="1" si="140"/>
        <v>1981.4004995335683</v>
      </c>
      <c r="O38" s="124">
        <f t="shared" ca="1" si="140"/>
        <v>2127.5533086575792</v>
      </c>
      <c r="P38" s="124">
        <f t="shared" ca="1" si="140"/>
        <v>2231.5277903162714</v>
      </c>
      <c r="Q38" s="124">
        <f t="shared" ca="1" si="140"/>
        <v>2441.4385363064612</v>
      </c>
      <c r="R38" s="124">
        <f t="shared" ca="1" si="140"/>
        <v>2566.9926273660139</v>
      </c>
      <c r="S38" s="124">
        <f t="shared" ca="1" si="140"/>
        <v>2805.349222111884</v>
      </c>
      <c r="T38" s="124">
        <f t="shared" ca="1" si="140"/>
        <v>3030.9542294845178</v>
      </c>
      <c r="U38" s="124">
        <f t="shared" ca="1" si="140"/>
        <v>3130.0242544611965</v>
      </c>
      <c r="V38" s="124">
        <f t="shared" ca="1" si="140"/>
        <v>3346.8012398062056</v>
      </c>
      <c r="W38" s="124">
        <f t="shared" ca="1" si="140"/>
        <v>3508.6483103126602</v>
      </c>
      <c r="X38" s="288">
        <f t="shared" ca="1" si="140"/>
        <v>3930.4315849658456</v>
      </c>
      <c r="Y38" s="124">
        <f t="shared" ca="1" si="140"/>
        <v>0</v>
      </c>
      <c r="Z38" s="109"/>
      <c r="AA38" s="109"/>
      <c r="AB38" s="118" t="str">
        <f t="shared" ref="AB38:AB47" ca="1" si="141">B38</f>
        <v>Lothar blijft positief</v>
      </c>
      <c r="AC38" s="119">
        <f t="shared" ref="AC38:AC47" ca="1" si="142">C38-AC$48</f>
        <v>-18.699230796207573</v>
      </c>
      <c r="AD38" s="119">
        <f t="shared" ref="AD38:AD47" ca="1" si="143">D38-AD$48</f>
        <v>-22.320376844987777</v>
      </c>
      <c r="AE38" s="119">
        <f t="shared" ref="AE38:AE47" ca="1" si="144">E38-AE$48</f>
        <v>-12.406424423791293</v>
      </c>
      <c r="AF38" s="119">
        <f t="shared" ref="AF38:AF47" ca="1" si="145">F38-AF$48</f>
        <v>1.8023119505776322</v>
      </c>
      <c r="AG38" s="119">
        <f t="shared" ref="AG38:AG47" ca="1" si="146">G38-AG$48</f>
        <v>19.621750257632925</v>
      </c>
      <c r="AH38" s="119">
        <f t="shared" ref="AH38:AH47" ca="1" si="147">H38-AH$48</f>
        <v>10.221136564519611</v>
      </c>
      <c r="AI38" s="119">
        <f t="shared" ref="AI38:AI47" ca="1" si="148">I38-AI$48</f>
        <v>36.65400653681354</v>
      </c>
      <c r="AJ38" s="119">
        <f t="shared" ref="AJ38:AJ47" ca="1" si="149">J38-AJ$48</f>
        <v>58.600756470891838</v>
      </c>
      <c r="AK38" s="119">
        <f t="shared" ref="AK38:AK47" ca="1" si="150">K38-AK$48</f>
        <v>71.971287590824204</v>
      </c>
      <c r="AL38" s="119">
        <f t="shared" ref="AL38:AL47" ca="1" si="151">L38-AL$48</f>
        <v>65.833922901066217</v>
      </c>
      <c r="AM38" s="119">
        <f t="shared" ref="AM38:AM47" ca="1" si="152">M38-AM$48</f>
        <v>77.148864967935879</v>
      </c>
      <c r="AN38" s="119">
        <f t="shared" ref="AN38:AN47" ca="1" si="153">N38-AN$48</f>
        <v>74.535874924438986</v>
      </c>
      <c r="AO38" s="119">
        <f t="shared" ref="AO38:AO47" ca="1" si="154">O38-AO$48</f>
        <v>95.003094192800972</v>
      </c>
      <c r="AP38" s="119">
        <f t="shared" ref="AP38:AP47" ca="1" si="155">P38-AP$48</f>
        <v>90.632097339545908</v>
      </c>
      <c r="AQ38" s="119">
        <f t="shared" ref="AQ38:AQ47" ca="1" si="156">Q38-AQ$48</f>
        <v>103.21401237177679</v>
      </c>
      <c r="AR38" s="119">
        <f t="shared" ref="AR38:AR47" ca="1" si="157">R38-AR$48</f>
        <v>112.58082783025247</v>
      </c>
      <c r="AS38" s="119">
        <f t="shared" ref="AS38:AS47" ca="1" si="158">S38-AS$48</f>
        <v>142.96025658151893</v>
      </c>
      <c r="AT38" s="119">
        <f t="shared" ref="AT38:AT47" ca="1" si="159">T38-AT$48</f>
        <v>167.76980925202088</v>
      </c>
      <c r="AU38" s="119">
        <f t="shared" ref="AU38:AU47" ca="1" si="160">U38-AU$48</f>
        <v>157.99020234312229</v>
      </c>
      <c r="AV38" s="119">
        <f t="shared" ref="AV38:AV47" ca="1" si="161">V38-AV$48</f>
        <v>176.58500731343338</v>
      </c>
      <c r="AW38" s="119">
        <f t="shared" ref="AW38:AW47" ca="1" si="162">W38-AW$48</f>
        <v>166.56907431609943</v>
      </c>
      <c r="AX38" s="119">
        <f t="shared" ref="AX38:AX47" ca="1" si="163">X38-AX$48</f>
        <v>219.07793163726774</v>
      </c>
      <c r="AZ38" s="125"/>
      <c r="BC38" s="125"/>
      <c r="BD38" s="126"/>
      <c r="BE38" s="126"/>
    </row>
    <row r="39" spans="1:60" ht="12" customHeight="1">
      <c r="A39" s="112"/>
      <c r="B39" s="117" t="str">
        <f t="shared" ca="1" si="115"/>
        <v>Tins Tour Toppers</v>
      </c>
      <c r="C39" s="124">
        <f t="shared" ref="C39:Y39" ca="1" si="164">IF($AA5&lt;&gt;"",C24*$AA5,"")</f>
        <v>121.40732888290408</v>
      </c>
      <c r="D39" s="124">
        <f t="shared" ca="1" si="164"/>
        <v>244.68246282554517</v>
      </c>
      <c r="E39" s="124">
        <f t="shared" ca="1" si="164"/>
        <v>387.56954989542459</v>
      </c>
      <c r="F39" s="124">
        <f t="shared" ca="1" si="164"/>
        <v>661.20299114689305</v>
      </c>
      <c r="G39" s="124">
        <f t="shared" ca="1" si="164"/>
        <v>818.09861616479986</v>
      </c>
      <c r="H39" s="124">
        <f t="shared" ca="1" si="164"/>
        <v>988.06887660086556</v>
      </c>
      <c r="I39" s="124">
        <f t="shared" ca="1" si="164"/>
        <v>1103.8727903045587</v>
      </c>
      <c r="J39" s="124">
        <f t="shared" ca="1" si="164"/>
        <v>1237.4208520757531</v>
      </c>
      <c r="K39" s="124">
        <f t="shared" ca="1" si="164"/>
        <v>1497.9796579090628</v>
      </c>
      <c r="L39" s="124">
        <f t="shared" ca="1" si="164"/>
        <v>1666.0821132853914</v>
      </c>
      <c r="M39" s="124">
        <f t="shared" ca="1" si="164"/>
        <v>1797.762369996849</v>
      </c>
      <c r="N39" s="124">
        <f t="shared" ca="1" si="164"/>
        <v>1892.0865255135668</v>
      </c>
      <c r="O39" s="124">
        <f t="shared" ca="1" si="164"/>
        <v>2001.3531215081805</v>
      </c>
      <c r="P39" s="124">
        <f t="shared" ca="1" si="164"/>
        <v>2108.7519124430573</v>
      </c>
      <c r="Q39" s="124">
        <f t="shared" ca="1" si="164"/>
        <v>2295.5324184167557</v>
      </c>
      <c r="R39" s="124">
        <f t="shared" ca="1" si="164"/>
        <v>2396.3938916425532</v>
      </c>
      <c r="S39" s="124">
        <f t="shared" ca="1" si="164"/>
        <v>2595.3151305045421</v>
      </c>
      <c r="T39" s="124">
        <f t="shared" ca="1" si="164"/>
        <v>2777.4261238288982</v>
      </c>
      <c r="U39" s="124">
        <f t="shared" ca="1" si="164"/>
        <v>2875.4858894650897</v>
      </c>
      <c r="V39" s="124">
        <f t="shared" ca="1" si="164"/>
        <v>3025.8441967739172</v>
      </c>
      <c r="W39" s="124">
        <f t="shared" ca="1" si="164"/>
        <v>3193.0127496203777</v>
      </c>
      <c r="X39" s="288">
        <f t="shared" ca="1" si="164"/>
        <v>3547.8957109704047</v>
      </c>
      <c r="Y39" s="124">
        <f t="shared" ca="1" si="164"/>
        <v>0</v>
      </c>
      <c r="Z39" s="109"/>
      <c r="AA39" s="109"/>
      <c r="AB39" s="118" t="str">
        <f t="shared" ca="1" si="141"/>
        <v>Tins Tour Toppers</v>
      </c>
      <c r="AC39" s="119">
        <f t="shared" ca="1" si="142"/>
        <v>-0.28549223559294035</v>
      </c>
      <c r="AD39" s="119">
        <f t="shared" ca="1" si="143"/>
        <v>-9.128269410493175</v>
      </c>
      <c r="AE39" s="119">
        <f t="shared" ca="1" si="144"/>
        <v>-8.365387061844558</v>
      </c>
      <c r="AF39" s="119">
        <f t="shared" ca="1" si="145"/>
        <v>7.769890380429274</v>
      </c>
      <c r="AG39" s="119">
        <f t="shared" ca="1" si="146"/>
        <v>-19.578661593576498</v>
      </c>
      <c r="AH39" s="119">
        <f t="shared" ca="1" si="147"/>
        <v>-13.008954665856891</v>
      </c>
      <c r="AI39" s="119">
        <f t="shared" ca="1" si="148"/>
        <v>-48.313502878768759</v>
      </c>
      <c r="AJ39" s="119">
        <f t="shared" ca="1" si="149"/>
        <v>-40.933282970312348</v>
      </c>
      <c r="AK39" s="119">
        <f t="shared" ca="1" si="150"/>
        <v>-12.226780117759517</v>
      </c>
      <c r="AL39" s="119">
        <f t="shared" ca="1" si="151"/>
        <v>-0.33806390081053905</v>
      </c>
      <c r="AM39" s="119">
        <f t="shared" ca="1" si="152"/>
        <v>-9.3810222649105981</v>
      </c>
      <c r="AN39" s="119">
        <f t="shared" ca="1" si="153"/>
        <v>-14.778099095562538</v>
      </c>
      <c r="AO39" s="119">
        <f t="shared" ca="1" si="154"/>
        <v>-31.197092956597771</v>
      </c>
      <c r="AP39" s="119">
        <f t="shared" ca="1" si="155"/>
        <v>-32.143780533668178</v>
      </c>
      <c r="AQ39" s="119">
        <f t="shared" ca="1" si="156"/>
        <v>-42.692105517928667</v>
      </c>
      <c r="AR39" s="119">
        <f t="shared" ca="1" si="157"/>
        <v>-58.017907893208303</v>
      </c>
      <c r="AS39" s="119">
        <f t="shared" ca="1" si="158"/>
        <v>-67.073835025822973</v>
      </c>
      <c r="AT39" s="119">
        <f t="shared" ca="1" si="159"/>
        <v>-85.758296403598706</v>
      </c>
      <c r="AU39" s="119">
        <f t="shared" ca="1" si="160"/>
        <v>-96.548162652984502</v>
      </c>
      <c r="AV39" s="119">
        <f t="shared" ca="1" si="161"/>
        <v>-144.37203571885493</v>
      </c>
      <c r="AW39" s="119">
        <f t="shared" ca="1" si="162"/>
        <v>-149.06648637618309</v>
      </c>
      <c r="AX39" s="119">
        <f t="shared" ca="1" si="163"/>
        <v>-163.45794235817311</v>
      </c>
      <c r="AZ39" s="125"/>
      <c r="BC39" s="125"/>
      <c r="BD39" s="126"/>
      <c r="BE39" s="126"/>
    </row>
    <row r="40" spans="1:60" ht="12" customHeight="1">
      <c r="A40" s="112"/>
      <c r="B40" s="117" t="str">
        <f t="shared" ca="1" si="115"/>
        <v>Am Selfkant</v>
      </c>
      <c r="C40" s="124">
        <f t="shared" ref="C40:Y40" ca="1" si="165">IF($AA6&lt;&gt;"",C25*$AA6,"")</f>
        <v>129.47765640516388</v>
      </c>
      <c r="D40" s="124">
        <f t="shared" ca="1" si="165"/>
        <v>279.55403087478561</v>
      </c>
      <c r="E40" s="124">
        <f t="shared" ca="1" si="165"/>
        <v>415.89792663476879</v>
      </c>
      <c r="F40" s="124">
        <f t="shared" ca="1" si="165"/>
        <v>673.87234810869381</v>
      </c>
      <c r="G40" s="124">
        <f t="shared" ca="1" si="165"/>
        <v>872.99328939845338</v>
      </c>
      <c r="H40" s="124">
        <f t="shared" ca="1" si="165"/>
        <v>1031.8976858956999</v>
      </c>
      <c r="I40" s="124">
        <f t="shared" ca="1" si="165"/>
        <v>1209.4390177845989</v>
      </c>
      <c r="J40" s="124">
        <f t="shared" ca="1" si="165"/>
        <v>1334.012217507749</v>
      </c>
      <c r="K40" s="124">
        <f t="shared" ca="1" si="165"/>
        <v>1574.3305949264243</v>
      </c>
      <c r="L40" s="124">
        <f t="shared" ca="1" si="165"/>
        <v>1714.5980560320186</v>
      </c>
      <c r="M40" s="124">
        <f t="shared" ca="1" si="165"/>
        <v>1853.8846258012099</v>
      </c>
      <c r="N40" s="124">
        <f t="shared" ca="1" si="165"/>
        <v>1949.0310854322775</v>
      </c>
      <c r="O40" s="124">
        <f t="shared" ca="1" si="165"/>
        <v>2066.7380458006082</v>
      </c>
      <c r="P40" s="124">
        <f t="shared" ca="1" si="165"/>
        <v>2165.8080707772865</v>
      </c>
      <c r="Q40" s="124">
        <f t="shared" ca="1" si="165"/>
        <v>2351.1965333574076</v>
      </c>
      <c r="R40" s="124">
        <f t="shared" ca="1" si="165"/>
        <v>2515.9862778730708</v>
      </c>
      <c r="S40" s="124">
        <f t="shared" ca="1" si="165"/>
        <v>2721.9734585176498</v>
      </c>
      <c r="T40" s="124">
        <f t="shared" ca="1" si="165"/>
        <v>2932.8650958442422</v>
      </c>
      <c r="U40" s="124">
        <f t="shared" ca="1" si="165"/>
        <v>3041.7440341849483</v>
      </c>
      <c r="V40" s="124">
        <f t="shared" ca="1" si="165"/>
        <v>3227.1324967650694</v>
      </c>
      <c r="W40" s="124">
        <f t="shared" ca="1" si="165"/>
        <v>3387.9986759351214</v>
      </c>
      <c r="X40" s="288">
        <f t="shared" ca="1" si="165"/>
        <v>3747.985796394933</v>
      </c>
      <c r="Y40" s="124">
        <f t="shared" ca="1" si="165"/>
        <v>0</v>
      </c>
      <c r="Z40" s="109"/>
      <c r="AA40" s="109"/>
      <c r="AB40" s="118" t="str">
        <f t="shared" ca="1" si="141"/>
        <v>Am Selfkant</v>
      </c>
      <c r="AC40" s="119">
        <f t="shared" ca="1" si="142"/>
        <v>7.784835286666862</v>
      </c>
      <c r="AD40" s="119">
        <f t="shared" ca="1" si="143"/>
        <v>25.743298638747262</v>
      </c>
      <c r="AE40" s="119">
        <f t="shared" ca="1" si="144"/>
        <v>19.96298967749965</v>
      </c>
      <c r="AF40" s="119">
        <f t="shared" ca="1" si="145"/>
        <v>20.439247342230033</v>
      </c>
      <c r="AG40" s="119">
        <f t="shared" ca="1" si="146"/>
        <v>35.316011640077022</v>
      </c>
      <c r="AH40" s="119">
        <f t="shared" ca="1" si="147"/>
        <v>30.819854628977396</v>
      </c>
      <c r="AI40" s="119">
        <f t="shared" ca="1" si="148"/>
        <v>57.252724601271439</v>
      </c>
      <c r="AJ40" s="119">
        <f t="shared" ca="1" si="149"/>
        <v>55.658082461683534</v>
      </c>
      <c r="AK40" s="119">
        <f t="shared" ca="1" si="150"/>
        <v>64.124156899601985</v>
      </c>
      <c r="AL40" s="119">
        <f t="shared" ca="1" si="151"/>
        <v>48.177878845816622</v>
      </c>
      <c r="AM40" s="119">
        <f t="shared" ca="1" si="152"/>
        <v>46.741233539450377</v>
      </c>
      <c r="AN40" s="119">
        <f t="shared" ca="1" si="153"/>
        <v>42.1664608231481</v>
      </c>
      <c r="AO40" s="119">
        <f t="shared" ca="1" si="154"/>
        <v>34.187831335829969</v>
      </c>
      <c r="AP40" s="119">
        <f t="shared" ca="1" si="155"/>
        <v>24.912377800560989</v>
      </c>
      <c r="AQ40" s="119">
        <f t="shared" ca="1" si="156"/>
        <v>12.972009422723204</v>
      </c>
      <c r="AR40" s="119">
        <f t="shared" ca="1" si="157"/>
        <v>61.574478337309301</v>
      </c>
      <c r="AS40" s="119">
        <f t="shared" ca="1" si="158"/>
        <v>59.584492987284648</v>
      </c>
      <c r="AT40" s="119">
        <f t="shared" ca="1" si="159"/>
        <v>69.680675611745301</v>
      </c>
      <c r="AU40" s="119">
        <f t="shared" ca="1" si="160"/>
        <v>69.70998206687409</v>
      </c>
      <c r="AV40" s="119">
        <f t="shared" ca="1" si="161"/>
        <v>56.916264272297212</v>
      </c>
      <c r="AW40" s="119">
        <f t="shared" ca="1" si="162"/>
        <v>45.919439938560572</v>
      </c>
      <c r="AX40" s="119">
        <f t="shared" ca="1" si="163"/>
        <v>36.632143066355184</v>
      </c>
      <c r="AZ40" s="125"/>
      <c r="BC40" s="125"/>
      <c r="BD40" s="126"/>
      <c r="BE40" s="126"/>
    </row>
    <row r="41" spans="1:60" ht="12" customHeight="1">
      <c r="A41" s="112"/>
      <c r="B41" s="117" t="str">
        <f t="shared" ca="1" si="115"/>
        <v>De Lange Man</v>
      </c>
      <c r="C41" s="124">
        <f t="shared" ref="C41:Y41" ca="1" si="166">IF($AA7&lt;&gt;"",C26*$AA7,"")</f>
        <v>106.55769859431189</v>
      </c>
      <c r="D41" s="124">
        <f t="shared" ca="1" si="166"/>
        <v>251.863651222919</v>
      </c>
      <c r="E41" s="124">
        <f t="shared" ca="1" si="166"/>
        <v>374.88935778180638</v>
      </c>
      <c r="F41" s="124">
        <f t="shared" ca="1" si="166"/>
        <v>651.93937412701723</v>
      </c>
      <c r="G41" s="124">
        <f t="shared" ca="1" si="166"/>
        <v>822.43169187791625</v>
      </c>
      <c r="H41" s="124">
        <f t="shared" ca="1" si="166"/>
        <v>958.05058099794962</v>
      </c>
      <c r="I41" s="124">
        <f t="shared" ca="1" si="166"/>
        <v>1117.8871288894175</v>
      </c>
      <c r="J41" s="124">
        <f t="shared" ca="1" si="166"/>
        <v>1246.725073553449</v>
      </c>
      <c r="K41" s="124">
        <f t="shared" ca="1" si="166"/>
        <v>1486.9642485660795</v>
      </c>
      <c r="L41" s="124">
        <f t="shared" ca="1" si="166"/>
        <v>1615.802193230111</v>
      </c>
      <c r="M41" s="124">
        <f t="shared" ca="1" si="166"/>
        <v>1735.9217807364264</v>
      </c>
      <c r="N41" s="124">
        <f t="shared" ca="1" si="166"/>
        <v>1822.1366459627332</v>
      </c>
      <c r="O41" s="124">
        <f t="shared" ca="1" si="166"/>
        <v>1944.1936461707633</v>
      </c>
      <c r="P41" s="124">
        <f t="shared" ca="1" si="166"/>
        <v>2036.2207495022144</v>
      </c>
      <c r="Q41" s="124">
        <f t="shared" ca="1" si="166"/>
        <v>2273.5538054622725</v>
      </c>
      <c r="R41" s="124">
        <f t="shared" ca="1" si="166"/>
        <v>2383.9863294600141</v>
      </c>
      <c r="S41" s="124">
        <f t="shared" ca="1" si="166"/>
        <v>2646.5057505423642</v>
      </c>
      <c r="T41" s="124">
        <f t="shared" ca="1" si="166"/>
        <v>2909.0251716247144</v>
      </c>
      <c r="U41" s="124">
        <f t="shared" ca="1" si="166"/>
        <v>3003.9583940087377</v>
      </c>
      <c r="V41" s="124">
        <f t="shared" ca="1" si="166"/>
        <v>3238.3853309162241</v>
      </c>
      <c r="W41" s="124">
        <f t="shared" ca="1" si="166"/>
        <v>3410.8150613688376</v>
      </c>
      <c r="X41" s="288">
        <f t="shared" ca="1" si="166"/>
        <v>3864.1696335700917</v>
      </c>
      <c r="Y41" s="124">
        <f t="shared" ca="1" si="166"/>
        <v>0</v>
      </c>
      <c r="Z41" s="109"/>
      <c r="AA41" s="109"/>
      <c r="AB41" s="118" t="str">
        <f t="shared" ca="1" si="141"/>
        <v>De Lange Man</v>
      </c>
      <c r="AC41" s="119">
        <f t="shared" ca="1" si="142"/>
        <v>-15.135122524185135</v>
      </c>
      <c r="AD41" s="119">
        <f t="shared" ca="1" si="143"/>
        <v>-1.9470810131193446</v>
      </c>
      <c r="AE41" s="119">
        <f t="shared" ca="1" si="144"/>
        <v>-21.045579175462763</v>
      </c>
      <c r="AF41" s="119">
        <f t="shared" ca="1" si="145"/>
        <v>-1.4937266394465496</v>
      </c>
      <c r="AG41" s="119">
        <f t="shared" ca="1" si="146"/>
        <v>-15.245585880460112</v>
      </c>
      <c r="AH41" s="119">
        <f t="shared" ca="1" si="147"/>
        <v>-43.027250268772832</v>
      </c>
      <c r="AI41" s="119">
        <f t="shared" ca="1" si="148"/>
        <v>-34.299164293910053</v>
      </c>
      <c r="AJ41" s="119">
        <f t="shared" ca="1" si="149"/>
        <v>-31.629061492616529</v>
      </c>
      <c r="AK41" s="119">
        <f t="shared" ca="1" si="150"/>
        <v>-23.242189460742793</v>
      </c>
      <c r="AL41" s="119">
        <f t="shared" ca="1" si="151"/>
        <v>-50.617983956090939</v>
      </c>
      <c r="AM41" s="119">
        <f t="shared" ca="1" si="152"/>
        <v>-71.221611525333174</v>
      </c>
      <c r="AN41" s="119">
        <f t="shared" ca="1" si="153"/>
        <v>-84.727978646396195</v>
      </c>
      <c r="AO41" s="119">
        <f t="shared" ca="1" si="154"/>
        <v>-88.356568294015005</v>
      </c>
      <c r="AP41" s="119">
        <f t="shared" ca="1" si="155"/>
        <v>-104.67494347451111</v>
      </c>
      <c r="AQ41" s="119">
        <f t="shared" ca="1" si="156"/>
        <v>-64.670718472411863</v>
      </c>
      <c r="AR41" s="119">
        <f t="shared" ca="1" si="157"/>
        <v>-70.425470075747398</v>
      </c>
      <c r="AS41" s="119">
        <f t="shared" ca="1" si="158"/>
        <v>-15.883214988000873</v>
      </c>
      <c r="AT41" s="119">
        <f t="shared" ca="1" si="159"/>
        <v>45.840751392217499</v>
      </c>
      <c r="AU41" s="119">
        <f t="shared" ca="1" si="160"/>
        <v>31.924341890663527</v>
      </c>
      <c r="AV41" s="119">
        <f t="shared" ca="1" si="161"/>
        <v>68.169098423451942</v>
      </c>
      <c r="AW41" s="119">
        <f t="shared" ca="1" si="162"/>
        <v>68.73582537227685</v>
      </c>
      <c r="AX41" s="119">
        <f t="shared" ca="1" si="163"/>
        <v>152.8159802415139</v>
      </c>
      <c r="AZ41" s="125"/>
      <c r="BC41" s="125"/>
      <c r="BD41" s="126"/>
      <c r="BE41" s="126"/>
    </row>
    <row r="42" spans="1:60" ht="12" customHeight="1">
      <c r="A42" s="112"/>
      <c r="B42" s="117" t="str">
        <f t="shared" ca="1" si="115"/>
        <v>Majella sykler på</v>
      </c>
      <c r="C42" s="124">
        <f t="shared" ref="C42:Y42" ca="1" si="167">IF($AA8&lt;&gt;"",C27*$AA8,"")</f>
        <v>158.28950939084484</v>
      </c>
      <c r="D42" s="124">
        <f t="shared" ca="1" si="167"/>
        <v>367.79033064343361</v>
      </c>
      <c r="E42" s="124">
        <f t="shared" ca="1" si="167"/>
        <v>542.37434835392423</v>
      </c>
      <c r="F42" s="124">
        <f t="shared" ca="1" si="167"/>
        <v>865.9367278440335</v>
      </c>
      <c r="G42" s="124">
        <f t="shared" ca="1" si="167"/>
        <v>1070.7819752910091</v>
      </c>
      <c r="H42" s="124">
        <f t="shared" ca="1" si="167"/>
        <v>1276.791116189388</v>
      </c>
      <c r="I42" s="124">
        <f t="shared" ca="1" si="167"/>
        <v>1418.7861172605872</v>
      </c>
      <c r="J42" s="124">
        <f t="shared" ca="1" si="167"/>
        <v>1544.4866100121403</v>
      </c>
      <c r="K42" s="124">
        <f t="shared" ca="1" si="167"/>
        <v>1828.4766121545385</v>
      </c>
      <c r="L42" s="124">
        <f t="shared" ca="1" si="167"/>
        <v>2008.8800971220455</v>
      </c>
      <c r="M42" s="124">
        <f t="shared" ca="1" si="167"/>
        <v>2142.7278440334217</v>
      </c>
      <c r="N42" s="124">
        <f t="shared" ca="1" si="167"/>
        <v>2295.1978861672501</v>
      </c>
      <c r="O42" s="124">
        <f t="shared" ca="1" si="167"/>
        <v>2479.0930514889669</v>
      </c>
      <c r="P42" s="124">
        <f t="shared" ca="1" si="167"/>
        <v>2639.7103477826181</v>
      </c>
      <c r="Q42" s="124">
        <f t="shared" ca="1" si="167"/>
        <v>2844.555595229594</v>
      </c>
      <c r="R42" s="124">
        <f t="shared" ca="1" si="167"/>
        <v>2983.0589159465831</v>
      </c>
      <c r="S42" s="124">
        <f t="shared" ca="1" si="167"/>
        <v>3164.6262943654933</v>
      </c>
      <c r="T42" s="124">
        <f t="shared" ca="1" si="167"/>
        <v>3333.3908448189677</v>
      </c>
      <c r="U42" s="124">
        <f t="shared" ca="1" si="167"/>
        <v>3454.4357637649077</v>
      </c>
      <c r="V42" s="124">
        <f t="shared" ca="1" si="167"/>
        <v>3665.1004784688998</v>
      </c>
      <c r="W42" s="124">
        <f t="shared" ca="1" si="167"/>
        <v>3821.0622009569383</v>
      </c>
      <c r="X42" s="288">
        <f t="shared" ca="1" si="167"/>
        <v>4177.2135970863392</v>
      </c>
      <c r="Y42" s="124">
        <f t="shared" ca="1" si="167"/>
        <v>0</v>
      </c>
      <c r="Z42" s="109"/>
      <c r="AA42" s="109"/>
      <c r="AB42" s="118" t="str">
        <f t="shared" ca="1" si="141"/>
        <v>Majella sykler på</v>
      </c>
      <c r="AC42" s="119">
        <f t="shared" ca="1" si="142"/>
        <v>36.596688272347819</v>
      </c>
      <c r="AD42" s="119">
        <f t="shared" ca="1" si="143"/>
        <v>113.97959840739526</v>
      </c>
      <c r="AE42" s="119">
        <f t="shared" ca="1" si="144"/>
        <v>146.43941139665509</v>
      </c>
      <c r="AF42" s="119">
        <f t="shared" ca="1" si="145"/>
        <v>212.50362707756972</v>
      </c>
      <c r="AG42" s="119">
        <f t="shared" ca="1" si="146"/>
        <v>233.10469753263271</v>
      </c>
      <c r="AH42" s="119">
        <f t="shared" ca="1" si="147"/>
        <v>275.71328492266559</v>
      </c>
      <c r="AI42" s="119">
        <f t="shared" ca="1" si="148"/>
        <v>266.59982407725965</v>
      </c>
      <c r="AJ42" s="119">
        <f t="shared" ca="1" si="149"/>
        <v>266.13247496607482</v>
      </c>
      <c r="AK42" s="119">
        <f t="shared" ca="1" si="150"/>
        <v>318.27017412771625</v>
      </c>
      <c r="AL42" s="119">
        <f t="shared" ca="1" si="151"/>
        <v>342.45991993584357</v>
      </c>
      <c r="AM42" s="119">
        <f t="shared" ca="1" si="152"/>
        <v>335.58445177166209</v>
      </c>
      <c r="AN42" s="119">
        <f t="shared" ca="1" si="153"/>
        <v>388.33326155812074</v>
      </c>
      <c r="AO42" s="119">
        <f t="shared" ca="1" si="154"/>
        <v>446.54283702418866</v>
      </c>
      <c r="AP42" s="119">
        <f t="shared" ca="1" si="155"/>
        <v>498.81465480589259</v>
      </c>
      <c r="AQ42" s="119">
        <f t="shared" ca="1" si="156"/>
        <v>506.33107129490963</v>
      </c>
      <c r="AR42" s="119">
        <f t="shared" ca="1" si="157"/>
        <v>528.64711641082158</v>
      </c>
      <c r="AS42" s="119">
        <f t="shared" ca="1" si="158"/>
        <v>502.23732883512821</v>
      </c>
      <c r="AT42" s="119">
        <f t="shared" ca="1" si="159"/>
        <v>470.2064245864708</v>
      </c>
      <c r="AU42" s="119">
        <f t="shared" ca="1" si="160"/>
        <v>482.40171164683352</v>
      </c>
      <c r="AV42" s="119">
        <f t="shared" ca="1" si="161"/>
        <v>494.88424597612766</v>
      </c>
      <c r="AW42" s="119">
        <f t="shared" ca="1" si="162"/>
        <v>478.98296496037756</v>
      </c>
      <c r="AX42" s="119">
        <f t="shared" ca="1" si="163"/>
        <v>465.85994375776136</v>
      </c>
      <c r="AZ42" s="125"/>
      <c r="BC42" s="125"/>
      <c r="BD42" s="126"/>
      <c r="BE42" s="126"/>
    </row>
    <row r="43" spans="1:60" ht="12" customHeight="1">
      <c r="A43" s="112"/>
      <c r="B43" s="117" t="str">
        <f t="shared" ca="1" si="115"/>
        <v>Kol de la Madeleine</v>
      </c>
      <c r="C43" s="124">
        <f t="shared" ref="C43:Y43" ca="1" si="168">IF($AA9&lt;&gt;"",C28*$AA9,"")</f>
        <v>123.5133104267686</v>
      </c>
      <c r="D43" s="124">
        <f t="shared" ca="1" si="168"/>
        <v>228.18560739860641</v>
      </c>
      <c r="E43" s="124">
        <f t="shared" ca="1" si="168"/>
        <v>371.5866542500242</v>
      </c>
      <c r="F43" s="124">
        <f t="shared" ca="1" si="168"/>
        <v>584.07141710285487</v>
      </c>
      <c r="G43" s="124">
        <f t="shared" ca="1" si="168"/>
        <v>770.3881057127262</v>
      </c>
      <c r="H43" s="124">
        <f t="shared" ca="1" si="168"/>
        <v>927.39655117048289</v>
      </c>
      <c r="I43" s="124">
        <f t="shared" ca="1" si="168"/>
        <v>1106.3861789923255</v>
      </c>
      <c r="J43" s="124">
        <f t="shared" ca="1" si="168"/>
        <v>1229.8994894190942</v>
      </c>
      <c r="K43" s="124">
        <f t="shared" ca="1" si="168"/>
        <v>1439.2440833627697</v>
      </c>
      <c r="L43" s="124">
        <f t="shared" ca="1" si="168"/>
        <v>1597.2992517902449</v>
      </c>
      <c r="M43" s="124">
        <f t="shared" ca="1" si="168"/>
        <v>1751.1675283388463</v>
      </c>
      <c r="N43" s="124">
        <f t="shared" ca="1" si="168"/>
        <v>1843.2791496740635</v>
      </c>
      <c r="O43" s="124">
        <f t="shared" ca="1" si="168"/>
        <v>1946.904723676183</v>
      </c>
      <c r="P43" s="124">
        <f t="shared" ca="1" si="168"/>
        <v>2052.6237436177394</v>
      </c>
      <c r="Q43" s="124">
        <f t="shared" ca="1" si="168"/>
        <v>2248.3609389550761</v>
      </c>
      <c r="R43" s="124">
        <f t="shared" ca="1" si="168"/>
        <v>2381.2947561093097</v>
      </c>
      <c r="S43" s="124">
        <f t="shared" ca="1" si="168"/>
        <v>2606.3401945987612</v>
      </c>
      <c r="T43" s="124">
        <f t="shared" ca="1" si="168"/>
        <v>2830.3389101184939</v>
      </c>
      <c r="U43" s="124">
        <f t="shared" ca="1" si="168"/>
        <v>2925.5907003628663</v>
      </c>
      <c r="V43" s="124">
        <f t="shared" ca="1" si="168"/>
        <v>3144.3558010340075</v>
      </c>
      <c r="W43" s="124">
        <f t="shared" ca="1" si="168"/>
        <v>3319.1585369769764</v>
      </c>
      <c r="X43" s="288">
        <f t="shared" ca="1" si="168"/>
        <v>3701.2124209241847</v>
      </c>
      <c r="Y43" s="124">
        <f t="shared" ca="1" si="168"/>
        <v>0</v>
      </c>
      <c r="Z43" s="109"/>
      <c r="AA43" s="109"/>
      <c r="AB43" s="118" t="str">
        <f t="shared" ca="1" si="141"/>
        <v>Kol de la Madeleine</v>
      </c>
      <c r="AC43" s="119">
        <f t="shared" ca="1" si="142"/>
        <v>1.8204893082715756</v>
      </c>
      <c r="AD43" s="119">
        <f t="shared" ca="1" si="143"/>
        <v>-25.62512483743194</v>
      </c>
      <c r="AE43" s="119">
        <f t="shared" ca="1" si="144"/>
        <v>-24.348282707244948</v>
      </c>
      <c r="AF43" s="119">
        <f t="shared" ca="1" si="145"/>
        <v>-69.361683663608915</v>
      </c>
      <c r="AG43" s="119">
        <f t="shared" ca="1" si="146"/>
        <v>-67.289172045650162</v>
      </c>
      <c r="AH43" s="119">
        <f t="shared" ca="1" si="147"/>
        <v>-73.681280096239561</v>
      </c>
      <c r="AI43" s="119">
        <f t="shared" ca="1" si="148"/>
        <v>-45.800114191001967</v>
      </c>
      <c r="AJ43" s="119">
        <f t="shared" ca="1" si="149"/>
        <v>-48.454645626971342</v>
      </c>
      <c r="AK43" s="119">
        <f t="shared" ca="1" si="150"/>
        <v>-70.962354664052555</v>
      </c>
      <c r="AL43" s="119">
        <f t="shared" ca="1" si="151"/>
        <v>-69.120925395957102</v>
      </c>
      <c r="AM43" s="119">
        <f t="shared" ca="1" si="152"/>
        <v>-55.975863922913277</v>
      </c>
      <c r="AN43" s="119">
        <f t="shared" ca="1" si="153"/>
        <v>-63.585474935065804</v>
      </c>
      <c r="AO43" s="119">
        <f t="shared" ca="1" si="154"/>
        <v>-85.645490788595225</v>
      </c>
      <c r="AP43" s="119">
        <f t="shared" ca="1" si="155"/>
        <v>-88.271949358986149</v>
      </c>
      <c r="AQ43" s="119">
        <f t="shared" ca="1" si="156"/>
        <v>-89.863584979608277</v>
      </c>
      <c r="AR43" s="119">
        <f t="shared" ca="1" si="157"/>
        <v>-73.117043426451801</v>
      </c>
      <c r="AS43" s="119">
        <f t="shared" ca="1" si="158"/>
        <v>-56.04877093160394</v>
      </c>
      <c r="AT43" s="119">
        <f t="shared" ca="1" si="159"/>
        <v>-32.845510114002991</v>
      </c>
      <c r="AU43" s="119">
        <f t="shared" ca="1" si="160"/>
        <v>-46.443351755207914</v>
      </c>
      <c r="AV43" s="119">
        <f t="shared" ca="1" si="161"/>
        <v>-25.860431458764651</v>
      </c>
      <c r="AW43" s="119">
        <f t="shared" ca="1" si="162"/>
        <v>-22.92069901958439</v>
      </c>
      <c r="AX43" s="119">
        <f t="shared" ca="1" si="163"/>
        <v>-10.141232404393122</v>
      </c>
      <c r="AZ43" s="125"/>
      <c r="BC43" s="125"/>
      <c r="BD43" s="126"/>
      <c r="BE43" s="126"/>
    </row>
    <row r="44" spans="1:60" ht="12" customHeight="1">
      <c r="A44" s="112"/>
      <c r="B44" s="117" t="str">
        <f t="shared" ca="1" si="115"/>
        <v>Equipe l'Ami</v>
      </c>
      <c r="C44" s="124">
        <f t="shared" ref="C44:Y44" ca="1" si="169">IF($AA10&lt;&gt;"",C29*$AA10,"")</f>
        <v>135.81666666666669</v>
      </c>
      <c r="D44" s="124">
        <f t="shared" ca="1" si="169"/>
        <v>247.96830808080813</v>
      </c>
      <c r="E44" s="124">
        <f t="shared" ca="1" si="169"/>
        <v>394.07411616161625</v>
      </c>
      <c r="F44" s="124">
        <f t="shared" ca="1" si="169"/>
        <v>657.47613636363644</v>
      </c>
      <c r="G44" s="124">
        <f t="shared" ca="1" si="169"/>
        <v>862.23005050505071</v>
      </c>
      <c r="H44" s="124">
        <f t="shared" ca="1" si="169"/>
        <v>1015.5382575757578</v>
      </c>
      <c r="I44" s="124">
        <f t="shared" ca="1" si="169"/>
        <v>1178.1066919191921</v>
      </c>
      <c r="J44" s="124">
        <f t="shared" ca="1" si="169"/>
        <v>1314.9522727272729</v>
      </c>
      <c r="K44" s="124">
        <f t="shared" ca="1" si="169"/>
        <v>1522.7929292929296</v>
      </c>
      <c r="L44" s="124">
        <f t="shared" ca="1" si="169"/>
        <v>1681.2457070707073</v>
      </c>
      <c r="M44" s="124">
        <f t="shared" ca="1" si="169"/>
        <v>1843.8141414141419</v>
      </c>
      <c r="N44" s="124">
        <f t="shared" ca="1" si="169"/>
        <v>1934.3585858585861</v>
      </c>
      <c r="O44" s="124">
        <f t="shared" ca="1" si="169"/>
        <v>2048.5680555555559</v>
      </c>
      <c r="P44" s="124">
        <f t="shared" ca="1" si="169"/>
        <v>2143.2281565656572</v>
      </c>
      <c r="Q44" s="124">
        <f t="shared" ca="1" si="169"/>
        <v>2326.3748737373744</v>
      </c>
      <c r="R44" s="124">
        <f t="shared" ca="1" si="169"/>
        <v>2405.6012626262632</v>
      </c>
      <c r="S44" s="124">
        <f t="shared" ca="1" si="169"/>
        <v>2604.1816919191924</v>
      </c>
      <c r="T44" s="124">
        <f t="shared" ca="1" si="169"/>
        <v>2787.3284090909096</v>
      </c>
      <c r="U44" s="124">
        <f t="shared" ca="1" si="169"/>
        <v>2883.017424242425</v>
      </c>
      <c r="V44" s="124">
        <f t="shared" ca="1" si="169"/>
        <v>3077.4821969696977</v>
      </c>
      <c r="W44" s="124">
        <f t="shared" ca="1" si="169"/>
        <v>3265.7734848484856</v>
      </c>
      <c r="X44" s="288">
        <f t="shared" ca="1" si="169"/>
        <v>3586.7946969696977</v>
      </c>
      <c r="Y44" s="124">
        <f t="shared" ca="1" si="169"/>
        <v>0</v>
      </c>
      <c r="Z44" s="109"/>
      <c r="AA44" s="109"/>
      <c r="AB44" s="118" t="str">
        <f t="shared" ca="1" si="141"/>
        <v>Equipe l'Ami</v>
      </c>
      <c r="AC44" s="119">
        <f t="shared" ca="1" si="142"/>
        <v>14.123845548169669</v>
      </c>
      <c r="AD44" s="119">
        <f t="shared" ca="1" si="143"/>
        <v>-5.8424241552302192</v>
      </c>
      <c r="AE44" s="119">
        <f t="shared" ca="1" si="144"/>
        <v>-1.8608207956528986</v>
      </c>
      <c r="AF44" s="119">
        <f t="shared" ca="1" si="145"/>
        <v>4.0430355971726613</v>
      </c>
      <c r="AG44" s="119">
        <f t="shared" ca="1" si="146"/>
        <v>24.55277274667435</v>
      </c>
      <c r="AH44" s="119">
        <f t="shared" ca="1" si="147"/>
        <v>14.46042630903537</v>
      </c>
      <c r="AI44" s="119">
        <f t="shared" ca="1" si="148"/>
        <v>25.920398735864637</v>
      </c>
      <c r="AJ44" s="119">
        <f t="shared" ca="1" si="149"/>
        <v>36.59813768120739</v>
      </c>
      <c r="AK44" s="119">
        <f t="shared" ca="1" si="150"/>
        <v>12.586491266107259</v>
      </c>
      <c r="AL44" s="119">
        <f t="shared" ca="1" si="151"/>
        <v>14.825529884505386</v>
      </c>
      <c r="AM44" s="119">
        <f t="shared" ca="1" si="152"/>
        <v>36.670749152382314</v>
      </c>
      <c r="AN44" s="119">
        <f t="shared" ca="1" si="153"/>
        <v>27.493961249456788</v>
      </c>
      <c r="AO44" s="119">
        <f t="shared" ca="1" si="154"/>
        <v>16.017841090777665</v>
      </c>
      <c r="AP44" s="119">
        <f t="shared" ca="1" si="155"/>
        <v>2.3324635889316596</v>
      </c>
      <c r="AQ44" s="119">
        <f t="shared" ca="1" si="156"/>
        <v>-11.849650197309984</v>
      </c>
      <c r="AR44" s="119">
        <f t="shared" ca="1" si="157"/>
        <v>-48.810536909498296</v>
      </c>
      <c r="AS44" s="119">
        <f t="shared" ca="1" si="158"/>
        <v>-58.207273611172695</v>
      </c>
      <c r="AT44" s="119">
        <f t="shared" ca="1" si="159"/>
        <v>-75.85601114158726</v>
      </c>
      <c r="AU44" s="119">
        <f t="shared" ca="1" si="160"/>
        <v>-89.016627875649192</v>
      </c>
      <c r="AV44" s="119">
        <f t="shared" ca="1" si="161"/>
        <v>-92.734035523074454</v>
      </c>
      <c r="AW44" s="119">
        <f t="shared" ca="1" si="162"/>
        <v>-76.30575114807516</v>
      </c>
      <c r="AX44" s="119">
        <f t="shared" ca="1" si="163"/>
        <v>-124.5589563588801</v>
      </c>
      <c r="AZ44" s="125"/>
      <c r="BC44" s="125"/>
      <c r="BD44" s="126"/>
      <c r="BE44" s="126"/>
    </row>
    <row r="45" spans="1:60" ht="12" customHeight="1">
      <c r="A45" s="112"/>
      <c r="B45" s="117" t="str">
        <f t="shared" ca="1" si="115"/>
        <v>Prajak Mahawong</v>
      </c>
      <c r="C45" s="124">
        <f t="shared" ref="C45:Y45" ca="1" si="170">IF($AA11&lt;&gt;"",C30*$AA11,"")</f>
        <v>103.01175497666728</v>
      </c>
      <c r="D45" s="124">
        <f t="shared" ca="1" si="170"/>
        <v>217.5762301376337</v>
      </c>
      <c r="E45" s="124">
        <f t="shared" ca="1" si="170"/>
        <v>340.80524543682446</v>
      </c>
      <c r="F45" s="124">
        <f t="shared" ca="1" si="170"/>
        <v>575.71055585090687</v>
      </c>
      <c r="G45" s="124">
        <f t="shared" ca="1" si="170"/>
        <v>732.63500502097008</v>
      </c>
      <c r="H45" s="124">
        <f t="shared" ca="1" si="170"/>
        <v>890.52218087305823</v>
      </c>
      <c r="I45" s="124">
        <f t="shared" ca="1" si="170"/>
        <v>993.53393584972548</v>
      </c>
      <c r="J45" s="124">
        <f t="shared" ca="1" si="170"/>
        <v>1133.1293047433401</v>
      </c>
      <c r="K45" s="124">
        <f t="shared" ca="1" si="170"/>
        <v>1364.1837084293227</v>
      </c>
      <c r="L45" s="124">
        <f t="shared" ca="1" si="170"/>
        <v>1512.4436174611617</v>
      </c>
      <c r="M45" s="124">
        <f t="shared" ca="1" si="170"/>
        <v>1637.5980861244022</v>
      </c>
      <c r="N45" s="124">
        <f t="shared" ca="1" si="170"/>
        <v>1738.6843877370197</v>
      </c>
      <c r="O45" s="124">
        <f t="shared" ca="1" si="170"/>
        <v>1854.2115895800109</v>
      </c>
      <c r="P45" s="124">
        <f t="shared" ca="1" si="170"/>
        <v>1954.3351645106036</v>
      </c>
      <c r="Q45" s="124">
        <f t="shared" ca="1" si="170"/>
        <v>2157.4704944178634</v>
      </c>
      <c r="R45" s="124">
        <f t="shared" ca="1" si="170"/>
        <v>2234.4886289798574</v>
      </c>
      <c r="S45" s="124">
        <f t="shared" ca="1" si="170"/>
        <v>2416.4439718825688</v>
      </c>
      <c r="T45" s="124">
        <f t="shared" ca="1" si="170"/>
        <v>2577.2193277807319</v>
      </c>
      <c r="U45" s="124">
        <f t="shared" ca="1" si="170"/>
        <v>2692.7465296237233</v>
      </c>
      <c r="V45" s="124">
        <f t="shared" ca="1" si="170"/>
        <v>2889.1427727568084</v>
      </c>
      <c r="W45" s="124">
        <f t="shared" ca="1" si="170"/>
        <v>3028.7381416504231</v>
      </c>
      <c r="X45" s="288">
        <f t="shared" ca="1" si="170"/>
        <v>3378.2079272254718</v>
      </c>
      <c r="Y45" s="124">
        <f t="shared" ca="1" si="170"/>
        <v>0</v>
      </c>
      <c r="Z45" s="109"/>
      <c r="AA45" s="109"/>
      <c r="AB45" s="118" t="str">
        <f t="shared" ca="1" si="141"/>
        <v>Prajak Mahawong</v>
      </c>
      <c r="AC45" s="119">
        <f t="shared" ca="1" si="142"/>
        <v>-18.681066141829746</v>
      </c>
      <c r="AD45" s="119">
        <f t="shared" ca="1" si="143"/>
        <v>-36.234502098404647</v>
      </c>
      <c r="AE45" s="119">
        <f t="shared" ca="1" si="144"/>
        <v>-55.12969152044468</v>
      </c>
      <c r="AF45" s="119">
        <f t="shared" ca="1" si="145"/>
        <v>-77.722544915556909</v>
      </c>
      <c r="AG45" s="119">
        <f t="shared" ca="1" si="146"/>
        <v>-105.04227273740628</v>
      </c>
      <c r="AH45" s="119">
        <f t="shared" ca="1" si="147"/>
        <v>-110.55565039366422</v>
      </c>
      <c r="AI45" s="119">
        <f t="shared" ca="1" si="148"/>
        <v>-158.65235733360203</v>
      </c>
      <c r="AJ45" s="119">
        <f t="shared" ca="1" si="149"/>
        <v>-145.22483030272542</v>
      </c>
      <c r="AK45" s="119">
        <f t="shared" ca="1" si="150"/>
        <v>-146.02272959749962</v>
      </c>
      <c r="AL45" s="119">
        <f t="shared" ca="1" si="151"/>
        <v>-153.97655972504026</v>
      </c>
      <c r="AM45" s="119">
        <f t="shared" ca="1" si="152"/>
        <v>-169.54530613735733</v>
      </c>
      <c r="AN45" s="119">
        <f t="shared" ca="1" si="153"/>
        <v>-168.18023687210962</v>
      </c>
      <c r="AO45" s="119">
        <f t="shared" ca="1" si="154"/>
        <v>-178.33862488476734</v>
      </c>
      <c r="AP45" s="119">
        <f t="shared" ca="1" si="155"/>
        <v>-186.56052846612192</v>
      </c>
      <c r="AQ45" s="119">
        <f t="shared" ca="1" si="156"/>
        <v>-180.75402951682099</v>
      </c>
      <c r="AR45" s="119">
        <f t="shared" ca="1" si="157"/>
        <v>-219.92317055590411</v>
      </c>
      <c r="AS45" s="119">
        <f t="shared" ca="1" si="158"/>
        <v>-245.94499364779631</v>
      </c>
      <c r="AT45" s="119">
        <f t="shared" ca="1" si="159"/>
        <v>-285.96509245176503</v>
      </c>
      <c r="AU45" s="119">
        <f t="shared" ca="1" si="160"/>
        <v>-279.28752249435092</v>
      </c>
      <c r="AV45" s="119">
        <f t="shared" ca="1" si="161"/>
        <v>-281.07345973596375</v>
      </c>
      <c r="AW45" s="119">
        <f t="shared" ca="1" si="162"/>
        <v>-313.34109434613765</v>
      </c>
      <c r="AX45" s="119">
        <f t="shared" ca="1" si="163"/>
        <v>-333.14572610310597</v>
      </c>
      <c r="AZ45" s="125"/>
      <c r="BC45" s="125"/>
      <c r="BD45" s="126"/>
      <c r="BE45" s="126"/>
    </row>
    <row r="46" spans="1:60" ht="12" customHeight="1">
      <c r="A46" s="112"/>
      <c r="B46" s="117" t="str">
        <f t="shared" ca="1" si="115"/>
        <v>Freaky's monstermannnen</v>
      </c>
      <c r="C46" s="124">
        <f t="shared" ref="C46:Y46" ca="1" si="171">IF($AA12&lt;&gt;"",C31*$AA12,"")</f>
        <v>68.662393548192966</v>
      </c>
      <c r="D46" s="124">
        <f t="shared" ca="1" si="171"/>
        <v>184.40757124371825</v>
      </c>
      <c r="E46" s="124">
        <f t="shared" ca="1" si="171"/>
        <v>293.28650958442421</v>
      </c>
      <c r="F46" s="124">
        <f t="shared" ca="1" si="171"/>
        <v>553.22271373115473</v>
      </c>
      <c r="G46" s="124">
        <f t="shared" ca="1" si="171"/>
        <v>724.8786976016371</v>
      </c>
      <c r="H46" s="124">
        <f t="shared" ca="1" si="171"/>
        <v>886.72576810809198</v>
      </c>
      <c r="I46" s="124">
        <f t="shared" ca="1" si="171"/>
        <v>1056.419969305769</v>
      </c>
      <c r="J46" s="124">
        <f t="shared" ca="1" si="171"/>
        <v>1175.1078210105024</v>
      </c>
      <c r="K46" s="124">
        <f t="shared" ca="1" si="171"/>
        <v>1379.1332189822758</v>
      </c>
      <c r="L46" s="124">
        <f t="shared" ca="1" si="171"/>
        <v>1500.7637446962176</v>
      </c>
      <c r="M46" s="124">
        <f t="shared" ca="1" si="171"/>
        <v>1634.1649664469926</v>
      </c>
      <c r="N46" s="124">
        <f t="shared" ca="1" si="171"/>
        <v>1722.4451867232406</v>
      </c>
      <c r="O46" s="124">
        <f t="shared" ca="1" si="171"/>
        <v>1840.1521470915714</v>
      </c>
      <c r="P46" s="124">
        <f t="shared" ca="1" si="171"/>
        <v>1938.2412807318472</v>
      </c>
      <c r="Q46" s="124">
        <f t="shared" ca="1" si="171"/>
        <v>2124.6106346483707</v>
      </c>
      <c r="R46" s="124">
        <f t="shared" ca="1" si="171"/>
        <v>2256.0500737263401</v>
      </c>
      <c r="S46" s="124">
        <f t="shared" ca="1" si="171"/>
        <v>2462.0372543709191</v>
      </c>
      <c r="T46" s="124">
        <f t="shared" ca="1" si="171"/>
        <v>2672.928891697512</v>
      </c>
      <c r="U46" s="124">
        <f t="shared" ca="1" si="171"/>
        <v>2781.8078300382176</v>
      </c>
      <c r="V46" s="124">
        <f t="shared" ca="1" si="171"/>
        <v>2973.0816406367553</v>
      </c>
      <c r="W46" s="124">
        <f t="shared" ca="1" si="171"/>
        <v>3175.1452559357231</v>
      </c>
      <c r="X46" s="288">
        <f t="shared" ca="1" si="171"/>
        <v>3534.151485059132</v>
      </c>
      <c r="Y46" s="124">
        <f t="shared" ca="1" si="171"/>
        <v>0</v>
      </c>
      <c r="Z46" s="109"/>
      <c r="AA46" s="109"/>
      <c r="AB46" s="118" t="str">
        <f t="shared" ca="1" si="141"/>
        <v>Freaky's monstermannnen</v>
      </c>
      <c r="AC46" s="119">
        <f t="shared" ca="1" si="142"/>
        <v>-53.030427570304056</v>
      </c>
      <c r="AD46" s="119">
        <f t="shared" ca="1" si="143"/>
        <v>-69.403160992320096</v>
      </c>
      <c r="AE46" s="119">
        <f t="shared" ca="1" si="144"/>
        <v>-102.64842737284494</v>
      </c>
      <c r="AF46" s="119">
        <f t="shared" ca="1" si="145"/>
        <v>-100.21038703530905</v>
      </c>
      <c r="AG46" s="119">
        <f t="shared" ca="1" si="146"/>
        <v>-112.79858015673926</v>
      </c>
      <c r="AH46" s="119">
        <f t="shared" ca="1" si="147"/>
        <v>-114.35206315863047</v>
      </c>
      <c r="AI46" s="119">
        <f t="shared" ca="1" si="148"/>
        <v>-95.766323877558534</v>
      </c>
      <c r="AJ46" s="119">
        <f t="shared" ca="1" si="149"/>
        <v>-103.24631403556305</v>
      </c>
      <c r="AK46" s="119">
        <f t="shared" ca="1" si="150"/>
        <v>-131.07321904454648</v>
      </c>
      <c r="AL46" s="119">
        <f t="shared" ca="1" si="151"/>
        <v>-165.65643248998435</v>
      </c>
      <c r="AM46" s="119">
        <f t="shared" ca="1" si="152"/>
        <v>-172.97842581476698</v>
      </c>
      <c r="AN46" s="119">
        <f t="shared" ca="1" si="153"/>
        <v>-184.41943788588878</v>
      </c>
      <c r="AO46" s="119">
        <f t="shared" ca="1" si="154"/>
        <v>-192.39806737320691</v>
      </c>
      <c r="AP46" s="119">
        <f t="shared" ca="1" si="155"/>
        <v>-202.65441224487836</v>
      </c>
      <c r="AQ46" s="119">
        <f t="shared" ca="1" si="156"/>
        <v>-213.61388928631368</v>
      </c>
      <c r="AR46" s="119">
        <f t="shared" ca="1" si="157"/>
        <v>-198.36172580942139</v>
      </c>
      <c r="AS46" s="119">
        <f t="shared" ca="1" si="158"/>
        <v>-200.35171115944604</v>
      </c>
      <c r="AT46" s="119">
        <f t="shared" ca="1" si="159"/>
        <v>-190.25552853498493</v>
      </c>
      <c r="AU46" s="119">
        <f t="shared" ca="1" si="160"/>
        <v>-190.2262220798566</v>
      </c>
      <c r="AV46" s="119">
        <f t="shared" ca="1" si="161"/>
        <v>-197.13459185601687</v>
      </c>
      <c r="AW46" s="119">
        <f t="shared" ca="1" si="162"/>
        <v>-166.93398006083771</v>
      </c>
      <c r="AX46" s="119">
        <f t="shared" ca="1" si="163"/>
        <v>-177.20216826944579</v>
      </c>
      <c r="AZ46" s="125"/>
      <c r="BC46" s="125"/>
      <c r="BD46" s="126"/>
      <c r="BE46" s="126"/>
    </row>
    <row r="47" spans="1:60" ht="12" customHeight="1">
      <c r="A47" s="112"/>
      <c r="B47" s="117" t="str">
        <f t="shared" ca="1" si="115"/>
        <v>Onder de vod</v>
      </c>
      <c r="C47" s="124">
        <f t="shared" ref="C47:Y47" ca="1" si="172">IF($AA13&lt;&gt;"",C32*$AA13,"")</f>
        <v>129.96810207336526</v>
      </c>
      <c r="D47" s="124">
        <f t="shared" ca="1" si="172"/>
        <v>267.93424119739916</v>
      </c>
      <c r="E47" s="124">
        <f t="shared" ca="1" si="172"/>
        <v>420.89669979143673</v>
      </c>
      <c r="F47" s="124">
        <f t="shared" ca="1" si="172"/>
        <v>639.8429640534905</v>
      </c>
      <c r="G47" s="124">
        <f t="shared" ca="1" si="172"/>
        <v>834.79511716353841</v>
      </c>
      <c r="H47" s="124">
        <f t="shared" ca="1" si="172"/>
        <v>1016.7504600662497</v>
      </c>
      <c r="I47" s="124">
        <f t="shared" ca="1" si="172"/>
        <v>1157.7158630842844</v>
      </c>
      <c r="J47" s="124">
        <f t="shared" ca="1" si="172"/>
        <v>1247.6937799043064</v>
      </c>
      <c r="K47" s="124">
        <f t="shared" ca="1" si="172"/>
        <v>1432.6483867010186</v>
      </c>
      <c r="L47" s="124">
        <f t="shared" ca="1" si="172"/>
        <v>1590.6096184517239</v>
      </c>
      <c r="M47" s="124">
        <f t="shared" ca="1" si="172"/>
        <v>1735.574039995093</v>
      </c>
      <c r="N47" s="124">
        <f t="shared" ca="1" si="172"/>
        <v>1833.5499938657838</v>
      </c>
      <c r="O47" s="124">
        <f t="shared" ca="1" si="172"/>
        <v>1965.5176052018162</v>
      </c>
      <c r="P47" s="124">
        <f t="shared" ca="1" si="172"/>
        <v>2053.4960127591712</v>
      </c>
      <c r="Q47" s="124">
        <f t="shared" ca="1" si="172"/>
        <v>2202.4594528278744</v>
      </c>
      <c r="R47" s="124">
        <f t="shared" ca="1" si="172"/>
        <v>2291.4376150165626</v>
      </c>
      <c r="S47" s="124">
        <f t="shared" ca="1" si="172"/>
        <v>2440.4010550852659</v>
      </c>
      <c r="T47" s="124">
        <f t="shared" ca="1" si="172"/>
        <v>2597.3625322046378</v>
      </c>
      <c r="U47" s="124">
        <f t="shared" ca="1" si="172"/>
        <v>2707.3355416513318</v>
      </c>
      <c r="V47" s="124">
        <f t="shared" ca="1" si="172"/>
        <v>2900.2881854987122</v>
      </c>
      <c r="W47" s="124">
        <f t="shared" ca="1" si="172"/>
        <v>3077.2447552447557</v>
      </c>
      <c r="X47" s="288">
        <f t="shared" ca="1" si="172"/>
        <v>3351.1775242301565</v>
      </c>
      <c r="Y47" s="124">
        <f t="shared" ca="1" si="172"/>
        <v>0</v>
      </c>
      <c r="Z47" s="109"/>
      <c r="AA47" s="109"/>
      <c r="AB47" s="118" t="str">
        <f t="shared" ca="1" si="141"/>
        <v>Onder de vod</v>
      </c>
      <c r="AC47" s="119">
        <f t="shared" ca="1" si="142"/>
        <v>8.2752809548682364</v>
      </c>
      <c r="AD47" s="119">
        <f t="shared" ca="1" si="143"/>
        <v>14.123508961360812</v>
      </c>
      <c r="AE47" s="119">
        <f t="shared" ca="1" si="144"/>
        <v>24.961762834167587</v>
      </c>
      <c r="AF47" s="119">
        <f t="shared" ca="1" si="145"/>
        <v>-13.590136712973276</v>
      </c>
      <c r="AG47" s="119">
        <f t="shared" ca="1" si="146"/>
        <v>-2.8821605948379556</v>
      </c>
      <c r="AH47" s="119">
        <f t="shared" ca="1" si="147"/>
        <v>15.672628799527274</v>
      </c>
      <c r="AI47" s="119">
        <f t="shared" ca="1" si="148"/>
        <v>5.529569900956858</v>
      </c>
      <c r="AJ47" s="119">
        <f t="shared" ca="1" si="149"/>
        <v>-30.660355141759055</v>
      </c>
      <c r="AK47" s="119">
        <f t="shared" ca="1" si="150"/>
        <v>-77.558051325803717</v>
      </c>
      <c r="AL47" s="119">
        <f t="shared" ca="1" si="151"/>
        <v>-75.810558734478036</v>
      </c>
      <c r="AM47" s="119">
        <f t="shared" ca="1" si="152"/>
        <v>-71.569352266666556</v>
      </c>
      <c r="AN47" s="119">
        <f t="shared" ca="1" si="153"/>
        <v>-73.31463074334556</v>
      </c>
      <c r="AO47" s="119">
        <f t="shared" ca="1" si="154"/>
        <v>-67.032609262962069</v>
      </c>
      <c r="AP47" s="119">
        <f t="shared" ca="1" si="155"/>
        <v>-87.399680217554305</v>
      </c>
      <c r="AQ47" s="119">
        <f t="shared" ca="1" si="156"/>
        <v>-135.76507110680996</v>
      </c>
      <c r="AR47" s="119">
        <f t="shared" ca="1" si="157"/>
        <v>-162.97418451919884</v>
      </c>
      <c r="AS47" s="119">
        <f t="shared" ca="1" si="158"/>
        <v>-221.98791044509926</v>
      </c>
      <c r="AT47" s="119">
        <f t="shared" ca="1" si="159"/>
        <v>-265.82188802785913</v>
      </c>
      <c r="AU47" s="119">
        <f t="shared" ca="1" si="160"/>
        <v>-264.69851046674239</v>
      </c>
      <c r="AV47" s="119">
        <f t="shared" ca="1" si="161"/>
        <v>-269.92804699405997</v>
      </c>
      <c r="AW47" s="119">
        <f t="shared" ca="1" si="162"/>
        <v>-264.83448075180513</v>
      </c>
      <c r="AX47" s="119">
        <f t="shared" ca="1" si="163"/>
        <v>-360.17612909842137</v>
      </c>
      <c r="AZ47" s="125"/>
      <c r="BC47" s="125"/>
      <c r="BD47" s="126"/>
      <c r="BE47" s="126"/>
    </row>
    <row r="48" spans="1:60" ht="12" customHeight="1">
      <c r="A48" s="112"/>
      <c r="B48" s="117"/>
      <c r="C48" s="124"/>
      <c r="D48" s="124"/>
      <c r="E48" s="124"/>
      <c r="F48" s="124"/>
      <c r="G48" s="124"/>
      <c r="H48" s="124"/>
      <c r="I48" s="124"/>
      <c r="J48" s="124"/>
      <c r="K48" s="124"/>
      <c r="L48" s="124"/>
      <c r="M48" s="124"/>
      <c r="N48" s="124"/>
      <c r="O48" s="124"/>
      <c r="P48" s="124"/>
      <c r="Q48" s="124"/>
      <c r="R48" s="124"/>
      <c r="S48" s="124"/>
      <c r="T48" s="124"/>
      <c r="U48" s="124"/>
      <c r="V48" s="124"/>
      <c r="W48" s="124"/>
      <c r="X48" s="288"/>
      <c r="Z48" s="109"/>
      <c r="AA48" s="109"/>
      <c r="AB48" s="118">
        <f t="shared" si="117"/>
        <v>0</v>
      </c>
      <c r="AC48" s="127">
        <f t="shared" ref="AC48:AX48" ca="1" si="173">AVERAGE(C37:C47)</f>
        <v>121.69282111849702</v>
      </c>
      <c r="AD48" s="127">
        <f t="shared" ca="1" si="173"/>
        <v>253.81073223603835</v>
      </c>
      <c r="AE48" s="127">
        <f t="shared" ca="1" si="173"/>
        <v>395.93493695726914</v>
      </c>
      <c r="AF48" s="127">
        <f t="shared" ca="1" si="173"/>
        <v>653.43310076646378</v>
      </c>
      <c r="AG48" s="127">
        <f t="shared" ca="1" si="173"/>
        <v>837.67727775837636</v>
      </c>
      <c r="AH48" s="127">
        <f t="shared" ca="1" si="173"/>
        <v>1001.0778312667225</v>
      </c>
      <c r="AI48" s="127">
        <f t="shared" ca="1" si="173"/>
        <v>1152.1862931833275</v>
      </c>
      <c r="AJ48" s="127">
        <f t="shared" ca="1" si="173"/>
        <v>1278.3541350460655</v>
      </c>
      <c r="AK48" s="127">
        <f t="shared" ca="1" si="173"/>
        <v>1510.2064380268223</v>
      </c>
      <c r="AL48" s="127">
        <f t="shared" ca="1" si="173"/>
        <v>1666.420177186202</v>
      </c>
      <c r="AM48" s="127">
        <f t="shared" ca="1" si="173"/>
        <v>1807.1433922617596</v>
      </c>
      <c r="AN48" s="127">
        <f t="shared" ca="1" si="173"/>
        <v>1906.8646246091294</v>
      </c>
      <c r="AO48" s="127">
        <f t="shared" ca="1" si="173"/>
        <v>2032.5502144647783</v>
      </c>
      <c r="AP48" s="127">
        <f t="shared" ca="1" si="173"/>
        <v>2140.8956929767255</v>
      </c>
      <c r="AQ48" s="127">
        <f t="shared" ca="1" si="173"/>
        <v>2338.2245239346844</v>
      </c>
      <c r="AR48" s="127">
        <f t="shared" ca="1" si="173"/>
        <v>2454.4117995357615</v>
      </c>
      <c r="AS48" s="127">
        <f t="shared" ca="1" si="173"/>
        <v>2662.3889655303651</v>
      </c>
      <c r="AT48" s="127">
        <f t="shared" ca="1" si="173"/>
        <v>2863.1844202324969</v>
      </c>
      <c r="AU48" s="127">
        <f t="shared" ca="1" si="173"/>
        <v>2972.0340521180742</v>
      </c>
      <c r="AV48" s="127">
        <f t="shared" ca="1" si="173"/>
        <v>3170.2162324927722</v>
      </c>
      <c r="AW48" s="127">
        <f t="shared" ca="1" si="173"/>
        <v>3342.0792359965608</v>
      </c>
      <c r="AX48" s="127">
        <f t="shared" ca="1" si="173"/>
        <v>3711.3536533285778</v>
      </c>
      <c r="AY48" s="123"/>
      <c r="AZ48" s="123"/>
      <c r="BA48" s="126"/>
      <c r="BB48" s="126"/>
      <c r="BC48" s="126"/>
      <c r="BD48" s="126"/>
      <c r="BE48" s="126"/>
    </row>
    <row r="49" spans="1:57" s="109" customFormat="1" ht="12" customHeight="1" thickBot="1">
      <c r="B49" s="116" t="s">
        <v>5</v>
      </c>
      <c r="C49" s="111">
        <f>C36</f>
        <v>1</v>
      </c>
      <c r="D49" s="111">
        <f t="shared" ref="D49:X49" si="174">D36</f>
        <v>2</v>
      </c>
      <c r="E49" s="111">
        <f t="shared" si="174"/>
        <v>3</v>
      </c>
      <c r="F49" s="111">
        <f t="shared" si="174"/>
        <v>4</v>
      </c>
      <c r="G49" s="111">
        <f t="shared" si="174"/>
        <v>5</v>
      </c>
      <c r="H49" s="111">
        <f t="shared" si="174"/>
        <v>6</v>
      </c>
      <c r="I49" s="111">
        <f t="shared" si="174"/>
        <v>7</v>
      </c>
      <c r="J49" s="111">
        <f t="shared" si="174"/>
        <v>8</v>
      </c>
      <c r="K49" s="111">
        <f t="shared" si="174"/>
        <v>9</v>
      </c>
      <c r="L49" s="111">
        <f t="shared" si="174"/>
        <v>10</v>
      </c>
      <c r="M49" s="111">
        <f t="shared" si="174"/>
        <v>11</v>
      </c>
      <c r="N49" s="111">
        <f t="shared" si="174"/>
        <v>12</v>
      </c>
      <c r="O49" s="111">
        <f t="shared" si="174"/>
        <v>13</v>
      </c>
      <c r="P49" s="111">
        <f t="shared" si="174"/>
        <v>14</v>
      </c>
      <c r="Q49" s="111">
        <f t="shared" si="174"/>
        <v>15</v>
      </c>
      <c r="R49" s="111">
        <f t="shared" si="174"/>
        <v>16</v>
      </c>
      <c r="S49" s="111">
        <f t="shared" si="174"/>
        <v>17</v>
      </c>
      <c r="T49" s="111">
        <f t="shared" si="174"/>
        <v>18</v>
      </c>
      <c r="U49" s="111">
        <f t="shared" si="174"/>
        <v>19</v>
      </c>
      <c r="V49" s="111">
        <f t="shared" si="174"/>
        <v>20</v>
      </c>
      <c r="W49" s="111">
        <f t="shared" si="174"/>
        <v>21</v>
      </c>
      <c r="X49" s="318" t="str">
        <f t="shared" si="174"/>
        <v>B</v>
      </c>
      <c r="AB49" s="122"/>
      <c r="AC49" s="289" t="s">
        <v>129</v>
      </c>
      <c r="AZ49" s="128"/>
      <c r="BA49" s="128"/>
      <c r="BB49" s="128"/>
      <c r="BC49" s="128"/>
      <c r="BD49" s="128"/>
      <c r="BE49" s="128"/>
    </row>
    <row r="50" spans="1:57" ht="12" customHeight="1">
      <c r="A50" s="129">
        <v>1</v>
      </c>
      <c r="B50" s="130" t="str">
        <f t="shared" ref="B50:B60" ca="1" si="175">INDEX(lijst_teams,MATCH(A50,$Z$3:$Z$13,0))</f>
        <v>Britless</v>
      </c>
      <c r="C50" s="124">
        <f t="shared" ref="C50:C60" ca="1" si="176">VLOOKUP($B50,$B$3:$Y$18,2,0)</f>
        <v>161</v>
      </c>
      <c r="D50" s="124">
        <f t="shared" ref="D50:D60" ca="1" si="177">VLOOKUP($B50,$B$3:$Y$18,3,0)</f>
        <v>113</v>
      </c>
      <c r="E50" s="124">
        <f t="shared" ref="E50:E60" ca="1" si="178">VLOOKUP($B50,$B$3:$Y$18,4,0)</f>
        <v>162</v>
      </c>
      <c r="F50" s="124">
        <f t="shared" ref="F50:F60" ca="1" si="179">VLOOKUP($B50,$B$3:$Y$18,5,0)</f>
        <v>242</v>
      </c>
      <c r="G50" s="124">
        <f t="shared" ref="G50:G60" ca="1" si="180">VLOOKUP($B50,$B$3:$Y$18,6,0)</f>
        <v>181</v>
      </c>
      <c r="H50" s="124">
        <f t="shared" ref="H50:H60" ca="1" si="181">VLOOKUP($B50,$B$3:$Y$18,7,0)</f>
        <v>163</v>
      </c>
      <c r="I50" s="124">
        <f t="shared" ref="I50:I60" ca="1" si="182">VLOOKUP($B50,$B$3:$Y$18,8,0)</f>
        <v>136</v>
      </c>
      <c r="J50" s="124">
        <f t="shared" ref="J50:J60" ca="1" si="183">VLOOKUP($B50,$B$3:$Y$18,9,0)</f>
        <v>120</v>
      </c>
      <c r="K50" s="124">
        <f t="shared" ref="K50:K60" ca="1" si="184">VLOOKUP($B50,$B$3:$Y$18,10,0)</f>
        <v>246</v>
      </c>
      <c r="L50" s="124">
        <f t="shared" ref="L50:L60" ca="1" si="185">VLOOKUP($B50,$B$3:$Y$18,11,0)</f>
        <v>209</v>
      </c>
      <c r="M50" s="124">
        <f t="shared" ref="M50:M60" ca="1" si="186">VLOOKUP($B50,$B$3:$Y$18,12,0)</f>
        <v>153</v>
      </c>
      <c r="N50" s="124">
        <f t="shared" ref="N50:N60" ca="1" si="187">VLOOKUP($B50,$B$3:$Y$18,13,0)</f>
        <v>103</v>
      </c>
      <c r="O50" s="124">
        <f t="shared" ref="O50:O60" ca="1" si="188">VLOOKUP($B50,$B$3:$Y$18,14,0)</f>
        <v>122</v>
      </c>
      <c r="P50" s="124">
        <f t="shared" ref="P50:P60" ca="1" si="189">VLOOKUP($B50,$B$3:$Y$18,15,0)</f>
        <v>144</v>
      </c>
      <c r="Q50" s="124">
        <f t="shared" ref="Q50:Q60" ca="1" si="190">VLOOKUP($B50,$B$3:$Y$18,16,0)</f>
        <v>232</v>
      </c>
      <c r="R50" s="124">
        <f t="shared" ref="R50:R60" ca="1" si="191">VLOOKUP($B50,$B$3:$Y$18,17,0)</f>
        <v>130</v>
      </c>
      <c r="S50" s="124">
        <f t="shared" ref="S50:S60" ca="1" si="192">VLOOKUP($B50,$B$3:$Y$18,18,0)</f>
        <v>243</v>
      </c>
      <c r="T50" s="124">
        <f t="shared" ref="T50:T60" ca="1" si="193">VLOOKUP($B50,$B$3:$Y$18,19,0)</f>
        <v>226</v>
      </c>
      <c r="U50" s="124">
        <f t="shared" ref="U50:U60" ca="1" si="194">VLOOKUP($B50,$B$3:$Y$18,20,0)</f>
        <v>152</v>
      </c>
      <c r="V50" s="124">
        <f t="shared" ref="V50:V60" ca="1" si="195">VLOOKUP($B50,$B$3:$Y$18,21,0)</f>
        <v>191</v>
      </c>
      <c r="W50" s="124">
        <f t="shared" ref="W50:W60" ca="1" si="196">VLOOKUP($B50,$B$3:$Y$18,22,0)</f>
        <v>193</v>
      </c>
      <c r="X50" s="288">
        <f ca="1">VLOOKUP($B50,$B$3:$Y$18,23,0)</f>
        <v>436</v>
      </c>
      <c r="Y50" s="115"/>
      <c r="Z50" s="173">
        <f t="shared" ref="Z50:Z59" ca="1" si="197">SUM(C50:Y50)</f>
        <v>4058</v>
      </c>
      <c r="AA50" s="115"/>
      <c r="AB50" s="131">
        <f ca="1">Z50/Score!$AG$18</f>
        <v>0.91177165237152236</v>
      </c>
      <c r="AC50" s="108">
        <f ca="1">RANK((SUM($C50:C50)),C$22:C$32,0)</f>
        <v>1</v>
      </c>
      <c r="AD50" s="108">
        <f ca="1">RANK((SUM($C50:D50)),D$22:D$32,0)</f>
        <v>3</v>
      </c>
      <c r="AE50" s="108">
        <f ca="1">RANK((SUM($C50:E50)),E$22:E$32,0)</f>
        <v>2</v>
      </c>
      <c r="AF50" s="108">
        <f ca="1">RANK((SUM($C50:F50)),F$22:F$32,0)</f>
        <v>4</v>
      </c>
      <c r="AG50" s="108">
        <f ca="1">RANK((SUM($C50:G50)),G$22:G$32,0)</f>
        <v>5</v>
      </c>
      <c r="AH50" s="108">
        <f ca="1">RANK((SUM($C50:H50)),H$22:H$32,0)</f>
        <v>5</v>
      </c>
      <c r="AI50" s="108">
        <f ca="1">RANK((SUM($C50:I50)),I$22:I$32,0)</f>
        <v>5</v>
      </c>
      <c r="AJ50" s="108">
        <f ca="1">RANK((SUM($C50:J50)),J$22:J$32,0)</f>
        <v>6</v>
      </c>
      <c r="AK50" s="108">
        <f ca="1">RANK((SUM($C50:K50)),K$22:K$32,0)</f>
        <v>6</v>
      </c>
      <c r="AL50" s="108">
        <f ca="1">RANK((SUM($C50:L50)),L$22:L$32,0)</f>
        <v>4</v>
      </c>
      <c r="AM50" s="108">
        <f ca="1">RANK((SUM($C50:M50)),M$22:M$32,0)</f>
        <v>4</v>
      </c>
      <c r="AN50" s="108">
        <f ca="1">RANK((SUM($C50:N50)),N$22:N$32,0)</f>
        <v>3</v>
      </c>
      <c r="AO50" s="108">
        <f ca="1">RANK((SUM($C50:O50)),O$22:O$32,0)</f>
        <v>4</v>
      </c>
      <c r="AP50" s="108">
        <f ca="1">RANK((SUM($C50:P50)),P$22:P$32,0)</f>
        <v>4</v>
      </c>
      <c r="AQ50" s="108">
        <f ca="1">RANK((SUM($C50:Q50)),Q$22:Q$32,0)</f>
        <v>2</v>
      </c>
      <c r="AR50" s="108">
        <f ca="1">RANK((SUM($C50:R50)),R$22:R$32,0)</f>
        <v>1</v>
      </c>
      <c r="AS50" s="108">
        <f ca="1">RANK((SUM($C50:S50)),S$22:S$32,0)</f>
        <v>1</v>
      </c>
      <c r="AT50" s="108">
        <f ca="1">RANK((SUM($C50:T50)),T$22:T$32,0)</f>
        <v>2</v>
      </c>
      <c r="AU50" s="108">
        <f ca="1">RANK((SUM($C50:U50)),U$22:U$32,0)</f>
        <v>1</v>
      </c>
      <c r="AV50" s="108">
        <f ca="1">RANK((SUM($C50:V50)),V$22:V$32,0)</f>
        <v>1</v>
      </c>
      <c r="AW50" s="108">
        <f ca="1">RANK((SUM($C50:W50)),W$22:W$32,0)</f>
        <v>1</v>
      </c>
      <c r="AX50" s="108">
        <f ca="1">RANK((SUM($C50:X50)),X$22:X$32,0)</f>
        <v>1</v>
      </c>
    </row>
    <row r="51" spans="1:57" ht="11.25" customHeight="1">
      <c r="A51" s="129">
        <v>2</v>
      </c>
      <c r="B51" s="130" t="str">
        <f t="shared" ca="1" si="175"/>
        <v>Lothar blijft positief</v>
      </c>
      <c r="C51" s="124">
        <f t="shared" ca="1" si="176"/>
        <v>105</v>
      </c>
      <c r="D51" s="124">
        <f t="shared" ca="1" si="177"/>
        <v>131</v>
      </c>
      <c r="E51" s="124">
        <f t="shared" ca="1" si="178"/>
        <v>155</v>
      </c>
      <c r="F51" s="124">
        <f t="shared" ca="1" si="179"/>
        <v>277</v>
      </c>
      <c r="G51" s="124">
        <f t="shared" ca="1" si="180"/>
        <v>206</v>
      </c>
      <c r="H51" s="124">
        <f t="shared" ca="1" si="181"/>
        <v>157</v>
      </c>
      <c r="I51" s="124">
        <f t="shared" ca="1" si="182"/>
        <v>181</v>
      </c>
      <c r="J51" s="124">
        <f t="shared" ca="1" si="183"/>
        <v>151</v>
      </c>
      <c r="K51" s="124">
        <f t="shared" ca="1" si="184"/>
        <v>250</v>
      </c>
      <c r="L51" s="124">
        <f t="shared" ca="1" si="185"/>
        <v>153</v>
      </c>
      <c r="M51" s="346">
        <f t="shared" ca="1" si="186"/>
        <v>155</v>
      </c>
      <c r="N51" s="346">
        <f t="shared" ca="1" si="187"/>
        <v>99</v>
      </c>
      <c r="O51" s="346">
        <f t="shared" ca="1" si="188"/>
        <v>149</v>
      </c>
      <c r="P51" s="346">
        <f t="shared" ca="1" si="189"/>
        <v>106</v>
      </c>
      <c r="Q51" s="124">
        <f t="shared" ca="1" si="190"/>
        <v>214</v>
      </c>
      <c r="R51" s="124">
        <f t="shared" ca="1" si="191"/>
        <v>128</v>
      </c>
      <c r="S51" s="124">
        <f t="shared" ca="1" si="192"/>
        <v>243</v>
      </c>
      <c r="T51" s="124">
        <f t="shared" ca="1" si="193"/>
        <v>230</v>
      </c>
      <c r="U51" s="124">
        <f t="shared" ca="1" si="194"/>
        <v>101</v>
      </c>
      <c r="V51" s="124">
        <f t="shared" ca="1" si="195"/>
        <v>221</v>
      </c>
      <c r="W51" s="124">
        <f t="shared" ca="1" si="196"/>
        <v>165</v>
      </c>
      <c r="X51" s="288">
        <f t="shared" ref="X51:X60" ca="1" si="198">VLOOKUP($B51,$B$3:$Y$18,23,0)</f>
        <v>430</v>
      </c>
      <c r="Y51" s="115"/>
      <c r="Z51" s="173">
        <f t="shared" ca="1" si="197"/>
        <v>4007</v>
      </c>
      <c r="AA51" s="115"/>
      <c r="AB51" s="131">
        <f ca="1">Z51/Score!$AG$18</f>
        <v>0.900312718347139</v>
      </c>
      <c r="AC51" s="108">
        <f ca="1">RANK((SUM($C51:C51)),C$22:C$32,0)</f>
        <v>10</v>
      </c>
      <c r="AD51" s="108">
        <f ca="1">RANK((SUM($C51:D51)),D$22:D$32,0)</f>
        <v>8</v>
      </c>
      <c r="AE51" s="108">
        <f ca="1">RANK((SUM($C51:E51)),E$22:E$32,0)</f>
        <v>6</v>
      </c>
      <c r="AF51" s="108">
        <f ca="1">RANK((SUM($C51:F51)),F$22:F$32,0)</f>
        <v>6</v>
      </c>
      <c r="AG51" s="108">
        <f ca="1">RANK((SUM($C51:G51)),G$22:G$32,0)</f>
        <v>4</v>
      </c>
      <c r="AH51" s="108">
        <f ca="1">RANK((SUM($C51:H51)),H$22:H$32,0)</f>
        <v>4</v>
      </c>
      <c r="AI51" s="108">
        <f ca="1">RANK((SUM($C51:I51)),I$22:I$32,0)</f>
        <v>3</v>
      </c>
      <c r="AJ51" s="108">
        <f ca="1">RANK((SUM($C51:J51)),J$22:J$32,0)</f>
        <v>1</v>
      </c>
      <c r="AK51" s="108">
        <f ca="1">RANK((SUM($C51:K51)),K$22:K$32,0)</f>
        <v>1</v>
      </c>
      <c r="AL51" s="108">
        <f ca="1">RANK((SUM($C51:L51)),L$22:L$32,0)</f>
        <v>2</v>
      </c>
      <c r="AM51" s="108">
        <f ca="1">RANK((SUM($C51:M51)),M$22:M$32,0)</f>
        <v>2</v>
      </c>
      <c r="AN51" s="108">
        <f ca="1">RANK((SUM($C51:N51)),N$22:N$32,0)</f>
        <v>2</v>
      </c>
      <c r="AO51" s="108">
        <f ca="1">RANK((SUM($C51:O51)),O$22:O$32,0)</f>
        <v>1</v>
      </c>
      <c r="AP51" s="108">
        <f ca="1">RANK((SUM($C51:P51)),P$22:P$32,0)</f>
        <v>1</v>
      </c>
      <c r="AQ51" s="108">
        <f ca="1">RANK((SUM($C51:Q51)),Q$22:Q$32,0)</f>
        <v>1</v>
      </c>
      <c r="AR51" s="108">
        <f ca="1">RANK((SUM($C51:R51)),R$22:R$32,0)</f>
        <v>1</v>
      </c>
      <c r="AS51" s="108">
        <f ca="1">RANK((SUM($C51:S51)),S$22:S$32,0)</f>
        <v>1</v>
      </c>
      <c r="AT51" s="108">
        <f ca="1">RANK((SUM($C51:T51)),T$22:T$32,0)</f>
        <v>1</v>
      </c>
      <c r="AU51" s="108">
        <f ca="1">RANK((SUM($C51:U51)),U$22:U$32,0)</f>
        <v>2</v>
      </c>
      <c r="AV51" s="108">
        <f ca="1">RANK((SUM($C51:V51)),V$22:V$32,0)</f>
        <v>2</v>
      </c>
      <c r="AW51" s="108">
        <f ca="1">RANK((SUM($C51:W51)),W$22:W$32,0)</f>
        <v>2</v>
      </c>
      <c r="AX51" s="108">
        <f ca="1">RANK((SUM($C51:X51)),X$22:X$32,0)</f>
        <v>2</v>
      </c>
    </row>
    <row r="52" spans="1:57" ht="12" customHeight="1">
      <c r="A52" s="112">
        <v>3</v>
      </c>
      <c r="B52" s="130" t="str">
        <f t="shared" ca="1" si="175"/>
        <v>De Lange Man</v>
      </c>
      <c r="C52" s="124">
        <f t="shared" ca="1" si="176"/>
        <v>110</v>
      </c>
      <c r="D52" s="124">
        <f t="shared" ca="1" si="177"/>
        <v>150</v>
      </c>
      <c r="E52" s="124">
        <f t="shared" ca="1" si="178"/>
        <v>127</v>
      </c>
      <c r="F52" s="124">
        <f t="shared" ca="1" si="179"/>
        <v>286</v>
      </c>
      <c r="G52" s="124">
        <f t="shared" ca="1" si="180"/>
        <v>176</v>
      </c>
      <c r="H52" s="124">
        <f t="shared" ca="1" si="181"/>
        <v>140</v>
      </c>
      <c r="I52" s="124">
        <f t="shared" ca="1" si="182"/>
        <v>165</v>
      </c>
      <c r="J52" s="124">
        <f t="shared" ca="1" si="183"/>
        <v>133</v>
      </c>
      <c r="K52" s="124">
        <f t="shared" ca="1" si="184"/>
        <v>248</v>
      </c>
      <c r="L52" s="124">
        <f t="shared" ca="1" si="185"/>
        <v>133</v>
      </c>
      <c r="M52" s="346">
        <f t="shared" ca="1" si="186"/>
        <v>124</v>
      </c>
      <c r="N52" s="346">
        <f t="shared" ca="1" si="187"/>
        <v>89</v>
      </c>
      <c r="O52" s="346">
        <f t="shared" ca="1" si="188"/>
        <v>126</v>
      </c>
      <c r="P52" s="346">
        <f t="shared" ca="1" si="189"/>
        <v>95</v>
      </c>
      <c r="Q52" s="124">
        <f t="shared" ca="1" si="190"/>
        <v>245</v>
      </c>
      <c r="R52" s="124">
        <f t="shared" ca="1" si="191"/>
        <v>114</v>
      </c>
      <c r="S52" s="124">
        <f t="shared" ca="1" si="192"/>
        <v>271</v>
      </c>
      <c r="T52" s="124">
        <f t="shared" ca="1" si="193"/>
        <v>271</v>
      </c>
      <c r="U52" s="124">
        <f t="shared" ca="1" si="194"/>
        <v>98</v>
      </c>
      <c r="V52" s="124">
        <f t="shared" ca="1" si="195"/>
        <v>242</v>
      </c>
      <c r="W52" s="124">
        <f t="shared" ca="1" si="196"/>
        <v>178</v>
      </c>
      <c r="X52" s="358">
        <f t="shared" ca="1" si="198"/>
        <v>468</v>
      </c>
      <c r="Y52" s="115"/>
      <c r="Z52" s="173">
        <f ca="1">SUM(C52:Y52)</f>
        <v>3989</v>
      </c>
      <c r="AA52" s="115"/>
      <c r="AB52" s="131">
        <f ca="1">Z52/Score!$AG$18</f>
        <v>0.89626838869147429</v>
      </c>
      <c r="AC52" s="108">
        <f ca="1">RANK((SUM($C52:C52)),C$22:C$32,0)</f>
        <v>8</v>
      </c>
      <c r="AD52" s="108">
        <f ca="1">RANK((SUM($C52:D52)),D$22:D$32,0)</f>
        <v>6</v>
      </c>
      <c r="AE52" s="108">
        <f ca="1">RANK((SUM($C52:E52)),E$22:E$32,0)</f>
        <v>7</v>
      </c>
      <c r="AF52" s="108">
        <f ca="1">RANK((SUM($C52:F52)),F$22:F$32,0)</f>
        <v>5</v>
      </c>
      <c r="AG52" s="108">
        <f ca="1">RANK((SUM($C52:G52)),G$22:G$32,0)</f>
        <v>6</v>
      </c>
      <c r="AH52" s="108">
        <f ca="1">RANK((SUM($C52:H52)),H$22:H$32,0)</f>
        <v>7</v>
      </c>
      <c r="AI52" s="108">
        <f ca="1">RANK((SUM($C52:I52)),I$22:I$32,0)</f>
        <v>7</v>
      </c>
      <c r="AJ52" s="108">
        <f ca="1">RANK((SUM($C52:J52)),J$22:J$32,0)</f>
        <v>5</v>
      </c>
      <c r="AK52" s="108">
        <f ca="1">RANK((SUM($C52:K52)),K$22:K$32,0)</f>
        <v>5</v>
      </c>
      <c r="AL52" s="108">
        <f ca="1">RANK((SUM($C52:L52)),L$22:L$32,0)</f>
        <v>6</v>
      </c>
      <c r="AM52" s="108">
        <f ca="1">RANK((SUM($C52:M52)),M$22:M$32,0)</f>
        <v>6</v>
      </c>
      <c r="AN52" s="108">
        <f ca="1">RANK((SUM($C52:N52)),N$22:N$32,0)</f>
        <v>6</v>
      </c>
      <c r="AO52" s="108">
        <f ca="1">RANK((SUM($C52:O52)),O$22:O$32,0)</f>
        <v>6</v>
      </c>
      <c r="AP52" s="108">
        <f ca="1">RANK((SUM($C52:P52)),P$22:P$32,0)</f>
        <v>6</v>
      </c>
      <c r="AQ52" s="108">
        <f ca="1">RANK((SUM($C52:Q52)),Q$22:Q$32,0)</f>
        <v>6</v>
      </c>
      <c r="AR52" s="108">
        <f ca="1">RANK((SUM($C52:R52)),R$22:R$32,0)</f>
        <v>6</v>
      </c>
      <c r="AS52" s="108">
        <f ca="1">RANK((SUM($C52:S52)),S$22:S$32,0)</f>
        <v>5</v>
      </c>
      <c r="AT52" s="108">
        <f ca="1">RANK((SUM($C52:T52)),T$22:T$32,0)</f>
        <v>3</v>
      </c>
      <c r="AU52" s="108">
        <f ca="1">RANK((SUM($C52:U52)),U$22:U$32,0)</f>
        <v>3</v>
      </c>
      <c r="AV52" s="108">
        <f ca="1">RANK((SUM($C52:V52)),V$22:V$32,0)</f>
        <v>3</v>
      </c>
      <c r="AW52" s="108">
        <f ca="1">RANK((SUM($C52:W52)),W$22:W$32,0)</f>
        <v>3</v>
      </c>
      <c r="AX52" s="108">
        <f ca="1">RANK((SUM($C52:X52)),X$22:X$32,0)</f>
        <v>3</v>
      </c>
    </row>
    <row r="53" spans="1:57" ht="12" customHeight="1">
      <c r="A53" s="129">
        <v>4</v>
      </c>
      <c r="B53" s="130" t="str">
        <f t="shared" ca="1" si="175"/>
        <v>Am Selfkant</v>
      </c>
      <c r="C53" s="124">
        <f t="shared" ca="1" si="176"/>
        <v>132</v>
      </c>
      <c r="D53" s="124">
        <f t="shared" ca="1" si="177"/>
        <v>153</v>
      </c>
      <c r="E53" s="124">
        <f t="shared" ca="1" si="178"/>
        <v>139</v>
      </c>
      <c r="F53" s="124">
        <f t="shared" ca="1" si="179"/>
        <v>263</v>
      </c>
      <c r="G53" s="124">
        <f t="shared" ca="1" si="180"/>
        <v>203</v>
      </c>
      <c r="H53" s="124">
        <f t="shared" ca="1" si="181"/>
        <v>162</v>
      </c>
      <c r="I53" s="124">
        <f t="shared" ca="1" si="182"/>
        <v>181</v>
      </c>
      <c r="J53" s="124">
        <f t="shared" ca="1" si="183"/>
        <v>127</v>
      </c>
      <c r="K53" s="124">
        <f t="shared" ca="1" si="184"/>
        <v>245</v>
      </c>
      <c r="L53" s="124">
        <f t="shared" ca="1" si="185"/>
        <v>143</v>
      </c>
      <c r="M53" s="346">
        <f t="shared" ca="1" si="186"/>
        <v>142</v>
      </c>
      <c r="N53" s="346">
        <f t="shared" ca="1" si="187"/>
        <v>97</v>
      </c>
      <c r="O53" s="346">
        <f t="shared" ca="1" si="188"/>
        <v>120</v>
      </c>
      <c r="P53" s="346">
        <f t="shared" ca="1" si="189"/>
        <v>101</v>
      </c>
      <c r="Q53" s="124">
        <f t="shared" ca="1" si="190"/>
        <v>189</v>
      </c>
      <c r="R53" s="124">
        <f t="shared" ca="1" si="191"/>
        <v>168</v>
      </c>
      <c r="S53" s="124">
        <f t="shared" ca="1" si="192"/>
        <v>210</v>
      </c>
      <c r="T53" s="124">
        <f t="shared" ca="1" si="193"/>
        <v>215</v>
      </c>
      <c r="U53" s="124">
        <f t="shared" ca="1" si="194"/>
        <v>111</v>
      </c>
      <c r="V53" s="124">
        <f t="shared" ca="1" si="195"/>
        <v>189</v>
      </c>
      <c r="W53" s="124">
        <f t="shared" ca="1" si="196"/>
        <v>164</v>
      </c>
      <c r="X53" s="347">
        <f t="shared" ca="1" si="198"/>
        <v>367</v>
      </c>
      <c r="Y53" s="115"/>
      <c r="Z53" s="173">
        <f ca="1">SUM(C53:Y53)</f>
        <v>3821</v>
      </c>
      <c r="AA53" s="115"/>
      <c r="AB53" s="131">
        <f ca="1">Z53/Score!$AG$18</f>
        <v>0.85852131190527026</v>
      </c>
      <c r="AC53" s="108">
        <f ca="1">RANK((SUM($C53:C53)),C$22:C$32,0)</f>
        <v>3</v>
      </c>
      <c r="AD53" s="108">
        <f ca="1">RANK((SUM($C53:D53)),D$22:D$32,0)</f>
        <v>2</v>
      </c>
      <c r="AE53" s="108">
        <f ca="1">RANK((SUM($C53:E53)),E$22:E$32,0)</f>
        <v>3</v>
      </c>
      <c r="AF53" s="108">
        <f ca="1">RANK((SUM($C53:F53)),F$22:F$32,0)</f>
        <v>3</v>
      </c>
      <c r="AG53" s="108">
        <f ca="1">RANK((SUM($C53:G53)),G$22:G$32,0)</f>
        <v>2</v>
      </c>
      <c r="AH53" s="108">
        <f ca="1">RANK((SUM($C53:H53)),H$22:H$32,0)</f>
        <v>3</v>
      </c>
      <c r="AI53" s="108">
        <f ca="1">RANK((SUM($C53:I53)),I$22:I$32,0)</f>
        <v>1</v>
      </c>
      <c r="AJ53" s="108">
        <f ca="1">RANK((SUM($C53:J53)),J$22:J$32,0)</f>
        <v>2</v>
      </c>
      <c r="AK53" s="108">
        <f ca="1">RANK((SUM($C53:K53)),K$22:K$32,0)</f>
        <v>2</v>
      </c>
      <c r="AL53" s="108">
        <f ca="1">RANK((SUM($C53:L53)),L$22:L$32,0)</f>
        <v>3</v>
      </c>
      <c r="AM53" s="108">
        <f ca="1">RANK((SUM($C53:M53)),M$22:M$32,0)</f>
        <v>3</v>
      </c>
      <c r="AN53" s="108">
        <f ca="1">RANK((SUM($C53:N53)),N$22:N$32,0)</f>
        <v>4</v>
      </c>
      <c r="AO53" s="108">
        <f ca="1">RANK((SUM($C53:O53)),O$22:O$32,0)</f>
        <v>5</v>
      </c>
      <c r="AP53" s="108">
        <f ca="1">RANK((SUM($C53:P53)),P$22:P$32,0)</f>
        <v>5</v>
      </c>
      <c r="AQ53" s="108">
        <f ca="1">RANK((SUM($C53:Q53)),Q$22:Q$32,0)</f>
        <v>5</v>
      </c>
      <c r="AR53" s="108">
        <f ca="1">RANK((SUM($C53:R53)),R$22:R$32,0)</f>
        <v>4</v>
      </c>
      <c r="AS53" s="108">
        <f ca="1">RANK((SUM($C53:S53)),S$22:S$32,0)</f>
        <v>4</v>
      </c>
      <c r="AT53" s="108">
        <f ca="1">RANK((SUM($C53:T53)),T$22:T$32,0)</f>
        <v>4</v>
      </c>
      <c r="AU53" s="108">
        <f ca="1">RANK((SUM($C53:U53)),U$22:U$32,0)</f>
        <v>3</v>
      </c>
      <c r="AV53" s="108">
        <f ca="1">RANK((SUM($C53:V53)),V$22:V$32,0)</f>
        <v>4</v>
      </c>
      <c r="AW53" s="108">
        <f ca="1">RANK((SUM($C53:W53)),W$22:W$32,0)</f>
        <v>4</v>
      </c>
      <c r="AX53" s="108">
        <f ca="1">RANK((SUM($C53:X53)),X$22:X$32,0)</f>
        <v>4</v>
      </c>
    </row>
    <row r="54" spans="1:57" ht="12" customHeight="1">
      <c r="A54" s="129">
        <v>5</v>
      </c>
      <c r="B54" s="130" t="str">
        <f t="shared" ca="1" si="175"/>
        <v>Tins Tour Toppers</v>
      </c>
      <c r="C54" s="124">
        <f t="shared" ca="1" si="176"/>
        <v>130</v>
      </c>
      <c r="D54" s="124">
        <f t="shared" ca="1" si="177"/>
        <v>132</v>
      </c>
      <c r="E54" s="124">
        <f t="shared" ca="1" si="178"/>
        <v>153</v>
      </c>
      <c r="F54" s="124">
        <f t="shared" ca="1" si="179"/>
        <v>293</v>
      </c>
      <c r="G54" s="124">
        <f t="shared" ca="1" si="180"/>
        <v>168</v>
      </c>
      <c r="H54" s="124">
        <f t="shared" ca="1" si="181"/>
        <v>182</v>
      </c>
      <c r="I54" s="124">
        <f t="shared" ca="1" si="182"/>
        <v>124</v>
      </c>
      <c r="J54" s="124">
        <f t="shared" ca="1" si="183"/>
        <v>143</v>
      </c>
      <c r="K54" s="124">
        <f t="shared" ca="1" si="184"/>
        <v>279</v>
      </c>
      <c r="L54" s="124">
        <f t="shared" ca="1" si="185"/>
        <v>180</v>
      </c>
      <c r="M54" s="346">
        <f t="shared" ca="1" si="186"/>
        <v>141</v>
      </c>
      <c r="N54" s="346">
        <f t="shared" ca="1" si="187"/>
        <v>101</v>
      </c>
      <c r="O54" s="346">
        <f t="shared" ca="1" si="188"/>
        <v>117</v>
      </c>
      <c r="P54" s="346">
        <f t="shared" ca="1" si="189"/>
        <v>115</v>
      </c>
      <c r="Q54" s="124">
        <f t="shared" ca="1" si="190"/>
        <v>200</v>
      </c>
      <c r="R54" s="124">
        <f t="shared" ca="1" si="191"/>
        <v>108</v>
      </c>
      <c r="S54" s="124">
        <f t="shared" ca="1" si="192"/>
        <v>213</v>
      </c>
      <c r="T54" s="124">
        <f t="shared" ca="1" si="193"/>
        <v>195</v>
      </c>
      <c r="U54" s="124">
        <f t="shared" ca="1" si="194"/>
        <v>105</v>
      </c>
      <c r="V54" s="124">
        <f t="shared" ca="1" si="195"/>
        <v>161</v>
      </c>
      <c r="W54" s="124">
        <f t="shared" ca="1" si="196"/>
        <v>179</v>
      </c>
      <c r="X54" s="288">
        <f t="shared" ca="1" si="198"/>
        <v>380</v>
      </c>
      <c r="Y54" s="115"/>
      <c r="Z54" s="173">
        <f t="shared" ca="1" si="197"/>
        <v>3799</v>
      </c>
      <c r="AA54" s="115"/>
      <c r="AB54" s="131">
        <f ca="1">Z54/Score!$AG$18</f>
        <v>0.85357824232612456</v>
      </c>
      <c r="AC54" s="108">
        <f ca="1">RANK((SUM($C54:C54)),C$22:C$32,0)</f>
        <v>5</v>
      </c>
      <c r="AD54" s="108">
        <f ca="1">RANK((SUM($C54:D54)),D$22:D$32,0)</f>
        <v>5</v>
      </c>
      <c r="AE54" s="108">
        <f ca="1">RANK((SUM($C54:E54)),E$22:E$32,0)</f>
        <v>5</v>
      </c>
      <c r="AF54" s="108">
        <f ca="1">RANK((SUM($C54:F54)),F$22:F$32,0)</f>
        <v>2</v>
      </c>
      <c r="AG54" s="108">
        <f ca="1">RANK((SUM($C54:G54)),G$22:G$32,0)</f>
        <v>3</v>
      </c>
      <c r="AH54" s="108">
        <f ca="1">RANK((SUM($C54:H54)),H$22:H$32,0)</f>
        <v>2</v>
      </c>
      <c r="AI54" s="108">
        <f ca="1">RANK((SUM($C54:I54)),I$22:I$32,0)</f>
        <v>4</v>
      </c>
      <c r="AJ54" s="108">
        <f ca="1">RANK((SUM($C54:J54)),J$22:J$32,0)</f>
        <v>4</v>
      </c>
      <c r="AK54" s="108">
        <f ca="1">RANK((SUM($C54:K54)),K$22:K$32,0)</f>
        <v>3</v>
      </c>
      <c r="AL54" s="108">
        <f ca="1">RANK((SUM($C54:L54)),L$22:L$32,0)</f>
        <v>1</v>
      </c>
      <c r="AM54" s="108">
        <f ca="1">RANK((SUM($C54:M54)),M$22:M$32,0)</f>
        <v>1</v>
      </c>
      <c r="AN54" s="108">
        <f ca="1">RANK((SUM($C54:N54)),N$22:N$32,0)</f>
        <v>1</v>
      </c>
      <c r="AO54" s="108">
        <f ca="1">RANK((SUM($C54:O54)),O$22:O$32,0)</f>
        <v>2</v>
      </c>
      <c r="AP54" s="108">
        <f ca="1">RANK((SUM($C54:P54)),P$22:P$32,0)</f>
        <v>3</v>
      </c>
      <c r="AQ54" s="108">
        <f ca="1">RANK((SUM($C54:Q54)),Q$22:Q$32,0)</f>
        <v>3</v>
      </c>
      <c r="AR54" s="108">
        <f ca="1">RANK((SUM($C54:R54)),R$22:R$32,0)</f>
        <v>3</v>
      </c>
      <c r="AS54" s="108">
        <f ca="1">RANK((SUM($C54:S54)),S$22:S$32,0)</f>
        <v>3</v>
      </c>
      <c r="AT54" s="108">
        <f ca="1">RANK((SUM($C54:T54)),T$22:T$32,0)</f>
        <v>5</v>
      </c>
      <c r="AU54" s="108">
        <f ca="1">RANK((SUM($C54:U54)),U$22:U$32,0)</f>
        <v>5</v>
      </c>
      <c r="AV54" s="108">
        <f ca="1">RANK((SUM($C54:V54)),V$22:V$32,0)</f>
        <v>5</v>
      </c>
      <c r="AW54" s="108">
        <f ca="1">RANK((SUM($C54:W54)),W$22:W$32,0)</f>
        <v>5</v>
      </c>
      <c r="AX54" s="108">
        <f ca="1">RANK((SUM($C54:X54)),X$22:X$32,0)</f>
        <v>5</v>
      </c>
    </row>
    <row r="55" spans="1:57" ht="12" customHeight="1">
      <c r="A55" s="129">
        <v>6</v>
      </c>
      <c r="B55" s="130" t="str">
        <f t="shared" ca="1" si="175"/>
        <v>Freaky's monstermannnen</v>
      </c>
      <c r="C55" s="124">
        <f t="shared" ca="1" si="176"/>
        <v>70</v>
      </c>
      <c r="D55" s="124">
        <f t="shared" ca="1" si="177"/>
        <v>118</v>
      </c>
      <c r="E55" s="124">
        <f t="shared" ca="1" si="178"/>
        <v>111</v>
      </c>
      <c r="F55" s="124">
        <f t="shared" ca="1" si="179"/>
        <v>265</v>
      </c>
      <c r="G55" s="124">
        <f t="shared" ca="1" si="180"/>
        <v>175</v>
      </c>
      <c r="H55" s="124">
        <f t="shared" ca="1" si="181"/>
        <v>165</v>
      </c>
      <c r="I55" s="124">
        <f t="shared" ca="1" si="182"/>
        <v>173</v>
      </c>
      <c r="J55" s="124">
        <f t="shared" ca="1" si="183"/>
        <v>121</v>
      </c>
      <c r="K55" s="124">
        <f t="shared" ca="1" si="184"/>
        <v>208</v>
      </c>
      <c r="L55" s="124">
        <f t="shared" ca="1" si="185"/>
        <v>124</v>
      </c>
      <c r="M55" s="346">
        <f t="shared" ca="1" si="186"/>
        <v>136</v>
      </c>
      <c r="N55" s="346">
        <f t="shared" ca="1" si="187"/>
        <v>90</v>
      </c>
      <c r="O55" s="346">
        <f t="shared" ca="1" si="188"/>
        <v>120</v>
      </c>
      <c r="P55" s="346">
        <f t="shared" ca="1" si="189"/>
        <v>100</v>
      </c>
      <c r="Q55" s="124">
        <f t="shared" ca="1" si="190"/>
        <v>190</v>
      </c>
      <c r="R55" s="124">
        <f t="shared" ca="1" si="191"/>
        <v>134</v>
      </c>
      <c r="S55" s="124">
        <f t="shared" ca="1" si="192"/>
        <v>210</v>
      </c>
      <c r="T55" s="124">
        <f t="shared" ca="1" si="193"/>
        <v>215</v>
      </c>
      <c r="U55" s="124">
        <f t="shared" ca="1" si="194"/>
        <v>111</v>
      </c>
      <c r="V55" s="124">
        <f t="shared" ca="1" si="195"/>
        <v>195</v>
      </c>
      <c r="W55" s="124">
        <f t="shared" ca="1" si="196"/>
        <v>206</v>
      </c>
      <c r="X55" s="288">
        <f t="shared" ca="1" si="198"/>
        <v>366</v>
      </c>
      <c r="Y55" s="115"/>
      <c r="Z55" s="173">
        <f t="shared" ca="1" si="197"/>
        <v>3603</v>
      </c>
      <c r="AA55" s="115"/>
      <c r="AB55" s="131">
        <f ca="1">Z55/Score!$AG$18</f>
        <v>0.80953998607555322</v>
      </c>
      <c r="AC55" s="108">
        <f ca="1">RANK((SUM($C55:C55)),C$22:C$32,0)</f>
        <v>11</v>
      </c>
      <c r="AD55" s="108">
        <f ca="1">RANK((SUM($C55:D55)),D$22:D$32,0)</f>
        <v>11</v>
      </c>
      <c r="AE55" s="108">
        <f ca="1">RANK((SUM($C55:E55)),E$22:E$32,0)</f>
        <v>11</v>
      </c>
      <c r="AF55" s="108">
        <f ca="1">RANK((SUM($C55:F55)),F$22:F$32,0)</f>
        <v>10</v>
      </c>
      <c r="AG55" s="108">
        <f ca="1">RANK((SUM($C55:G55)),G$22:G$32,0)</f>
        <v>10</v>
      </c>
      <c r="AH55" s="108">
        <f ca="1">RANK((SUM($C55:H55)),H$22:H$32,0)</f>
        <v>10</v>
      </c>
      <c r="AI55" s="108">
        <f ca="1">RANK((SUM($C55:I55)),I$22:I$32,0)</f>
        <v>9</v>
      </c>
      <c r="AJ55" s="108">
        <f ca="1">RANK((SUM($C55:J55)),J$22:J$32,0)</f>
        <v>9</v>
      </c>
      <c r="AK55" s="108">
        <f ca="1">RANK((SUM($C55:K55)),K$22:K$32,0)</f>
        <v>10</v>
      </c>
      <c r="AL55" s="108">
        <f ca="1">RANK((SUM($C55:L55)),L$22:L$32,0)</f>
        <v>10</v>
      </c>
      <c r="AM55" s="108">
        <f ca="1">RANK((SUM($C55:M55)),M$22:M$32,0)</f>
        <v>11</v>
      </c>
      <c r="AN55" s="108">
        <f ca="1">RANK((SUM($C55:N55)),N$22:N$32,0)</f>
        <v>11</v>
      </c>
      <c r="AO55" s="108">
        <f ca="1">RANK((SUM($C55:O55)),O$22:O$32,0)</f>
        <v>10</v>
      </c>
      <c r="AP55" s="108">
        <f ca="1">RANK((SUM($C55:P55)),P$22:P$32,0)</f>
        <v>10</v>
      </c>
      <c r="AQ55" s="108">
        <f ca="1">RANK((SUM($C55:Q55)),Q$22:Q$32,0)</f>
        <v>10</v>
      </c>
      <c r="AR55" s="108">
        <f ca="1">RANK((SUM($C55:R55)),R$22:R$32,0)</f>
        <v>9</v>
      </c>
      <c r="AS55" s="108">
        <f ca="1">RANK((SUM($C55:S55)),S$22:S$32,0)</f>
        <v>8</v>
      </c>
      <c r="AT55" s="108">
        <f ca="1">RANK((SUM($C55:T55)),T$22:T$32,0)</f>
        <v>7</v>
      </c>
      <c r="AU55" s="108">
        <f ca="1">RANK((SUM($C55:U55)),U$22:U$32,0)</f>
        <v>7</v>
      </c>
      <c r="AV55" s="108">
        <f ca="1">RANK((SUM($C55:V55)),V$22:V$32,0)</f>
        <v>7</v>
      </c>
      <c r="AW55" s="108">
        <f ca="1">RANK((SUM($C55:W55)),W$22:W$32,0)</f>
        <v>7</v>
      </c>
      <c r="AX55" s="108">
        <f ca="1">RANK((SUM($C55:X55)),X$22:X$32,0)</f>
        <v>6</v>
      </c>
    </row>
    <row r="56" spans="1:57" ht="12" customHeight="1">
      <c r="A56" s="129">
        <v>7</v>
      </c>
      <c r="B56" s="130" t="str">
        <f t="shared" ca="1" si="175"/>
        <v>Majella sykler på</v>
      </c>
      <c r="C56" s="124">
        <f t="shared" ca="1" si="176"/>
        <v>136</v>
      </c>
      <c r="D56" s="124">
        <f t="shared" ca="1" si="177"/>
        <v>180</v>
      </c>
      <c r="E56" s="124">
        <f t="shared" ca="1" si="178"/>
        <v>150</v>
      </c>
      <c r="F56" s="124">
        <f t="shared" ca="1" si="179"/>
        <v>278</v>
      </c>
      <c r="G56" s="124">
        <f t="shared" ca="1" si="180"/>
        <v>176</v>
      </c>
      <c r="H56" s="124">
        <f t="shared" ca="1" si="181"/>
        <v>177</v>
      </c>
      <c r="I56" s="124">
        <f t="shared" ca="1" si="182"/>
        <v>122</v>
      </c>
      <c r="J56" s="124">
        <f t="shared" ca="1" si="183"/>
        <v>108</v>
      </c>
      <c r="K56" s="124">
        <f t="shared" ca="1" si="184"/>
        <v>244</v>
      </c>
      <c r="L56" s="124">
        <f t="shared" ca="1" si="185"/>
        <v>155</v>
      </c>
      <c r="M56" s="346">
        <f t="shared" ca="1" si="186"/>
        <v>115</v>
      </c>
      <c r="N56" s="346">
        <f t="shared" ca="1" si="187"/>
        <v>131</v>
      </c>
      <c r="O56" s="346">
        <f t="shared" ca="1" si="188"/>
        <v>158</v>
      </c>
      <c r="P56" s="346">
        <f t="shared" ca="1" si="189"/>
        <v>138</v>
      </c>
      <c r="Q56" s="124">
        <f t="shared" ca="1" si="190"/>
        <v>176</v>
      </c>
      <c r="R56" s="124">
        <f t="shared" ca="1" si="191"/>
        <v>119</v>
      </c>
      <c r="S56" s="124">
        <f t="shared" ca="1" si="192"/>
        <v>156</v>
      </c>
      <c r="T56" s="124">
        <f t="shared" ca="1" si="193"/>
        <v>145</v>
      </c>
      <c r="U56" s="124">
        <f t="shared" ca="1" si="194"/>
        <v>104</v>
      </c>
      <c r="V56" s="124">
        <f t="shared" ca="1" si="195"/>
        <v>181</v>
      </c>
      <c r="W56" s="124">
        <f t="shared" ca="1" si="196"/>
        <v>134</v>
      </c>
      <c r="X56" s="288">
        <f t="shared" ca="1" si="198"/>
        <v>306</v>
      </c>
      <c r="Y56" s="115"/>
      <c r="Z56" s="173">
        <f ca="1">SUM(C56:Y56)</f>
        <v>3589</v>
      </c>
      <c r="AA56" s="115"/>
      <c r="AB56" s="131">
        <f ca="1">Z56/Score!$AG$18</f>
        <v>0.80639439634336951</v>
      </c>
      <c r="AC56" s="108">
        <f ca="1">RANK((SUM($C56:C56)),C$22:C$32,0)</f>
        <v>2</v>
      </c>
      <c r="AD56" s="108">
        <f ca="1">RANK((SUM($C56:D56)),D$22:D$32,0)</f>
        <v>1</v>
      </c>
      <c r="AE56" s="108">
        <f ca="1">RANK((SUM($C56:E56)),E$22:E$32,0)</f>
        <v>1</v>
      </c>
      <c r="AF56" s="108">
        <f ca="1">RANK((SUM($C56:F56)),F$22:F$32,0)</f>
        <v>1</v>
      </c>
      <c r="AG56" s="108">
        <f ca="1">RANK((SUM($C56:G56)),G$22:G$32,0)</f>
        <v>1</v>
      </c>
      <c r="AH56" s="108">
        <f ca="1">RANK((SUM($C56:H56)),H$22:H$32,0)</f>
        <v>1</v>
      </c>
      <c r="AI56" s="108">
        <f ca="1">RANK((SUM($C56:I56)),I$22:I$32,0)</f>
        <v>2</v>
      </c>
      <c r="AJ56" s="108">
        <f ca="1">RANK((SUM($C56:J56)),J$22:J$32,0)</f>
        <v>3</v>
      </c>
      <c r="AK56" s="108">
        <f ca="1">RANK((SUM($C56:K56)),K$22:K$32,0)</f>
        <v>4</v>
      </c>
      <c r="AL56" s="108">
        <f ca="1">RANK((SUM($C56:L56)),L$22:L$32,0)</f>
        <v>5</v>
      </c>
      <c r="AM56" s="108">
        <f ca="1">RANK((SUM($C56:M56)),M$22:M$32,0)</f>
        <v>5</v>
      </c>
      <c r="AN56" s="108">
        <f ca="1">RANK((SUM($C56:N56)),N$22:N$32,0)</f>
        <v>5</v>
      </c>
      <c r="AO56" s="108">
        <f ca="1">RANK((SUM($C56:O56)),O$22:O$32,0)</f>
        <v>3</v>
      </c>
      <c r="AP56" s="108">
        <f ca="1">RANK((SUM($C56:P56)),P$22:P$32,0)</f>
        <v>2</v>
      </c>
      <c r="AQ56" s="108">
        <f ca="1">RANK((SUM($C56:Q56)),Q$22:Q$32,0)</f>
        <v>4</v>
      </c>
      <c r="AR56" s="108">
        <f ca="1">RANK((SUM($C56:R56)),R$22:R$32,0)</f>
        <v>5</v>
      </c>
      <c r="AS56" s="108">
        <f ca="1">RANK((SUM($C56:S56)),S$22:S$32,0)</f>
        <v>6</v>
      </c>
      <c r="AT56" s="108">
        <f ca="1">RANK((SUM($C56:T56)),T$22:T$32,0)</f>
        <v>6</v>
      </c>
      <c r="AU56" s="108">
        <f ca="1">RANK((SUM($C56:U56)),U$22:U$32,0)</f>
        <v>6</v>
      </c>
      <c r="AV56" s="108">
        <f ca="1">RANK((SUM($C56:V56)),V$22:V$32,0)</f>
        <v>6</v>
      </c>
      <c r="AW56" s="108">
        <f ca="1">RANK((SUM($C56:W56)),W$22:W$32,0)</f>
        <v>6</v>
      </c>
      <c r="AX56" s="108">
        <f ca="1">RANK((SUM($C56:X56)),X$22:X$32,0)</f>
        <v>7</v>
      </c>
    </row>
    <row r="57" spans="1:57" ht="12" customHeight="1">
      <c r="A57" s="129">
        <v>8</v>
      </c>
      <c r="B57" s="130" t="str">
        <f t="shared" ca="1" si="175"/>
        <v>Kol de la Madeleine</v>
      </c>
      <c r="C57" s="124">
        <f t="shared" ca="1" si="176"/>
        <v>118</v>
      </c>
      <c r="D57" s="124">
        <f t="shared" ca="1" si="177"/>
        <v>100</v>
      </c>
      <c r="E57" s="124">
        <f t="shared" ca="1" si="178"/>
        <v>137</v>
      </c>
      <c r="F57" s="124">
        <f t="shared" ca="1" si="179"/>
        <v>203</v>
      </c>
      <c r="G57" s="124">
        <f t="shared" ca="1" si="180"/>
        <v>178</v>
      </c>
      <c r="H57" s="124">
        <f t="shared" ca="1" si="181"/>
        <v>150</v>
      </c>
      <c r="I57" s="124">
        <f t="shared" ca="1" si="182"/>
        <v>171</v>
      </c>
      <c r="J57" s="124">
        <f t="shared" ca="1" si="183"/>
        <v>118</v>
      </c>
      <c r="K57" s="124">
        <f t="shared" ca="1" si="184"/>
        <v>200</v>
      </c>
      <c r="L57" s="124">
        <f t="shared" ca="1" si="185"/>
        <v>151</v>
      </c>
      <c r="M57" s="124">
        <f t="shared" ca="1" si="186"/>
        <v>147</v>
      </c>
      <c r="N57" s="124">
        <f t="shared" ca="1" si="187"/>
        <v>88</v>
      </c>
      <c r="O57" s="124">
        <f t="shared" ca="1" si="188"/>
        <v>99</v>
      </c>
      <c r="P57" s="124">
        <f t="shared" ca="1" si="189"/>
        <v>101</v>
      </c>
      <c r="Q57" s="124">
        <f t="shared" ca="1" si="190"/>
        <v>187</v>
      </c>
      <c r="R57" s="124">
        <f t="shared" ca="1" si="191"/>
        <v>127</v>
      </c>
      <c r="S57" s="124">
        <f t="shared" ca="1" si="192"/>
        <v>215</v>
      </c>
      <c r="T57" s="124">
        <f t="shared" ca="1" si="193"/>
        <v>214</v>
      </c>
      <c r="U57" s="124">
        <f t="shared" ca="1" si="194"/>
        <v>91</v>
      </c>
      <c r="V57" s="124">
        <f t="shared" ca="1" si="195"/>
        <v>209</v>
      </c>
      <c r="W57" s="124">
        <f t="shared" ca="1" si="196"/>
        <v>167</v>
      </c>
      <c r="X57" s="288">
        <f t="shared" ca="1" si="198"/>
        <v>365</v>
      </c>
      <c r="Y57" s="115"/>
      <c r="Z57" s="173">
        <f ca="1">SUM(C57:Y57)</f>
        <v>3536</v>
      </c>
      <c r="AA57" s="115"/>
      <c r="AB57" s="131">
        <f ca="1">Z57/Score!$AG$18</f>
        <v>0.79448609235724565</v>
      </c>
      <c r="AC57" s="108">
        <f ca="1">RANK((SUM($C57:C57)),C$22:C$32,0)</f>
        <v>7</v>
      </c>
      <c r="AD57" s="108">
        <f ca="1">RANK((SUM($C57:D57)),D$22:D$32,0)</f>
        <v>10</v>
      </c>
      <c r="AE57" s="108">
        <f ca="1">RANK((SUM($C57:E57)),E$22:E$32,0)</f>
        <v>9</v>
      </c>
      <c r="AF57" s="108">
        <f ca="1">RANK((SUM($C57:F57)),F$22:F$32,0)</f>
        <v>11</v>
      </c>
      <c r="AG57" s="108">
        <f ca="1">RANK((SUM($C57:G57)),G$22:G$32,0)</f>
        <v>11</v>
      </c>
      <c r="AH57" s="108">
        <f ca="1">RANK((SUM($C57:H57)),H$22:H$32,0)</f>
        <v>11</v>
      </c>
      <c r="AI57" s="108">
        <f ca="1">RANK((SUM($C57:I57)),I$22:I$32,0)</f>
        <v>10</v>
      </c>
      <c r="AJ57" s="108">
        <f ca="1">RANK((SUM($C57:J57)),J$22:J$32,0)</f>
        <v>11</v>
      </c>
      <c r="AK57" s="108">
        <f ca="1">RANK((SUM($C57:K57)),K$22:K$32,0)</f>
        <v>11</v>
      </c>
      <c r="AL57" s="108">
        <f ca="1">RANK((SUM($C57:L57)),L$22:L$32,0)</f>
        <v>11</v>
      </c>
      <c r="AM57" s="108">
        <f ca="1">RANK((SUM($C57:M57)),M$22:M$32,0)</f>
        <v>10</v>
      </c>
      <c r="AN57" s="108">
        <f ca="1">RANK((SUM($C57:N57)),N$22:N$32,0)</f>
        <v>10</v>
      </c>
      <c r="AO57" s="108">
        <f ca="1">RANK((SUM($C57:O57)),O$22:O$32,0)</f>
        <v>11</v>
      </c>
      <c r="AP57" s="108">
        <f ca="1">RANK((SUM($C57:P57)),P$22:P$32,0)</f>
        <v>11</v>
      </c>
      <c r="AQ57" s="108">
        <f ca="1">RANK((SUM($C57:Q57)),Q$22:Q$32,0)</f>
        <v>11</v>
      </c>
      <c r="AR57" s="108">
        <f ca="1">RANK((SUM($C57:R57)),R$22:R$32,0)</f>
        <v>11</v>
      </c>
      <c r="AS57" s="108">
        <f ca="1">RANK((SUM($C57:S57)),S$22:S$32,0)</f>
        <v>10</v>
      </c>
      <c r="AT57" s="108">
        <f ca="1">RANK((SUM($C57:T57)),T$22:T$32,0)</f>
        <v>9</v>
      </c>
      <c r="AU57" s="108">
        <f ca="1">RANK((SUM($C57:U57)),U$22:U$32,0)</f>
        <v>10</v>
      </c>
      <c r="AV57" s="108">
        <f ca="1">RANK((SUM($C57:V57)),V$22:V$32,0)</f>
        <v>8</v>
      </c>
      <c r="AW57" s="108">
        <f ca="1">RANK((SUM($C57:W57)),W$22:W$32,0)</f>
        <v>9</v>
      </c>
      <c r="AX57" s="108">
        <f ca="1">RANK((SUM($C57:X57)),X$22:X$32,0)</f>
        <v>8</v>
      </c>
    </row>
    <row r="58" spans="1:57" ht="12" customHeight="1">
      <c r="A58" s="129">
        <v>9</v>
      </c>
      <c r="B58" s="130" t="str">
        <f t="shared" ref="B58" ca="1" si="199">INDEX(lijst_teams,MATCH(A58,$Z$3:$Z$13,0))</f>
        <v>Prajak Mahawong</v>
      </c>
      <c r="C58" s="124">
        <f t="shared" ca="1" si="176"/>
        <v>107</v>
      </c>
      <c r="D58" s="124">
        <f t="shared" ca="1" si="177"/>
        <v>119</v>
      </c>
      <c r="E58" s="124">
        <f t="shared" ca="1" si="178"/>
        <v>128</v>
      </c>
      <c r="F58" s="124">
        <f t="shared" ca="1" si="179"/>
        <v>244</v>
      </c>
      <c r="G58" s="124">
        <f t="shared" ca="1" si="180"/>
        <v>163</v>
      </c>
      <c r="H58" s="124">
        <f t="shared" ca="1" si="181"/>
        <v>164</v>
      </c>
      <c r="I58" s="124">
        <f t="shared" ca="1" si="182"/>
        <v>107</v>
      </c>
      <c r="J58" s="124">
        <f t="shared" ca="1" si="183"/>
        <v>145</v>
      </c>
      <c r="K58" s="124">
        <f t="shared" ca="1" si="184"/>
        <v>240</v>
      </c>
      <c r="L58" s="124">
        <f t="shared" ca="1" si="185"/>
        <v>154</v>
      </c>
      <c r="M58" s="124">
        <f t="shared" ca="1" si="186"/>
        <v>130</v>
      </c>
      <c r="N58" s="124">
        <f t="shared" ca="1" si="187"/>
        <v>105</v>
      </c>
      <c r="O58" s="124">
        <f t="shared" ca="1" si="188"/>
        <v>120</v>
      </c>
      <c r="P58" s="124">
        <f t="shared" ca="1" si="189"/>
        <v>104</v>
      </c>
      <c r="Q58" s="124">
        <f t="shared" ca="1" si="190"/>
        <v>211</v>
      </c>
      <c r="R58" s="124">
        <f t="shared" ca="1" si="191"/>
        <v>80</v>
      </c>
      <c r="S58" s="124">
        <f t="shared" ca="1" si="192"/>
        <v>189</v>
      </c>
      <c r="T58" s="124">
        <f t="shared" ca="1" si="193"/>
        <v>167</v>
      </c>
      <c r="U58" s="124">
        <f t="shared" ca="1" si="194"/>
        <v>120</v>
      </c>
      <c r="V58" s="124">
        <f t="shared" ca="1" si="195"/>
        <v>204</v>
      </c>
      <c r="W58" s="124">
        <f t="shared" ca="1" si="196"/>
        <v>145</v>
      </c>
      <c r="X58" s="288">
        <f ca="1">VLOOKUP($B58,$B$3:$Y$18,23,0)</f>
        <v>363</v>
      </c>
      <c r="Y58" s="115"/>
      <c r="Z58" s="173">
        <f t="shared" ref="Z58" ca="1" si="200">SUM(C58:Y58)</f>
        <v>3509</v>
      </c>
      <c r="AA58" s="115"/>
      <c r="AB58" s="131">
        <f ca="1">Z58/Score!$AG$18</f>
        <v>0.7884195978737486</v>
      </c>
      <c r="AC58" s="108">
        <f ca="1">RANK((SUM($C58:C58)),C$22:C$32,0)</f>
        <v>9</v>
      </c>
      <c r="AD58" s="108">
        <f ca="1">RANK((SUM($C58:D58)),D$22:D$32,0)</f>
        <v>9</v>
      </c>
      <c r="AE58" s="108">
        <f ca="1">RANK((SUM($C58:E58)),E$22:E$32,0)</f>
        <v>10</v>
      </c>
      <c r="AF58" s="108">
        <f ca="1">RANK((SUM($C58:F58)),F$22:F$32,0)</f>
        <v>9</v>
      </c>
      <c r="AG58" s="108">
        <f ca="1">RANK((SUM($C58:G58)),G$22:G$32,0)</f>
        <v>9</v>
      </c>
      <c r="AH58" s="108">
        <f ca="1">RANK((SUM($C58:H58)),H$22:H$32,0)</f>
        <v>9</v>
      </c>
      <c r="AI58" s="108">
        <f ca="1">RANK((SUM($C58:I58)),I$22:I$32,0)</f>
        <v>11</v>
      </c>
      <c r="AJ58" s="108">
        <f ca="1">RANK((SUM($C58:J58)),J$22:J$32,0)</f>
        <v>10</v>
      </c>
      <c r="AK58" s="108">
        <f ca="1">RANK((SUM($C58:K58)),K$22:K$32,0)</f>
        <v>9</v>
      </c>
      <c r="AL58" s="108">
        <f ca="1">RANK((SUM($C58:L58)),L$22:L$32,0)</f>
        <v>9</v>
      </c>
      <c r="AM58" s="108">
        <f ca="1">RANK((SUM($C58:M58)),M$22:M$32,0)</f>
        <v>9</v>
      </c>
      <c r="AN58" s="108">
        <f ca="1">RANK((SUM($C58:N58)),N$22:N$32,0)</f>
        <v>9</v>
      </c>
      <c r="AO58" s="108">
        <f ca="1">RANK((SUM($C58:O58)),O$22:O$32,0)</f>
        <v>9</v>
      </c>
      <c r="AP58" s="108">
        <f ca="1">RANK((SUM($C58:P58)),P$22:P$32,0)</f>
        <v>9</v>
      </c>
      <c r="AQ58" s="108">
        <f ca="1">RANK((SUM($C58:Q58)),Q$22:Q$32,0)</f>
        <v>8</v>
      </c>
      <c r="AR58" s="108">
        <f ca="1">RANK((SUM($C58:R58)),R$22:R$32,0)</f>
        <v>8</v>
      </c>
      <c r="AS58" s="108">
        <f ca="1">RANK((SUM($C58:S58)),S$22:S$32,0)</f>
        <v>8</v>
      </c>
      <c r="AT58" s="108">
        <f ca="1">RANK((SUM($C58:T58)),T$22:T$32,0)</f>
        <v>10</v>
      </c>
      <c r="AU58" s="108">
        <f ca="1">RANK((SUM($C58:U58)),U$22:U$32,0)</f>
        <v>9</v>
      </c>
      <c r="AV58" s="108">
        <f ca="1">RANK((SUM($C58:V58)),V$22:V$32,0)</f>
        <v>9</v>
      </c>
      <c r="AW58" s="108">
        <f ca="1">RANK((SUM($C58:W58)),W$22:W$32,0)</f>
        <v>10</v>
      </c>
      <c r="AX58" s="108">
        <f ca="1">RANK((SUM($C58:X58)),X$22:X$32,0)</f>
        <v>9</v>
      </c>
    </row>
    <row r="59" spans="1:57" ht="12" customHeight="1">
      <c r="A59" s="129">
        <v>10</v>
      </c>
      <c r="B59" s="130" t="str">
        <f t="shared" ca="1" si="175"/>
        <v>Equipe l'Ami</v>
      </c>
      <c r="C59" s="124">
        <f t="shared" ca="1" si="176"/>
        <v>132</v>
      </c>
      <c r="D59" s="124">
        <f t="shared" ca="1" si="177"/>
        <v>109</v>
      </c>
      <c r="E59" s="124">
        <f t="shared" ca="1" si="178"/>
        <v>142</v>
      </c>
      <c r="F59" s="124">
        <f t="shared" ca="1" si="179"/>
        <v>256</v>
      </c>
      <c r="G59" s="124">
        <f t="shared" ca="1" si="180"/>
        <v>199</v>
      </c>
      <c r="H59" s="124">
        <f t="shared" ca="1" si="181"/>
        <v>149</v>
      </c>
      <c r="I59" s="124">
        <f t="shared" ca="1" si="182"/>
        <v>158</v>
      </c>
      <c r="J59" s="124">
        <f t="shared" ca="1" si="183"/>
        <v>133</v>
      </c>
      <c r="K59" s="124">
        <f t="shared" ca="1" si="184"/>
        <v>202</v>
      </c>
      <c r="L59" s="124">
        <f t="shared" ca="1" si="185"/>
        <v>154</v>
      </c>
      <c r="M59" s="124">
        <f t="shared" ca="1" si="186"/>
        <v>158</v>
      </c>
      <c r="N59" s="124">
        <f t="shared" ca="1" si="187"/>
        <v>88</v>
      </c>
      <c r="O59" s="124">
        <f t="shared" ca="1" si="188"/>
        <v>111</v>
      </c>
      <c r="P59" s="124">
        <f t="shared" ca="1" si="189"/>
        <v>92</v>
      </c>
      <c r="Q59" s="124">
        <f t="shared" ca="1" si="190"/>
        <v>178</v>
      </c>
      <c r="R59" s="124">
        <f t="shared" ca="1" si="191"/>
        <v>77</v>
      </c>
      <c r="S59" s="124">
        <f t="shared" ca="1" si="192"/>
        <v>193</v>
      </c>
      <c r="T59" s="124">
        <f t="shared" ca="1" si="193"/>
        <v>178</v>
      </c>
      <c r="U59" s="124">
        <f t="shared" ca="1" si="194"/>
        <v>93</v>
      </c>
      <c r="V59" s="124">
        <f t="shared" ca="1" si="195"/>
        <v>189</v>
      </c>
      <c r="W59" s="124">
        <f t="shared" ca="1" si="196"/>
        <v>183</v>
      </c>
      <c r="X59" s="288">
        <f ca="1">VLOOKUP($B59,$B$3:$Y$18,23,0)</f>
        <v>312</v>
      </c>
      <c r="Y59" s="115"/>
      <c r="Z59" s="173">
        <f t="shared" ca="1" si="197"/>
        <v>3486</v>
      </c>
      <c r="AA59" s="115"/>
      <c r="AB59" s="131">
        <f ca="1">Z59/Score!$AG$18</f>
        <v>0.78325184331373254</v>
      </c>
      <c r="AC59" s="108">
        <f ca="1">RANK((SUM($C59:C59)),C$22:C$32,0)</f>
        <v>3</v>
      </c>
      <c r="AD59" s="108">
        <f ca="1">RANK((SUM($C59:D59)),D$22:D$32,0)</f>
        <v>7</v>
      </c>
      <c r="AE59" s="108">
        <f ca="1">RANK((SUM($C59:E59)),E$22:E$32,0)</f>
        <v>8</v>
      </c>
      <c r="AF59" s="108">
        <f ca="1">RANK((SUM($C59:F59)),F$22:F$32,0)</f>
        <v>8</v>
      </c>
      <c r="AG59" s="108">
        <f ca="1">RANK((SUM($C59:G59)),G$22:G$32,0)</f>
        <v>7</v>
      </c>
      <c r="AH59" s="108">
        <f ca="1">RANK((SUM($C59:H59)),H$22:H$32,0)</f>
        <v>8</v>
      </c>
      <c r="AI59" s="108">
        <f ca="1">RANK((SUM($C59:I59)),I$22:I$32,0)</f>
        <v>8</v>
      </c>
      <c r="AJ59" s="108">
        <f ca="1">RANK((SUM($C59:J59)),J$22:J$32,0)</f>
        <v>6</v>
      </c>
      <c r="AK59" s="108">
        <f ca="1">RANK((SUM($C59:K59)),K$22:K$32,0)</f>
        <v>7</v>
      </c>
      <c r="AL59" s="108">
        <f ca="1">RANK((SUM($C59:L59)),L$22:L$32,0)</f>
        <v>7</v>
      </c>
      <c r="AM59" s="108">
        <f ca="1">RANK((SUM($C59:M59)),M$22:M$32,0)</f>
        <v>6</v>
      </c>
      <c r="AN59" s="108">
        <f ca="1">RANK((SUM($C59:N59)),N$22:N$32,0)</f>
        <v>7</v>
      </c>
      <c r="AO59" s="108">
        <f ca="1">RANK((SUM($C59:O59)),O$22:O$32,0)</f>
        <v>7</v>
      </c>
      <c r="AP59" s="108">
        <f ca="1">RANK((SUM($C59:P59)),P$22:P$32,0)</f>
        <v>7</v>
      </c>
      <c r="AQ59" s="108">
        <f ca="1">RANK((SUM($C59:Q59)),Q$22:Q$32,0)</f>
        <v>7</v>
      </c>
      <c r="AR59" s="108">
        <f ca="1">RANK((SUM($C59:R59)),R$22:R$32,0)</f>
        <v>7</v>
      </c>
      <c r="AS59" s="108">
        <f ca="1">RANK((SUM($C59:S59)),S$22:S$32,0)</f>
        <v>7</v>
      </c>
      <c r="AT59" s="108">
        <f ca="1">RANK((SUM($C59:T59)),T$22:T$32,0)</f>
        <v>8</v>
      </c>
      <c r="AU59" s="108">
        <f ca="1">RANK((SUM($C59:U59)),U$22:U$32,0)</f>
        <v>8</v>
      </c>
      <c r="AV59" s="108">
        <f ca="1">RANK((SUM($C59:V59)),V$22:V$32,0)</f>
        <v>10</v>
      </c>
      <c r="AW59" s="108">
        <f ca="1">RANK((SUM($C59:W59)),W$22:W$32,0)</f>
        <v>8</v>
      </c>
      <c r="AX59" s="108">
        <f ca="1">RANK((SUM($C59:X59)),X$22:X$32,0)</f>
        <v>10</v>
      </c>
    </row>
    <row r="60" spans="1:57" ht="12" customHeight="1">
      <c r="A60" s="129">
        <v>11</v>
      </c>
      <c r="B60" s="130" t="str">
        <f t="shared" ca="1" si="175"/>
        <v>Onder de vod</v>
      </c>
      <c r="C60" s="124">
        <f t="shared" ca="1" si="176"/>
        <v>130</v>
      </c>
      <c r="D60" s="124">
        <f t="shared" ca="1" si="177"/>
        <v>138</v>
      </c>
      <c r="E60" s="124">
        <f t="shared" ca="1" si="178"/>
        <v>153</v>
      </c>
      <c r="F60" s="124">
        <f t="shared" ca="1" si="179"/>
        <v>219</v>
      </c>
      <c r="G60" s="124">
        <f t="shared" ca="1" si="180"/>
        <v>195</v>
      </c>
      <c r="H60" s="124">
        <f t="shared" ca="1" si="181"/>
        <v>182</v>
      </c>
      <c r="I60" s="124">
        <f t="shared" ca="1" si="182"/>
        <v>141</v>
      </c>
      <c r="J60" s="124">
        <f t="shared" ca="1" si="183"/>
        <v>90</v>
      </c>
      <c r="K60" s="124">
        <f t="shared" ca="1" si="184"/>
        <v>185</v>
      </c>
      <c r="L60" s="124">
        <f t="shared" ca="1" si="185"/>
        <v>158</v>
      </c>
      <c r="M60" s="124">
        <f t="shared" ca="1" si="186"/>
        <v>145</v>
      </c>
      <c r="N60" s="124">
        <f t="shared" ca="1" si="187"/>
        <v>98</v>
      </c>
      <c r="O60" s="124">
        <f t="shared" ca="1" si="188"/>
        <v>132</v>
      </c>
      <c r="P60" s="124">
        <f t="shared" ca="1" si="189"/>
        <v>88</v>
      </c>
      <c r="Q60" s="124">
        <f t="shared" ca="1" si="190"/>
        <v>149</v>
      </c>
      <c r="R60" s="124">
        <f t="shared" ca="1" si="191"/>
        <v>89</v>
      </c>
      <c r="S60" s="124">
        <f t="shared" ca="1" si="192"/>
        <v>149</v>
      </c>
      <c r="T60" s="124">
        <f t="shared" ca="1" si="193"/>
        <v>157</v>
      </c>
      <c r="U60" s="124">
        <f t="shared" ca="1" si="194"/>
        <v>110</v>
      </c>
      <c r="V60" s="124">
        <f t="shared" ca="1" si="195"/>
        <v>193</v>
      </c>
      <c r="W60" s="124">
        <f t="shared" ca="1" si="196"/>
        <v>177</v>
      </c>
      <c r="X60" s="288">
        <f t="shared" ca="1" si="198"/>
        <v>274</v>
      </c>
      <c r="Y60" s="115"/>
      <c r="Z60" s="173">
        <f ca="1">SUM(C60:Y60)</f>
        <v>3352</v>
      </c>
      <c r="AA60" s="115"/>
      <c r="AB60" s="131">
        <f ca="1">Z60/Score!$AG$18</f>
        <v>0.75314405587711752</v>
      </c>
      <c r="AC60" s="108">
        <f ca="1">RANK((SUM($C60:C60)),C$22:C$32,0)</f>
        <v>5</v>
      </c>
      <c r="AD60" s="108">
        <f ca="1">RANK((SUM($C60:D60)),D$22:D$32,0)</f>
        <v>4</v>
      </c>
      <c r="AE60" s="108">
        <f ca="1">RANK((SUM($C60:E60)),E$22:E$32,0)</f>
        <v>4</v>
      </c>
      <c r="AF60" s="108">
        <f ca="1">RANK((SUM($C60:F60)),F$22:F$32,0)</f>
        <v>7</v>
      </c>
      <c r="AG60" s="108">
        <f ca="1">RANK((SUM($C60:G60)),G$22:G$32,0)</f>
        <v>8</v>
      </c>
      <c r="AH60" s="108">
        <f ca="1">RANK((SUM($C60:H60)),H$22:H$32,0)</f>
        <v>6</v>
      </c>
      <c r="AI60" s="108">
        <f ca="1">RANK((SUM($C60:I60)),I$22:I$32,0)</f>
        <v>5</v>
      </c>
      <c r="AJ60" s="108">
        <f ca="1">RANK((SUM($C60:J60)),J$22:J$32,0)</f>
        <v>8</v>
      </c>
      <c r="AK60" s="108">
        <f ca="1">RANK((SUM($C60:K60)),K$22:K$32,0)</f>
        <v>8</v>
      </c>
      <c r="AL60" s="108">
        <f ca="1">RANK((SUM($C60:L60)),L$22:L$32,0)</f>
        <v>8</v>
      </c>
      <c r="AM60" s="108">
        <f ca="1">RANK((SUM($C60:M60)),M$22:M$32,0)</f>
        <v>8</v>
      </c>
      <c r="AN60" s="108">
        <f ca="1">RANK((SUM($C60:N60)),N$22:N$32,0)</f>
        <v>8</v>
      </c>
      <c r="AO60" s="108">
        <f ca="1">RANK((SUM($C60:O60)),O$22:O$32,0)</f>
        <v>8</v>
      </c>
      <c r="AP60" s="108">
        <f ca="1">RANK((SUM($C60:P60)),P$22:P$32,0)</f>
        <v>8</v>
      </c>
      <c r="AQ60" s="108">
        <f ca="1">RANK((SUM($C60:Q60)),Q$22:Q$32,0)</f>
        <v>9</v>
      </c>
      <c r="AR60" s="108">
        <f ca="1">RANK((SUM($C60:R60)),R$22:R$32,0)</f>
        <v>10</v>
      </c>
      <c r="AS60" s="108">
        <f ca="1">RANK((SUM($C60:S60)),S$22:S$32,0)</f>
        <v>11</v>
      </c>
      <c r="AT60" s="108">
        <f ca="1">RANK((SUM($C60:T60)),T$22:T$32,0)</f>
        <v>11</v>
      </c>
      <c r="AU60" s="108">
        <f ca="1">RANK((SUM($C60:U60)),U$22:U$32,0)</f>
        <v>11</v>
      </c>
      <c r="AV60" s="108">
        <f ca="1">RANK((SUM($C60:V60)),V$22:V$32,0)</f>
        <v>11</v>
      </c>
      <c r="AW60" s="108">
        <f ca="1">RANK((SUM($C60:W60)),W$22:W$32,0)</f>
        <v>11</v>
      </c>
      <c r="AX60" s="108">
        <f ca="1">RANK((SUM($C60:X60)),X$22:X$32,0)</f>
        <v>11</v>
      </c>
    </row>
    <row r="61" spans="1:57" ht="12" customHeight="1">
      <c r="AA61" s="115"/>
    </row>
    <row r="62" spans="1:57" s="133" customFormat="1" ht="12" customHeight="1">
      <c r="B62" s="134" t="s">
        <v>4</v>
      </c>
      <c r="C62" s="135">
        <f t="shared" ref="C62:X62" ca="1" si="201">AVERAGE(C50:C60)</f>
        <v>121</v>
      </c>
      <c r="D62" s="135">
        <f t="shared" ca="1" si="201"/>
        <v>131.18181818181819</v>
      </c>
      <c r="E62" s="135">
        <f t="shared" ca="1" si="201"/>
        <v>141.54545454545453</v>
      </c>
      <c r="F62" s="135">
        <f t="shared" ca="1" si="201"/>
        <v>256.90909090909093</v>
      </c>
      <c r="G62" s="135">
        <f t="shared" ca="1" si="201"/>
        <v>183.63636363636363</v>
      </c>
      <c r="H62" s="135">
        <f t="shared" ca="1" si="201"/>
        <v>162.81818181818181</v>
      </c>
      <c r="I62" s="135">
        <f t="shared" ca="1" si="201"/>
        <v>150.81818181818181</v>
      </c>
      <c r="J62" s="135">
        <f t="shared" ca="1" si="201"/>
        <v>126.27272727272727</v>
      </c>
      <c r="K62" s="135">
        <f t="shared" ca="1" si="201"/>
        <v>231.54545454545453</v>
      </c>
      <c r="L62" s="135">
        <f t="shared" ca="1" si="201"/>
        <v>155.81818181818181</v>
      </c>
      <c r="M62" s="135">
        <f t="shared" ca="1" si="201"/>
        <v>140.54545454545453</v>
      </c>
      <c r="N62" s="135">
        <f t="shared" ca="1" si="201"/>
        <v>99</v>
      </c>
      <c r="O62" s="135">
        <f t="shared" ca="1" si="201"/>
        <v>124.90909090909091</v>
      </c>
      <c r="P62" s="135">
        <f t="shared" ca="1" si="201"/>
        <v>107.63636363636364</v>
      </c>
      <c r="Q62" s="135">
        <f t="shared" ca="1" si="201"/>
        <v>197.36363636363637</v>
      </c>
      <c r="R62" s="135">
        <f t="shared" ca="1" si="201"/>
        <v>115.81818181818181</v>
      </c>
      <c r="S62" s="135">
        <f t="shared" ca="1" si="201"/>
        <v>208.36363636363637</v>
      </c>
      <c r="T62" s="135">
        <f t="shared" ca="1" si="201"/>
        <v>201.18181818181819</v>
      </c>
      <c r="U62" s="135">
        <f t="shared" ca="1" si="201"/>
        <v>108.72727272727273</v>
      </c>
      <c r="V62" s="135">
        <f t="shared" ca="1" si="201"/>
        <v>197.72727272727272</v>
      </c>
      <c r="W62" s="135">
        <f t="shared" ca="1" si="201"/>
        <v>171.90909090909091</v>
      </c>
      <c r="X62" s="321">
        <f t="shared" ca="1" si="201"/>
        <v>369.72727272727275</v>
      </c>
      <c r="Y62" s="135"/>
      <c r="Z62" s="135">
        <f ca="1">AVERAGE(Z50:Z60)</f>
        <v>3704.4545454545455</v>
      </c>
      <c r="AA62" s="136"/>
    </row>
    <row r="63" spans="1:57" s="133" customFormat="1" ht="12" customHeight="1">
      <c r="B63" s="134" t="s">
        <v>57</v>
      </c>
      <c r="C63" s="135">
        <f ca="1">AVERAGE(C50:C57)</f>
        <v>120.25</v>
      </c>
      <c r="D63" s="135">
        <f ca="1">AVERAGE(D50:D57)</f>
        <v>134.625</v>
      </c>
      <c r="E63" s="135">
        <f t="shared" ref="E63:Z63" ca="1" si="202">AVERAGE(E50:E57)</f>
        <v>141.75</v>
      </c>
      <c r="F63" s="135">
        <f t="shared" ca="1" si="202"/>
        <v>263.375</v>
      </c>
      <c r="G63" s="135">
        <f t="shared" ca="1" si="202"/>
        <v>182.875</v>
      </c>
      <c r="H63" s="135">
        <f t="shared" ca="1" si="202"/>
        <v>162</v>
      </c>
      <c r="I63" s="135">
        <f t="shared" ca="1" si="202"/>
        <v>156.625</v>
      </c>
      <c r="J63" s="135">
        <f t="shared" ca="1" si="202"/>
        <v>127.625</v>
      </c>
      <c r="K63" s="135">
        <f t="shared" ca="1" si="202"/>
        <v>240</v>
      </c>
      <c r="L63" s="135">
        <f t="shared" ca="1" si="202"/>
        <v>156</v>
      </c>
      <c r="M63" s="135">
        <f t="shared" ca="1" si="202"/>
        <v>139.125</v>
      </c>
      <c r="N63" s="135">
        <f t="shared" ca="1" si="202"/>
        <v>99.75</v>
      </c>
      <c r="O63" s="135">
        <f t="shared" ca="1" si="202"/>
        <v>126.375</v>
      </c>
      <c r="P63" s="135">
        <f t="shared" ca="1" si="202"/>
        <v>112.5</v>
      </c>
      <c r="Q63" s="135">
        <f t="shared" ca="1" si="202"/>
        <v>204.125</v>
      </c>
      <c r="R63" s="135">
        <f t="shared" ca="1" si="202"/>
        <v>128.5</v>
      </c>
      <c r="S63" s="135">
        <f t="shared" ca="1" si="202"/>
        <v>220.125</v>
      </c>
      <c r="T63" s="135">
        <f t="shared" ca="1" si="202"/>
        <v>213.875</v>
      </c>
      <c r="U63" s="135">
        <f t="shared" ca="1" si="202"/>
        <v>109.125</v>
      </c>
      <c r="V63" s="135">
        <f t="shared" ca="1" si="202"/>
        <v>198.625</v>
      </c>
      <c r="W63" s="135">
        <f t="shared" ca="1" si="202"/>
        <v>173.25</v>
      </c>
      <c r="X63" s="321">
        <f t="shared" ca="1" si="202"/>
        <v>389.75</v>
      </c>
      <c r="Y63" s="135"/>
      <c r="Z63" s="135">
        <f t="shared" ca="1" si="202"/>
        <v>3800.25</v>
      </c>
      <c r="AA63" s="136"/>
    </row>
    <row r="64" spans="1:57" s="133" customFormat="1" ht="12" customHeight="1">
      <c r="X64" s="319"/>
      <c r="AA64" s="136"/>
    </row>
    <row r="65" spans="1:60" s="133" customFormat="1" ht="12" customHeight="1">
      <c r="A65" s="137" t="s">
        <v>0</v>
      </c>
      <c r="B65" s="138"/>
      <c r="C65" s="176"/>
      <c r="X65" s="319"/>
      <c r="AA65" s="136"/>
    </row>
    <row r="66" spans="1:60" ht="12" customHeight="1">
      <c r="A66" s="142"/>
      <c r="B66" s="130" t="s">
        <v>202</v>
      </c>
      <c r="C66" s="109">
        <v>4</v>
      </c>
      <c r="E66" s="139"/>
      <c r="F66" s="140"/>
      <c r="G66" s="128"/>
      <c r="H66" s="128"/>
      <c r="Z66" s="142"/>
    </row>
    <row r="67" spans="1:60" ht="12" customHeight="1">
      <c r="A67" s="109"/>
      <c r="B67" s="108" t="s">
        <v>80</v>
      </c>
      <c r="C67" s="109">
        <v>4</v>
      </c>
      <c r="E67" s="139"/>
      <c r="F67" s="140"/>
      <c r="G67" s="128"/>
      <c r="H67" s="128"/>
      <c r="Z67" s="139"/>
      <c r="AB67" s="130"/>
    </row>
    <row r="68" spans="1:60" s="133" customFormat="1" ht="12" customHeight="1">
      <c r="A68" s="139"/>
      <c r="B68" s="130" t="s">
        <v>228</v>
      </c>
      <c r="C68" s="109">
        <v>3</v>
      </c>
      <c r="X68" s="319"/>
      <c r="AA68" s="136"/>
    </row>
    <row r="69" spans="1:60" ht="12" customHeight="1">
      <c r="A69" s="128"/>
      <c r="B69" s="130" t="s">
        <v>184</v>
      </c>
      <c r="C69" s="109">
        <v>3</v>
      </c>
      <c r="E69" s="139"/>
      <c r="F69" s="140"/>
      <c r="G69" s="128"/>
      <c r="H69" s="128"/>
      <c r="Z69" s="128"/>
      <c r="AB69" s="141"/>
    </row>
    <row r="70" spans="1:60" ht="12" customHeight="1">
      <c r="A70" s="109"/>
      <c r="B70" s="130" t="s">
        <v>226</v>
      </c>
      <c r="C70" s="109">
        <v>2.5</v>
      </c>
      <c r="D70" s="135"/>
      <c r="E70" s="135"/>
      <c r="F70" s="135"/>
      <c r="G70" s="135"/>
      <c r="H70" s="135"/>
      <c r="I70" s="135"/>
      <c r="J70" s="135"/>
      <c r="K70" s="135"/>
      <c r="L70" s="135"/>
      <c r="M70" s="135"/>
      <c r="N70" s="135"/>
      <c r="O70" s="135"/>
      <c r="P70" s="135"/>
      <c r="Q70" s="135"/>
      <c r="R70" s="135"/>
      <c r="S70" s="135"/>
      <c r="T70" s="135"/>
      <c r="U70" s="135"/>
      <c r="V70" s="135"/>
      <c r="W70" s="135"/>
      <c r="X70" s="321"/>
      <c r="Y70" s="136"/>
      <c r="Z70" s="135"/>
      <c r="AA70" s="136"/>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row>
    <row r="71" spans="1:60" ht="12" customHeight="1">
      <c r="A71" s="139"/>
      <c r="B71" s="108" t="s">
        <v>78</v>
      </c>
      <c r="C71" s="109">
        <v>1.5</v>
      </c>
      <c r="E71" s="139"/>
      <c r="F71" s="140"/>
      <c r="G71" s="128"/>
      <c r="H71" s="128"/>
      <c r="Z71" s="139"/>
    </row>
    <row r="72" spans="1:60" s="133" customFormat="1" ht="12" customHeight="1">
      <c r="A72" s="109"/>
      <c r="B72" s="130" t="s">
        <v>213</v>
      </c>
      <c r="C72" s="109">
        <v>1.5</v>
      </c>
      <c r="D72" s="135"/>
      <c r="E72" s="135"/>
      <c r="F72" s="135"/>
      <c r="G72" s="135"/>
      <c r="H72" s="135"/>
      <c r="I72" s="135"/>
      <c r="J72" s="135"/>
      <c r="K72" s="135"/>
      <c r="L72" s="135"/>
      <c r="M72" s="135"/>
      <c r="N72" s="135"/>
      <c r="O72" s="135"/>
      <c r="P72" s="135"/>
      <c r="Q72" s="135"/>
      <c r="R72" s="135"/>
      <c r="S72" s="135"/>
      <c r="T72" s="135"/>
      <c r="U72" s="135"/>
      <c r="V72" s="135"/>
      <c r="W72" s="135"/>
      <c r="X72" s="321"/>
      <c r="Y72" s="136"/>
      <c r="Z72" s="135"/>
      <c r="AA72" s="136"/>
    </row>
    <row r="73" spans="1:60" ht="12" customHeight="1">
      <c r="A73" s="109"/>
      <c r="B73" s="132" t="s">
        <v>207</v>
      </c>
      <c r="C73" s="109">
        <v>1</v>
      </c>
      <c r="E73" s="132"/>
      <c r="F73" s="109"/>
    </row>
    <row r="74" spans="1:60" s="133" customFormat="1" ht="12" customHeight="1">
      <c r="A74" s="112"/>
      <c r="B74" s="130" t="s">
        <v>142</v>
      </c>
      <c r="C74" s="109">
        <v>0.5</v>
      </c>
      <c r="D74" s="143"/>
      <c r="E74" s="144"/>
      <c r="F74" s="140"/>
      <c r="G74" s="128"/>
      <c r="H74" s="128"/>
      <c r="I74" s="109"/>
      <c r="J74" s="109"/>
      <c r="K74" s="108"/>
      <c r="L74" s="112"/>
      <c r="M74" s="108"/>
      <c r="N74" s="109"/>
      <c r="O74" s="108"/>
      <c r="P74" s="108"/>
      <c r="Q74" s="108"/>
      <c r="R74" s="108"/>
      <c r="S74" s="108"/>
      <c r="T74" s="108"/>
      <c r="U74" s="108"/>
      <c r="V74" s="108"/>
      <c r="W74" s="108"/>
      <c r="X74" s="319"/>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c r="AW74" s="108"/>
      <c r="AX74" s="108"/>
      <c r="AY74" s="108"/>
      <c r="AZ74" s="108"/>
      <c r="BA74" s="108"/>
      <c r="BB74" s="108"/>
      <c r="BC74" s="108"/>
      <c r="BD74" s="108"/>
      <c r="BE74" s="108"/>
      <c r="BF74" s="108"/>
      <c r="BG74" s="108"/>
      <c r="BH74" s="108"/>
    </row>
    <row r="75" spans="1:60" ht="12" customHeight="1">
      <c r="A75" s="109"/>
      <c r="E75" s="139"/>
      <c r="F75" s="140"/>
      <c r="G75" s="128"/>
      <c r="H75" s="128"/>
      <c r="P75" s="108" t="s">
        <v>13</v>
      </c>
      <c r="Z75" s="109"/>
      <c r="AB75" s="132"/>
    </row>
    <row r="76" spans="1:60" ht="12" customHeight="1">
      <c r="A76" s="109"/>
      <c r="E76" s="139"/>
      <c r="F76" s="140"/>
      <c r="G76" s="128"/>
      <c r="H76" s="128"/>
      <c r="Z76" s="109"/>
    </row>
    <row r="77" spans="1:60" ht="12" customHeight="1">
      <c r="A77" s="112"/>
      <c r="B77" s="126"/>
      <c r="C77" s="128"/>
      <c r="D77" s="128"/>
      <c r="E77" s="139"/>
      <c r="F77" s="140"/>
      <c r="G77" s="128"/>
      <c r="H77" s="128"/>
      <c r="P77" s="108" t="s">
        <v>13</v>
      </c>
    </row>
    <row r="78" spans="1:60" ht="12" customHeight="1">
      <c r="B78" s="141"/>
      <c r="C78" s="139"/>
      <c r="D78" s="139"/>
      <c r="E78" s="139"/>
      <c r="F78" s="140"/>
      <c r="G78" s="128"/>
      <c r="H78" s="128"/>
      <c r="P78" s="108" t="s">
        <v>14</v>
      </c>
    </row>
    <row r="79" spans="1:60" ht="12" customHeight="1">
      <c r="A79" s="112"/>
      <c r="B79" s="141"/>
      <c r="C79" s="145"/>
      <c r="D79" s="145"/>
      <c r="E79" s="139"/>
      <c r="F79" s="140"/>
      <c r="G79" s="128"/>
      <c r="H79" s="128"/>
    </row>
    <row r="80" spans="1:60" ht="12" customHeight="1">
      <c r="A80" s="112"/>
      <c r="B80" s="126"/>
      <c r="C80" s="139"/>
      <c r="D80" s="139"/>
      <c r="E80" s="139"/>
      <c r="F80" s="140"/>
      <c r="G80" s="128"/>
      <c r="H80" s="128"/>
    </row>
    <row r="81" spans="2:8" ht="12" customHeight="1">
      <c r="C81" s="139"/>
      <c r="D81" s="139"/>
      <c r="E81" s="139"/>
      <c r="F81" s="140"/>
      <c r="G81" s="128"/>
      <c r="H81" s="128"/>
    </row>
    <row r="82" spans="2:8" ht="12" customHeight="1">
      <c r="B82" s="126"/>
      <c r="C82" s="128"/>
      <c r="D82" s="128"/>
      <c r="E82" s="128"/>
      <c r="F82" s="140"/>
      <c r="G82" s="128"/>
      <c r="H82" s="128"/>
    </row>
    <row r="83" spans="2:8" ht="12" customHeight="1">
      <c r="B83" s="141"/>
      <c r="C83" s="128"/>
      <c r="D83" s="128"/>
      <c r="E83" s="128"/>
      <c r="F83" s="140"/>
      <c r="G83" s="128"/>
      <c r="H83" s="128"/>
    </row>
    <row r="84" spans="2:8" ht="12" customHeight="1">
      <c r="B84" s="126"/>
      <c r="C84" s="128"/>
      <c r="D84" s="128"/>
      <c r="E84" s="128"/>
      <c r="F84" s="140"/>
      <c r="G84" s="128"/>
      <c r="H84" s="128"/>
    </row>
    <row r="85" spans="2:8" ht="12" customHeight="1">
      <c r="B85" s="126"/>
      <c r="E85" s="128"/>
      <c r="F85" s="140"/>
      <c r="G85" s="128"/>
      <c r="H85" s="128"/>
    </row>
    <row r="86" spans="2:8" ht="12" customHeight="1">
      <c r="B86" s="126"/>
      <c r="C86" s="139"/>
      <c r="D86" s="139"/>
      <c r="E86" s="128"/>
      <c r="F86" s="140"/>
      <c r="G86" s="128"/>
      <c r="H86" s="128"/>
    </row>
    <row r="87" spans="2:8" ht="12" customHeight="1">
      <c r="C87" s="128"/>
      <c r="D87" s="128"/>
      <c r="E87" s="128"/>
      <c r="F87" s="140"/>
      <c r="G87" s="128"/>
      <c r="H87" s="128"/>
    </row>
    <row r="90" spans="2:8" ht="12" customHeight="1">
      <c r="B90" s="112"/>
    </row>
    <row r="91" spans="2:8" ht="12" customHeight="1">
      <c r="B91" s="112"/>
    </row>
    <row r="92" spans="2:8" ht="12" customHeight="1">
      <c r="B92" s="112"/>
    </row>
    <row r="93" spans="2:8" ht="12" customHeight="1">
      <c r="B93" s="112"/>
    </row>
    <row r="94" spans="2:8" ht="12" customHeight="1">
      <c r="B94" s="112"/>
      <c r="C94" s="113"/>
      <c r="D94" s="113"/>
    </row>
    <row r="95" spans="2:8" ht="12" customHeight="1">
      <c r="B95" s="112"/>
    </row>
    <row r="96" spans="2:8" ht="12" customHeight="1">
      <c r="B96" s="112"/>
      <c r="C96" s="108"/>
      <c r="D96" s="108"/>
    </row>
    <row r="97" spans="2:4" ht="12" customHeight="1">
      <c r="B97" s="112"/>
      <c r="C97" s="113"/>
      <c r="D97" s="113"/>
    </row>
    <row r="98" spans="2:4" ht="12" customHeight="1">
      <c r="B98" s="146"/>
      <c r="C98" s="108"/>
      <c r="D98" s="108"/>
    </row>
    <row r="99" spans="2:4" ht="12" customHeight="1">
      <c r="B99" s="147"/>
    </row>
    <row r="100" spans="2:4" ht="12" customHeight="1">
      <c r="B100" s="147"/>
      <c r="C100" s="113"/>
      <c r="D100" s="113"/>
    </row>
    <row r="101" spans="2:4" ht="12" customHeight="1">
      <c r="B101" s="121"/>
    </row>
    <row r="102" spans="2:4" ht="12" customHeight="1">
      <c r="B102" s="147"/>
    </row>
    <row r="103" spans="2:4" ht="12" customHeight="1">
      <c r="B103" s="147"/>
      <c r="C103" s="113"/>
      <c r="D103" s="113"/>
    </row>
    <row r="104" spans="2:4" ht="12" customHeight="1">
      <c r="B104" s="121"/>
    </row>
    <row r="105" spans="2:4" ht="12" customHeight="1">
      <c r="B105" s="148"/>
      <c r="C105" s="108"/>
      <c r="D105" s="108"/>
    </row>
    <row r="106" spans="2:4" ht="12" customHeight="1">
      <c r="B106" s="148"/>
      <c r="C106" s="113"/>
      <c r="D106" s="113"/>
    </row>
    <row r="107" spans="2:4" ht="12" customHeight="1">
      <c r="B107" s="121"/>
      <c r="C107" s="108"/>
      <c r="D107" s="108"/>
    </row>
    <row r="108" spans="2:4" ht="12" customHeight="1">
      <c r="B108" s="148"/>
      <c r="C108" s="108"/>
      <c r="D108" s="108"/>
    </row>
    <row r="109" spans="2:4" ht="12" customHeight="1">
      <c r="B109" s="148"/>
    </row>
    <row r="110" spans="2:4" ht="12" customHeight="1">
      <c r="B110" s="121"/>
      <c r="C110" s="108"/>
      <c r="D110" s="108"/>
    </row>
    <row r="111" spans="2:4" ht="12" customHeight="1">
      <c r="B111" s="121"/>
      <c r="C111" s="108"/>
      <c r="D111" s="108"/>
    </row>
    <row r="112" spans="2:4" ht="12" customHeight="1">
      <c r="B112" s="148"/>
      <c r="C112" s="108"/>
      <c r="D112" s="108"/>
    </row>
    <row r="113" spans="2:4" ht="12" customHeight="1">
      <c r="B113" s="121"/>
      <c r="C113" s="108"/>
      <c r="D113" s="108"/>
    </row>
    <row r="114" spans="2:4" ht="12" customHeight="1">
      <c r="B114" s="121"/>
      <c r="C114" s="108"/>
      <c r="D114" s="108"/>
    </row>
    <row r="115" spans="2:4" ht="12" customHeight="1">
      <c r="B115" s="121"/>
      <c r="C115" s="108"/>
      <c r="D115" s="108"/>
    </row>
    <row r="116" spans="2:4" ht="12" customHeight="1">
      <c r="B116" s="121"/>
      <c r="C116" s="108"/>
      <c r="D116" s="108"/>
    </row>
    <row r="117" spans="2:4" ht="12" customHeight="1">
      <c r="B117" s="121"/>
      <c r="C117" s="108"/>
      <c r="D117" s="108"/>
    </row>
    <row r="118" spans="2:4" ht="12" customHeight="1">
      <c r="B118" s="121"/>
      <c r="C118" s="108"/>
      <c r="D118" s="108"/>
    </row>
    <row r="119" spans="2:4" ht="12" customHeight="1">
      <c r="B119" s="121"/>
      <c r="C119" s="108"/>
      <c r="D119" s="108"/>
    </row>
    <row r="120" spans="2:4" ht="12" customHeight="1">
      <c r="B120" s="121"/>
      <c r="C120" s="108"/>
      <c r="D120" s="108"/>
    </row>
    <row r="121" spans="2:4" ht="12" customHeight="1">
      <c r="B121" s="121"/>
      <c r="C121" s="108"/>
      <c r="D121" s="108"/>
    </row>
    <row r="122" spans="2:4" ht="12" customHeight="1">
      <c r="B122" s="121"/>
      <c r="C122" s="108"/>
      <c r="D122" s="108"/>
    </row>
    <row r="123" spans="2:4" ht="12" customHeight="1">
      <c r="B123" s="121"/>
      <c r="C123" s="108"/>
      <c r="D123" s="108"/>
    </row>
    <row r="124" spans="2:4" ht="12" customHeight="1">
      <c r="B124" s="121"/>
      <c r="C124" s="108"/>
      <c r="D124" s="108"/>
    </row>
    <row r="125" spans="2:4" ht="12" customHeight="1">
      <c r="B125" s="121"/>
      <c r="C125" s="108"/>
      <c r="D125" s="108"/>
    </row>
    <row r="126" spans="2:4" ht="12" customHeight="1">
      <c r="B126" s="121"/>
      <c r="C126" s="108"/>
      <c r="D126" s="108"/>
    </row>
    <row r="127" spans="2:4" ht="12" customHeight="1">
      <c r="B127" s="121"/>
      <c r="C127" s="108"/>
      <c r="D127" s="108"/>
    </row>
    <row r="128" spans="2:4" ht="12" customHeight="1">
      <c r="B128" s="121"/>
      <c r="C128" s="108"/>
      <c r="D128" s="108"/>
    </row>
    <row r="129" spans="2:4" ht="12" customHeight="1">
      <c r="B129" s="121"/>
      <c r="C129" s="108"/>
      <c r="D129" s="108"/>
    </row>
    <row r="130" spans="2:4" ht="12" customHeight="1">
      <c r="B130" s="121"/>
      <c r="C130" s="108"/>
      <c r="D130" s="108"/>
    </row>
    <row r="131" spans="2:4" ht="12" customHeight="1">
      <c r="B131" s="121"/>
      <c r="C131" s="108"/>
      <c r="D131" s="108"/>
    </row>
    <row r="132" spans="2:4" ht="12" customHeight="1">
      <c r="B132" s="121"/>
      <c r="C132" s="108"/>
      <c r="D132" s="108"/>
    </row>
    <row r="133" spans="2:4" ht="12" customHeight="1">
      <c r="B133" s="121"/>
      <c r="C133" s="108"/>
      <c r="D133" s="108"/>
    </row>
    <row r="134" spans="2:4" ht="12" customHeight="1">
      <c r="B134" s="121"/>
      <c r="C134" s="108"/>
      <c r="D134" s="108"/>
    </row>
    <row r="135" spans="2:4" ht="12" customHeight="1">
      <c r="B135" s="121"/>
      <c r="C135" s="108"/>
      <c r="D135" s="108"/>
    </row>
    <row r="136" spans="2:4" ht="12" customHeight="1">
      <c r="B136" s="121"/>
      <c r="C136" s="108"/>
      <c r="D136" s="108"/>
    </row>
    <row r="137" spans="2:4" ht="12" customHeight="1">
      <c r="B137" s="121"/>
      <c r="C137" s="108"/>
      <c r="D137" s="108"/>
    </row>
    <row r="138" spans="2:4" ht="12" customHeight="1">
      <c r="B138" s="121"/>
      <c r="C138" s="108"/>
      <c r="D138" s="108"/>
    </row>
    <row r="139" spans="2:4" ht="12" customHeight="1">
      <c r="B139" s="121"/>
      <c r="C139" s="108"/>
      <c r="D139" s="108"/>
    </row>
    <row r="140" spans="2:4" ht="12" customHeight="1">
      <c r="B140" s="121"/>
      <c r="C140" s="108"/>
      <c r="D140" s="108"/>
    </row>
    <row r="141" spans="2:4" ht="12" customHeight="1">
      <c r="B141" s="121"/>
      <c r="C141" s="108"/>
      <c r="D141" s="108"/>
    </row>
    <row r="142" spans="2:4" ht="12" customHeight="1">
      <c r="B142" s="121"/>
      <c r="C142" s="108"/>
      <c r="D142" s="108"/>
    </row>
    <row r="143" spans="2:4" ht="12" customHeight="1">
      <c r="B143" s="121"/>
      <c r="C143" s="108"/>
      <c r="D143" s="108"/>
    </row>
    <row r="144" spans="2:4" ht="12" customHeight="1">
      <c r="B144" s="121"/>
      <c r="C144" s="108"/>
      <c r="D144" s="108"/>
    </row>
    <row r="145" spans="2:4" ht="12" customHeight="1">
      <c r="B145" s="121"/>
      <c r="C145" s="108"/>
      <c r="D145" s="108"/>
    </row>
    <row r="146" spans="2:4" ht="12" customHeight="1">
      <c r="B146" s="121"/>
      <c r="C146" s="108"/>
      <c r="D146" s="108"/>
    </row>
    <row r="147" spans="2:4" ht="12" customHeight="1">
      <c r="B147" s="121"/>
      <c r="C147" s="108"/>
      <c r="D147" s="108"/>
    </row>
    <row r="148" spans="2:4" ht="12" customHeight="1">
      <c r="B148" s="121"/>
      <c r="C148" s="108"/>
      <c r="D148" s="108"/>
    </row>
    <row r="149" spans="2:4" ht="12" customHeight="1">
      <c r="B149" s="121"/>
      <c r="C149" s="108"/>
      <c r="D149" s="108"/>
    </row>
    <row r="150" spans="2:4" ht="12" customHeight="1">
      <c r="B150" s="121"/>
      <c r="C150" s="108"/>
      <c r="D150" s="108"/>
    </row>
    <row r="151" spans="2:4" ht="12" customHeight="1">
      <c r="B151" s="121"/>
      <c r="C151" s="108"/>
      <c r="D151" s="108"/>
    </row>
    <row r="152" spans="2:4" ht="12" customHeight="1">
      <c r="B152" s="121"/>
      <c r="C152" s="108"/>
      <c r="D152" s="108"/>
    </row>
    <row r="153" spans="2:4" ht="12" customHeight="1">
      <c r="B153" s="121"/>
      <c r="C153" s="108"/>
      <c r="D153" s="108"/>
    </row>
    <row r="154" spans="2:4" ht="12" customHeight="1">
      <c r="B154" s="121"/>
      <c r="C154" s="108"/>
      <c r="D154" s="108"/>
    </row>
    <row r="155" spans="2:4" ht="12" customHeight="1">
      <c r="B155" s="121"/>
      <c r="C155" s="108"/>
      <c r="D155" s="108"/>
    </row>
    <row r="156" spans="2:4" ht="12" customHeight="1">
      <c r="B156" s="121"/>
      <c r="C156" s="108"/>
      <c r="D156" s="108"/>
    </row>
    <row r="157" spans="2:4" ht="12" customHeight="1">
      <c r="B157" s="121"/>
      <c r="C157" s="108"/>
      <c r="D157" s="108"/>
    </row>
    <row r="158" spans="2:4" ht="12" customHeight="1">
      <c r="B158" s="121"/>
      <c r="C158" s="108"/>
      <c r="D158" s="108"/>
    </row>
    <row r="159" spans="2:4" ht="12" customHeight="1">
      <c r="B159" s="121"/>
      <c r="C159" s="108"/>
      <c r="D159" s="108"/>
    </row>
    <row r="160" spans="2:4" ht="12" customHeight="1">
      <c r="B160" s="121"/>
      <c r="C160" s="108"/>
      <c r="D160" s="108"/>
    </row>
    <row r="161" spans="2:4" ht="12" customHeight="1">
      <c r="B161" s="121"/>
      <c r="C161" s="108"/>
      <c r="D161" s="108"/>
    </row>
    <row r="162" spans="2:4" ht="12" customHeight="1">
      <c r="B162" s="121"/>
      <c r="C162" s="108"/>
      <c r="D162" s="108"/>
    </row>
    <row r="163" spans="2:4" ht="12" customHeight="1">
      <c r="B163" s="121"/>
      <c r="C163" s="108"/>
      <c r="D163" s="108"/>
    </row>
    <row r="164" spans="2:4" ht="12" customHeight="1">
      <c r="B164" s="121"/>
      <c r="C164" s="108"/>
      <c r="D164" s="108"/>
    </row>
    <row r="165" spans="2:4" ht="12" customHeight="1">
      <c r="B165" s="121"/>
      <c r="C165" s="108"/>
      <c r="D165" s="108"/>
    </row>
    <row r="166" spans="2:4" ht="12" customHeight="1">
      <c r="B166" s="121"/>
      <c r="C166" s="108"/>
      <c r="D166" s="108"/>
    </row>
    <row r="167" spans="2:4" ht="12" customHeight="1">
      <c r="B167" s="121"/>
      <c r="C167" s="108"/>
      <c r="D167" s="108"/>
    </row>
    <row r="168" spans="2:4" ht="12" customHeight="1">
      <c r="B168" s="121"/>
      <c r="C168" s="108"/>
      <c r="D168" s="108"/>
    </row>
    <row r="169" spans="2:4" ht="12" customHeight="1">
      <c r="B169" s="121"/>
      <c r="C169" s="108"/>
      <c r="D169" s="108"/>
    </row>
    <row r="170" spans="2:4" ht="12" customHeight="1">
      <c r="B170" s="121"/>
      <c r="C170" s="108"/>
      <c r="D170" s="108"/>
    </row>
    <row r="171" spans="2:4" ht="12" customHeight="1">
      <c r="B171" s="121"/>
      <c r="C171" s="108"/>
      <c r="D171" s="108"/>
    </row>
    <row r="172" spans="2:4" ht="12" customHeight="1">
      <c r="B172" s="121"/>
      <c r="C172" s="108"/>
      <c r="D172" s="108"/>
    </row>
    <row r="173" spans="2:4" ht="12" customHeight="1">
      <c r="B173" s="121"/>
      <c r="C173" s="108"/>
      <c r="D173" s="108"/>
    </row>
    <row r="174" spans="2:4" ht="12" customHeight="1">
      <c r="B174" s="121"/>
      <c r="C174" s="108"/>
      <c r="D174" s="108"/>
    </row>
    <row r="175" spans="2:4" ht="12" customHeight="1">
      <c r="B175" s="121"/>
      <c r="C175" s="108"/>
      <c r="D175" s="108"/>
    </row>
    <row r="176" spans="2:4" ht="12" customHeight="1">
      <c r="B176" s="121"/>
      <c r="C176" s="108"/>
      <c r="D176" s="108"/>
    </row>
    <row r="177" spans="2:4" ht="12" customHeight="1">
      <c r="B177" s="121"/>
      <c r="C177" s="108"/>
      <c r="D177" s="108"/>
    </row>
    <row r="178" spans="2:4" ht="12" customHeight="1">
      <c r="B178" s="121"/>
      <c r="C178" s="108"/>
      <c r="D178" s="108"/>
    </row>
    <row r="179" spans="2:4" ht="12" customHeight="1">
      <c r="B179" s="121"/>
      <c r="C179" s="108"/>
      <c r="D179" s="108"/>
    </row>
    <row r="180" spans="2:4" ht="12" customHeight="1">
      <c r="B180" s="121"/>
      <c r="C180" s="108"/>
      <c r="D180" s="108"/>
    </row>
    <row r="181" spans="2:4" ht="12" customHeight="1">
      <c r="B181" s="121"/>
      <c r="C181" s="108"/>
      <c r="D181" s="108"/>
    </row>
    <row r="182" spans="2:4" ht="12" customHeight="1">
      <c r="B182" s="121"/>
      <c r="C182" s="108"/>
      <c r="D182" s="108"/>
    </row>
    <row r="183" spans="2:4" ht="12" customHeight="1">
      <c r="B183" s="121"/>
      <c r="C183" s="108"/>
      <c r="D183" s="108"/>
    </row>
    <row r="184" spans="2:4" ht="12" customHeight="1">
      <c r="B184" s="121"/>
      <c r="C184" s="108"/>
      <c r="D184" s="108"/>
    </row>
    <row r="185" spans="2:4" ht="12" customHeight="1">
      <c r="B185" s="121"/>
      <c r="C185" s="108"/>
      <c r="D185" s="108"/>
    </row>
    <row r="186" spans="2:4" ht="12" customHeight="1">
      <c r="B186" s="121"/>
      <c r="C186" s="108"/>
      <c r="D186" s="108"/>
    </row>
    <row r="187" spans="2:4" ht="12" customHeight="1">
      <c r="B187" s="121"/>
      <c r="C187" s="108"/>
      <c r="D187" s="108"/>
    </row>
    <row r="188" spans="2:4" ht="12" customHeight="1">
      <c r="B188" s="121"/>
      <c r="C188" s="108"/>
      <c r="D188" s="108"/>
    </row>
    <row r="189" spans="2:4" ht="12" customHeight="1">
      <c r="B189" s="121"/>
      <c r="C189" s="108"/>
      <c r="D189" s="108"/>
    </row>
    <row r="190" spans="2:4" ht="12" customHeight="1">
      <c r="B190" s="121"/>
      <c r="C190" s="108"/>
      <c r="D190" s="108"/>
    </row>
    <row r="191" spans="2:4" ht="12" customHeight="1">
      <c r="B191" s="121"/>
      <c r="C191" s="108"/>
      <c r="D191" s="108"/>
    </row>
    <row r="192" spans="2:4" ht="12" customHeight="1">
      <c r="B192" s="121"/>
      <c r="C192" s="108"/>
      <c r="D192" s="108"/>
    </row>
    <row r="193" spans="2:4" ht="12" customHeight="1">
      <c r="B193" s="121"/>
      <c r="C193" s="108"/>
      <c r="D193" s="108"/>
    </row>
    <row r="194" spans="2:4" ht="12" customHeight="1">
      <c r="B194" s="121"/>
      <c r="C194" s="108"/>
      <c r="D194" s="108"/>
    </row>
    <row r="195" spans="2:4" ht="12" customHeight="1">
      <c r="B195" s="121"/>
      <c r="C195" s="108"/>
      <c r="D195" s="108"/>
    </row>
    <row r="196" spans="2:4" ht="12" customHeight="1">
      <c r="B196" s="121"/>
      <c r="C196" s="108"/>
      <c r="D196" s="108"/>
    </row>
    <row r="197" spans="2:4" ht="12" customHeight="1">
      <c r="B197" s="121"/>
      <c r="C197" s="108"/>
      <c r="D197" s="108"/>
    </row>
    <row r="198" spans="2:4" ht="12" customHeight="1">
      <c r="B198" s="121"/>
      <c r="C198" s="108"/>
      <c r="D198" s="108"/>
    </row>
    <row r="199" spans="2:4" ht="12" customHeight="1">
      <c r="B199" s="121"/>
      <c r="C199" s="108"/>
      <c r="D199" s="108"/>
    </row>
    <row r="200" spans="2:4" ht="12" customHeight="1">
      <c r="B200" s="121"/>
      <c r="C200" s="108"/>
      <c r="D200" s="108"/>
    </row>
    <row r="201" spans="2:4" ht="12" customHeight="1">
      <c r="B201" s="121"/>
      <c r="C201" s="108"/>
      <c r="D201" s="108"/>
    </row>
    <row r="202" spans="2:4" ht="12" customHeight="1">
      <c r="B202" s="121"/>
      <c r="C202" s="108"/>
      <c r="D202" s="108"/>
    </row>
    <row r="203" spans="2:4" ht="12" customHeight="1">
      <c r="B203" s="121"/>
      <c r="C203" s="108"/>
      <c r="D203" s="108"/>
    </row>
    <row r="204" spans="2:4" ht="12" customHeight="1">
      <c r="B204" s="121"/>
      <c r="C204" s="108"/>
      <c r="D204" s="108"/>
    </row>
    <row r="205" spans="2:4" ht="12" customHeight="1">
      <c r="B205" s="121"/>
      <c r="C205" s="108"/>
      <c r="D205" s="108"/>
    </row>
    <row r="206" spans="2:4" ht="12" customHeight="1">
      <c r="B206" s="121"/>
      <c r="C206" s="108"/>
      <c r="D206" s="108"/>
    </row>
    <row r="207" spans="2:4" ht="12" customHeight="1">
      <c r="B207" s="121"/>
      <c r="C207" s="108"/>
      <c r="D207" s="108"/>
    </row>
    <row r="208" spans="2:4" ht="12" customHeight="1">
      <c r="B208" s="121"/>
      <c r="C208" s="108"/>
      <c r="D208" s="108"/>
    </row>
    <row r="209" spans="2:4" ht="12" customHeight="1">
      <c r="B209" s="121"/>
      <c r="C209" s="108"/>
      <c r="D209" s="108"/>
    </row>
    <row r="210" spans="2:4" ht="12" customHeight="1">
      <c r="B210" s="121"/>
      <c r="C210" s="108"/>
      <c r="D210" s="108"/>
    </row>
    <row r="211" spans="2:4" ht="12" customHeight="1">
      <c r="B211" s="121"/>
      <c r="C211" s="108"/>
      <c r="D211" s="108"/>
    </row>
    <row r="212" spans="2:4" ht="12" customHeight="1">
      <c r="B212" s="121"/>
      <c r="C212" s="108"/>
      <c r="D212" s="108"/>
    </row>
    <row r="213" spans="2:4" ht="12" customHeight="1">
      <c r="B213" s="121"/>
      <c r="C213" s="108"/>
      <c r="D213" s="108"/>
    </row>
    <row r="214" spans="2:4" ht="12" customHeight="1">
      <c r="B214" s="121"/>
      <c r="C214" s="108"/>
      <c r="D214" s="108"/>
    </row>
    <row r="215" spans="2:4" ht="12" customHeight="1">
      <c r="B215" s="121"/>
      <c r="C215" s="108"/>
      <c r="D215" s="108"/>
    </row>
    <row r="216" spans="2:4" ht="12" customHeight="1">
      <c r="B216" s="121"/>
      <c r="C216" s="108"/>
      <c r="D216" s="108"/>
    </row>
    <row r="217" spans="2:4" ht="12" customHeight="1">
      <c r="B217" s="121"/>
      <c r="C217" s="108"/>
      <c r="D217" s="108"/>
    </row>
    <row r="218" spans="2:4" ht="12" customHeight="1">
      <c r="B218" s="121"/>
      <c r="C218" s="108"/>
      <c r="D218" s="108"/>
    </row>
    <row r="219" spans="2:4" ht="12" customHeight="1">
      <c r="B219" s="121"/>
      <c r="C219" s="108"/>
      <c r="D219" s="108"/>
    </row>
    <row r="220" spans="2:4" ht="12" customHeight="1">
      <c r="B220" s="121"/>
      <c r="C220" s="108"/>
      <c r="D220" s="108"/>
    </row>
    <row r="221" spans="2:4" ht="12" customHeight="1">
      <c r="B221" s="121"/>
      <c r="C221" s="108"/>
      <c r="D221" s="108"/>
    </row>
    <row r="222" spans="2:4" ht="12" customHeight="1">
      <c r="B222" s="121"/>
      <c r="C222" s="108"/>
      <c r="D222" s="108"/>
    </row>
    <row r="223" spans="2:4" ht="12" customHeight="1">
      <c r="B223" s="121"/>
      <c r="C223" s="108"/>
      <c r="D223" s="108"/>
    </row>
    <row r="224" spans="2:4" ht="12" customHeight="1">
      <c r="B224" s="121"/>
      <c r="C224" s="108"/>
      <c r="D224" s="108"/>
    </row>
    <row r="225" spans="2:4" ht="12" customHeight="1">
      <c r="B225" s="121"/>
      <c r="C225" s="108"/>
      <c r="D225" s="108"/>
    </row>
    <row r="226" spans="2:4" ht="12" customHeight="1">
      <c r="B226" s="121"/>
      <c r="C226" s="108"/>
      <c r="D226" s="108"/>
    </row>
    <row r="227" spans="2:4" ht="12" customHeight="1">
      <c r="B227" s="121"/>
      <c r="C227" s="108"/>
      <c r="D227" s="108"/>
    </row>
    <row r="228" spans="2:4" ht="12" customHeight="1">
      <c r="B228" s="121"/>
      <c r="C228" s="108"/>
      <c r="D228" s="108"/>
    </row>
    <row r="229" spans="2:4" ht="12" customHeight="1">
      <c r="B229" s="121"/>
      <c r="C229" s="108"/>
      <c r="D229" s="108"/>
    </row>
    <row r="230" spans="2:4" ht="12" customHeight="1">
      <c r="B230" s="121"/>
      <c r="C230" s="108"/>
      <c r="D230" s="108"/>
    </row>
    <row r="231" spans="2:4" ht="12" customHeight="1">
      <c r="B231" s="121"/>
      <c r="C231" s="108"/>
      <c r="D231" s="108"/>
    </row>
    <row r="232" spans="2:4" ht="12" customHeight="1">
      <c r="B232" s="121"/>
      <c r="C232" s="108"/>
      <c r="D232" s="108"/>
    </row>
    <row r="233" spans="2:4" ht="12" customHeight="1">
      <c r="B233" s="121"/>
      <c r="C233" s="108"/>
      <c r="D233" s="108"/>
    </row>
    <row r="234" spans="2:4" ht="12" customHeight="1">
      <c r="B234" s="121"/>
      <c r="C234" s="108"/>
      <c r="D234" s="108"/>
    </row>
    <row r="235" spans="2:4" ht="12" customHeight="1">
      <c r="B235" s="121"/>
      <c r="C235" s="108"/>
      <c r="D235" s="108"/>
    </row>
    <row r="236" spans="2:4" ht="12" customHeight="1">
      <c r="B236" s="121"/>
      <c r="C236" s="108"/>
      <c r="D236" s="108"/>
    </row>
    <row r="237" spans="2:4" ht="12" customHeight="1">
      <c r="B237" s="121"/>
      <c r="C237" s="108"/>
      <c r="D237" s="108"/>
    </row>
    <row r="238" spans="2:4" ht="12" customHeight="1">
      <c r="B238" s="121"/>
      <c r="C238" s="108"/>
      <c r="D238" s="108"/>
    </row>
    <row r="239" spans="2:4" ht="12" customHeight="1">
      <c r="B239" s="121"/>
      <c r="C239" s="108"/>
      <c r="D239" s="108"/>
    </row>
    <row r="240" spans="2:4" ht="12" customHeight="1">
      <c r="B240" s="121"/>
      <c r="C240" s="108"/>
      <c r="D240" s="108"/>
    </row>
    <row r="241" spans="2:4" ht="12" customHeight="1">
      <c r="B241" s="121"/>
      <c r="C241" s="108"/>
      <c r="D241" s="108"/>
    </row>
    <row r="242" spans="2:4" ht="12" customHeight="1">
      <c r="B242" s="121"/>
      <c r="C242" s="108"/>
      <c r="D242" s="108"/>
    </row>
    <row r="243" spans="2:4" ht="12" customHeight="1">
      <c r="B243" s="121"/>
      <c r="C243" s="108"/>
      <c r="D243" s="108"/>
    </row>
    <row r="244" spans="2:4" ht="12" customHeight="1">
      <c r="B244" s="121"/>
      <c r="C244" s="108"/>
      <c r="D244" s="108"/>
    </row>
    <row r="245" spans="2:4" ht="12" customHeight="1">
      <c r="B245" s="121"/>
      <c r="C245" s="108"/>
      <c r="D245" s="108"/>
    </row>
    <row r="246" spans="2:4" ht="12" customHeight="1">
      <c r="B246" s="121"/>
      <c r="C246" s="108"/>
      <c r="D246" s="108"/>
    </row>
    <row r="247" spans="2:4" ht="12" customHeight="1">
      <c r="B247" s="121"/>
      <c r="C247" s="108"/>
      <c r="D247" s="108"/>
    </row>
    <row r="248" spans="2:4" ht="12" customHeight="1">
      <c r="B248" s="121"/>
      <c r="C248" s="108"/>
      <c r="D248" s="108"/>
    </row>
    <row r="249" spans="2:4" ht="12" customHeight="1">
      <c r="B249" s="121"/>
      <c r="C249" s="108"/>
      <c r="D249" s="108"/>
    </row>
    <row r="250" spans="2:4" ht="12" customHeight="1">
      <c r="B250" s="121"/>
      <c r="C250" s="108"/>
      <c r="D250" s="108"/>
    </row>
    <row r="251" spans="2:4" ht="12" customHeight="1">
      <c r="B251" s="121"/>
      <c r="C251" s="108"/>
      <c r="D251" s="108"/>
    </row>
    <row r="252" spans="2:4" ht="12" customHeight="1">
      <c r="B252" s="121"/>
      <c r="C252" s="108"/>
      <c r="D252" s="108"/>
    </row>
    <row r="253" spans="2:4" ht="12" customHeight="1">
      <c r="B253" s="121"/>
      <c r="C253" s="108"/>
      <c r="D253" s="108"/>
    </row>
    <row r="254" spans="2:4" ht="12" customHeight="1">
      <c r="B254" s="121"/>
      <c r="C254" s="108"/>
      <c r="D254" s="108"/>
    </row>
    <row r="255" spans="2:4" ht="12" customHeight="1">
      <c r="B255" s="121"/>
      <c r="C255" s="108"/>
      <c r="D255" s="108"/>
    </row>
    <row r="256" spans="2:4" ht="12" customHeight="1">
      <c r="B256" s="121"/>
      <c r="C256" s="108"/>
      <c r="D256" s="108"/>
    </row>
    <row r="257" spans="2:4" ht="12" customHeight="1">
      <c r="B257" s="121"/>
      <c r="C257" s="108"/>
      <c r="D257" s="108"/>
    </row>
    <row r="258" spans="2:4" ht="12" customHeight="1">
      <c r="B258" s="121"/>
      <c r="C258" s="108"/>
      <c r="D258" s="108"/>
    </row>
    <row r="259" spans="2:4" ht="12" customHeight="1">
      <c r="B259" s="121"/>
      <c r="C259" s="108"/>
      <c r="D259" s="108"/>
    </row>
    <row r="260" spans="2:4" ht="12" customHeight="1">
      <c r="B260" s="121"/>
      <c r="C260" s="108"/>
      <c r="D260" s="108"/>
    </row>
    <row r="261" spans="2:4" ht="12" customHeight="1">
      <c r="B261" s="121"/>
      <c r="C261" s="108"/>
      <c r="D261" s="108"/>
    </row>
    <row r="262" spans="2:4" ht="12" customHeight="1">
      <c r="B262" s="121"/>
      <c r="C262" s="108"/>
      <c r="D262" s="108"/>
    </row>
    <row r="263" spans="2:4" ht="12" customHeight="1">
      <c r="B263" s="121"/>
      <c r="C263" s="108"/>
      <c r="D263" s="108"/>
    </row>
    <row r="264" spans="2:4" ht="12" customHeight="1">
      <c r="B264" s="121"/>
      <c r="C264" s="108"/>
      <c r="D264" s="108"/>
    </row>
    <row r="265" spans="2:4" ht="12" customHeight="1">
      <c r="B265" s="121"/>
      <c r="C265" s="108"/>
      <c r="D265" s="108"/>
    </row>
    <row r="266" spans="2:4" ht="12" customHeight="1">
      <c r="B266" s="121"/>
      <c r="C266" s="108"/>
      <c r="D266" s="108"/>
    </row>
    <row r="267" spans="2:4" ht="12" customHeight="1">
      <c r="B267" s="121"/>
      <c r="C267" s="108"/>
      <c r="D267" s="108"/>
    </row>
    <row r="268" spans="2:4" ht="12" customHeight="1">
      <c r="B268" s="121"/>
      <c r="C268" s="108"/>
      <c r="D268" s="108"/>
    </row>
    <row r="269" spans="2:4" ht="12" customHeight="1">
      <c r="B269" s="121"/>
      <c r="C269" s="108"/>
      <c r="D269" s="108"/>
    </row>
    <row r="270" spans="2:4" ht="12" customHeight="1">
      <c r="B270" s="121"/>
      <c r="C270" s="108"/>
      <c r="D270" s="108"/>
    </row>
    <row r="271" spans="2:4" ht="12" customHeight="1">
      <c r="B271" s="121"/>
      <c r="C271" s="108"/>
      <c r="D271" s="108"/>
    </row>
    <row r="272" spans="2:4" ht="12" customHeight="1">
      <c r="B272" s="121"/>
      <c r="C272" s="108"/>
      <c r="D272" s="108"/>
    </row>
    <row r="273" spans="2:4" ht="12" customHeight="1">
      <c r="B273" s="121"/>
      <c r="C273" s="108"/>
      <c r="D273" s="108"/>
    </row>
    <row r="274" spans="2:4" ht="12" customHeight="1">
      <c r="B274" s="121"/>
      <c r="C274" s="108"/>
      <c r="D274" s="108"/>
    </row>
    <row r="275" spans="2:4" ht="12" customHeight="1">
      <c r="B275" s="121"/>
      <c r="C275" s="108"/>
      <c r="D275" s="108"/>
    </row>
    <row r="276" spans="2:4" ht="12" customHeight="1">
      <c r="B276" s="121"/>
      <c r="C276" s="108"/>
      <c r="D276" s="108"/>
    </row>
    <row r="277" spans="2:4" ht="12" customHeight="1">
      <c r="B277" s="121"/>
      <c r="C277" s="108"/>
      <c r="D277" s="108"/>
    </row>
    <row r="278" spans="2:4" ht="12" customHeight="1">
      <c r="B278" s="121"/>
      <c r="C278" s="108"/>
      <c r="D278" s="108"/>
    </row>
    <row r="279" spans="2:4" ht="12" customHeight="1">
      <c r="B279" s="121"/>
      <c r="C279" s="108"/>
      <c r="D279" s="108"/>
    </row>
    <row r="280" spans="2:4" ht="12" customHeight="1">
      <c r="B280" s="121"/>
      <c r="C280" s="108"/>
      <c r="D280" s="108"/>
    </row>
    <row r="281" spans="2:4" ht="12" customHeight="1">
      <c r="B281" s="121"/>
      <c r="C281" s="108"/>
      <c r="D281" s="108"/>
    </row>
    <row r="282" spans="2:4" ht="12" customHeight="1">
      <c r="B282" s="121"/>
      <c r="C282" s="108"/>
      <c r="D282" s="108"/>
    </row>
    <row r="283" spans="2:4" ht="12" customHeight="1">
      <c r="B283" s="121"/>
      <c r="C283" s="108"/>
      <c r="D283" s="108"/>
    </row>
    <row r="284" spans="2:4" ht="12" customHeight="1">
      <c r="B284" s="121"/>
      <c r="C284" s="108"/>
      <c r="D284" s="108"/>
    </row>
    <row r="285" spans="2:4" ht="12" customHeight="1">
      <c r="B285" s="121"/>
      <c r="C285" s="108"/>
      <c r="D285" s="108"/>
    </row>
    <row r="286" spans="2:4" ht="12" customHeight="1">
      <c r="B286" s="121"/>
      <c r="C286" s="108"/>
      <c r="D286" s="108"/>
    </row>
    <row r="287" spans="2:4" ht="12" customHeight="1">
      <c r="B287" s="121"/>
      <c r="C287" s="108"/>
      <c r="D287" s="108"/>
    </row>
    <row r="288" spans="2:4" ht="12" customHeight="1">
      <c r="B288" s="121"/>
      <c r="C288" s="108"/>
      <c r="D288" s="108"/>
    </row>
    <row r="289" spans="2:4" ht="12" customHeight="1">
      <c r="B289" s="121"/>
      <c r="C289" s="108"/>
      <c r="D289" s="108"/>
    </row>
    <row r="290" spans="2:4" ht="12" customHeight="1">
      <c r="B290" s="121"/>
      <c r="C290" s="108"/>
      <c r="D290" s="108"/>
    </row>
    <row r="291" spans="2:4" ht="12" customHeight="1">
      <c r="B291" s="121"/>
      <c r="C291" s="108"/>
      <c r="D291" s="108"/>
    </row>
    <row r="292" spans="2:4" ht="12" customHeight="1">
      <c r="B292" s="121"/>
      <c r="C292" s="108"/>
      <c r="D292" s="108"/>
    </row>
    <row r="293" spans="2:4" ht="12" customHeight="1">
      <c r="B293" s="121"/>
      <c r="C293" s="108"/>
      <c r="D293" s="108"/>
    </row>
    <row r="294" spans="2:4" ht="12" customHeight="1">
      <c r="B294" s="121"/>
      <c r="C294" s="108"/>
      <c r="D294" s="108"/>
    </row>
    <row r="295" spans="2:4" ht="12" customHeight="1">
      <c r="B295" s="121"/>
      <c r="C295" s="108"/>
      <c r="D295" s="108"/>
    </row>
    <row r="296" spans="2:4" ht="12" customHeight="1">
      <c r="B296" s="121"/>
      <c r="C296" s="108"/>
      <c r="D296" s="108"/>
    </row>
    <row r="297" spans="2:4" ht="12" customHeight="1">
      <c r="B297" s="121"/>
      <c r="C297" s="108"/>
      <c r="D297" s="108"/>
    </row>
    <row r="298" spans="2:4" ht="12" customHeight="1">
      <c r="B298" s="121"/>
      <c r="C298" s="108"/>
      <c r="D298" s="108"/>
    </row>
    <row r="299" spans="2:4" ht="12" customHeight="1">
      <c r="B299" s="121"/>
      <c r="C299" s="108"/>
      <c r="D299" s="108"/>
    </row>
    <row r="300" spans="2:4" ht="12" customHeight="1">
      <c r="B300" s="121"/>
      <c r="C300" s="108"/>
      <c r="D300" s="108"/>
    </row>
    <row r="301" spans="2:4" ht="12" customHeight="1">
      <c r="B301" s="121"/>
      <c r="C301" s="108"/>
      <c r="D301" s="108"/>
    </row>
    <row r="302" spans="2:4" ht="12" customHeight="1">
      <c r="B302" s="121"/>
      <c r="C302" s="108"/>
      <c r="D302" s="108"/>
    </row>
    <row r="303" spans="2:4" ht="12" customHeight="1">
      <c r="B303" s="121"/>
      <c r="C303" s="108"/>
      <c r="D303" s="108"/>
    </row>
    <row r="304" spans="2:4" ht="12" customHeight="1">
      <c r="B304" s="121"/>
      <c r="C304" s="108"/>
      <c r="D304" s="108"/>
    </row>
    <row r="305" spans="2:4" ht="12" customHeight="1">
      <c r="B305" s="121"/>
      <c r="C305" s="108"/>
      <c r="D305" s="108"/>
    </row>
    <row r="306" spans="2:4" ht="12" customHeight="1">
      <c r="B306" s="121"/>
      <c r="C306" s="108"/>
      <c r="D306" s="108"/>
    </row>
    <row r="307" spans="2:4" ht="12" customHeight="1">
      <c r="B307" s="121"/>
      <c r="C307" s="108"/>
      <c r="D307" s="108"/>
    </row>
    <row r="308" spans="2:4" ht="12" customHeight="1">
      <c r="B308" s="121"/>
      <c r="C308" s="108"/>
      <c r="D308" s="108"/>
    </row>
    <row r="309" spans="2:4" ht="12" customHeight="1">
      <c r="B309" s="121"/>
      <c r="C309" s="108"/>
      <c r="D309" s="108"/>
    </row>
    <row r="310" spans="2:4" ht="12" customHeight="1">
      <c r="B310" s="121"/>
      <c r="C310" s="108"/>
      <c r="D310" s="108"/>
    </row>
    <row r="311" spans="2:4" ht="12" customHeight="1">
      <c r="B311" s="121"/>
      <c r="C311" s="108"/>
      <c r="D311" s="108"/>
    </row>
    <row r="312" spans="2:4" ht="12" customHeight="1">
      <c r="B312" s="121"/>
      <c r="C312" s="108"/>
      <c r="D312" s="108"/>
    </row>
    <row r="313" spans="2:4" ht="12" customHeight="1">
      <c r="B313" s="121"/>
      <c r="C313" s="108"/>
      <c r="D313" s="108"/>
    </row>
    <row r="314" spans="2:4" ht="12" customHeight="1">
      <c r="B314" s="121"/>
      <c r="C314" s="108"/>
      <c r="D314" s="108"/>
    </row>
    <row r="315" spans="2:4" ht="12" customHeight="1">
      <c r="B315" s="121"/>
      <c r="C315" s="108"/>
      <c r="D315" s="108"/>
    </row>
    <row r="316" spans="2:4" ht="12" customHeight="1">
      <c r="B316" s="121"/>
      <c r="C316" s="108"/>
      <c r="D316" s="108"/>
    </row>
    <row r="317" spans="2:4" ht="12" customHeight="1">
      <c r="B317" s="121"/>
      <c r="C317" s="108"/>
      <c r="D317" s="108"/>
    </row>
    <row r="318" spans="2:4" ht="12" customHeight="1">
      <c r="B318" s="121"/>
      <c r="C318" s="108"/>
      <c r="D318" s="108"/>
    </row>
    <row r="319" spans="2:4" ht="12" customHeight="1">
      <c r="B319" s="121"/>
      <c r="C319" s="108"/>
      <c r="D319" s="108"/>
    </row>
    <row r="320" spans="2:4" ht="12" customHeight="1">
      <c r="B320" s="121"/>
      <c r="C320" s="108"/>
      <c r="D320" s="108"/>
    </row>
    <row r="321" spans="2:4" ht="12" customHeight="1">
      <c r="B321" s="121"/>
      <c r="C321" s="108"/>
      <c r="D321" s="108"/>
    </row>
    <row r="322" spans="2:4" ht="12" customHeight="1">
      <c r="B322" s="121"/>
      <c r="C322" s="108"/>
      <c r="D322" s="108"/>
    </row>
    <row r="323" spans="2:4" ht="12" customHeight="1">
      <c r="B323" s="121"/>
      <c r="C323" s="108"/>
      <c r="D323" s="108"/>
    </row>
    <row r="324" spans="2:4" ht="12" customHeight="1">
      <c r="B324" s="121"/>
      <c r="C324" s="108"/>
      <c r="D324" s="108"/>
    </row>
    <row r="325" spans="2:4" ht="12" customHeight="1">
      <c r="B325" s="121"/>
      <c r="C325" s="108"/>
      <c r="D325" s="108"/>
    </row>
    <row r="326" spans="2:4" ht="12" customHeight="1">
      <c r="B326" s="121"/>
      <c r="C326" s="108"/>
      <c r="D326" s="108"/>
    </row>
    <row r="327" spans="2:4" ht="12" customHeight="1">
      <c r="B327" s="121"/>
      <c r="C327" s="108"/>
      <c r="D327" s="108"/>
    </row>
    <row r="328" spans="2:4" ht="12" customHeight="1">
      <c r="B328" s="121"/>
      <c r="C328" s="108"/>
      <c r="D328" s="108"/>
    </row>
    <row r="329" spans="2:4" ht="12" customHeight="1">
      <c r="B329" s="121"/>
      <c r="C329" s="108"/>
      <c r="D329" s="108"/>
    </row>
    <row r="330" spans="2:4" ht="12" customHeight="1">
      <c r="B330" s="121"/>
      <c r="C330" s="108"/>
      <c r="D330" s="108"/>
    </row>
    <row r="331" spans="2:4" ht="12" customHeight="1">
      <c r="B331" s="121"/>
      <c r="C331" s="108"/>
      <c r="D331" s="108"/>
    </row>
    <row r="332" spans="2:4" ht="12" customHeight="1">
      <c r="B332" s="121"/>
      <c r="C332" s="108"/>
      <c r="D332" s="108"/>
    </row>
    <row r="333" spans="2:4" ht="12" customHeight="1">
      <c r="B333" s="121"/>
      <c r="C333" s="108"/>
      <c r="D333" s="108"/>
    </row>
    <row r="334" spans="2:4" ht="12" customHeight="1">
      <c r="B334" s="121"/>
      <c r="C334" s="108"/>
      <c r="D334" s="108"/>
    </row>
    <row r="335" spans="2:4" ht="12" customHeight="1">
      <c r="B335" s="121"/>
      <c r="C335" s="108"/>
      <c r="D335" s="108"/>
    </row>
    <row r="336" spans="2:4" ht="12" customHeight="1">
      <c r="B336" s="121"/>
      <c r="C336" s="108"/>
      <c r="D336" s="108"/>
    </row>
    <row r="337" spans="2:4" ht="12" customHeight="1">
      <c r="B337" s="121"/>
      <c r="C337" s="108"/>
      <c r="D337" s="108"/>
    </row>
    <row r="338" spans="2:4" ht="12" customHeight="1">
      <c r="B338" s="121"/>
      <c r="C338" s="108"/>
      <c r="D338" s="108"/>
    </row>
  </sheetData>
  <sortState ref="A3:BH13">
    <sortCondition ref="A13"/>
  </sortState>
  <phoneticPr fontId="0" type="noConversion"/>
  <conditionalFormatting sqref="C50:X60 C22:X32">
    <cfRule type="cellIs" dxfId="69" priority="29" stopIfTrue="1" operator="equal">
      <formula>0</formula>
    </cfRule>
  </conditionalFormatting>
  <conditionalFormatting sqref="C37:X47">
    <cfRule type="cellIs" priority="4" stopIfTrue="1" operator="equal">
      <formula>0</formula>
    </cfRule>
  </conditionalFormatting>
  <conditionalFormatting sqref="AC50:AY60">
    <cfRule type="cellIs" dxfId="68" priority="3" operator="equal">
      <formula>1</formula>
    </cfRule>
  </conditionalFormatting>
  <conditionalFormatting sqref="F50:F60">
    <cfRule type="top10" dxfId="67" priority="101" rank="1"/>
    <cfRule type="top10" dxfId="66" priority="102" rank="1"/>
  </conditionalFormatting>
  <conditionalFormatting sqref="C50:C60">
    <cfRule type="top10" dxfId="65" priority="103" rank="1"/>
  </conditionalFormatting>
  <conditionalFormatting sqref="D50:D60">
    <cfRule type="top10" dxfId="64" priority="104" rank="1"/>
  </conditionalFormatting>
  <conditionalFormatting sqref="E50:E60">
    <cfRule type="top10" dxfId="63" priority="105" rank="1"/>
  </conditionalFormatting>
  <conditionalFormatting sqref="H50:H60">
    <cfRule type="top10" dxfId="62" priority="106" rank="1"/>
  </conditionalFormatting>
  <conditionalFormatting sqref="I50:I60">
    <cfRule type="top10" dxfId="61" priority="107" rank="1"/>
  </conditionalFormatting>
  <conditionalFormatting sqref="J50:J60">
    <cfRule type="top10" dxfId="60" priority="108" rank="1"/>
  </conditionalFormatting>
  <conditionalFormatting sqref="K50:K60">
    <cfRule type="top10" dxfId="59" priority="109" rank="1"/>
  </conditionalFormatting>
  <conditionalFormatting sqref="L50:L60">
    <cfRule type="top10" dxfId="58" priority="110" rank="1"/>
  </conditionalFormatting>
  <conditionalFormatting sqref="M50:M60">
    <cfRule type="top10" dxfId="57" priority="111" rank="1"/>
  </conditionalFormatting>
  <conditionalFormatting sqref="N50:N60">
    <cfRule type="top10" dxfId="56" priority="112" rank="1"/>
  </conditionalFormatting>
  <conditionalFormatting sqref="G50:G60">
    <cfRule type="top10" dxfId="55" priority="113" rank="1"/>
  </conditionalFormatting>
  <conditionalFormatting sqref="O50:O60">
    <cfRule type="top10" dxfId="54" priority="114" rank="1"/>
  </conditionalFormatting>
  <conditionalFormatting sqref="P50:P60">
    <cfRule type="top10" dxfId="53" priority="115" rank="1"/>
  </conditionalFormatting>
  <conditionalFormatting sqref="Q50:Q60">
    <cfRule type="top10" dxfId="52" priority="116" rank="1"/>
  </conditionalFormatting>
  <conditionalFormatting sqref="R50:R60">
    <cfRule type="top10" dxfId="51" priority="117" rank="1"/>
  </conditionalFormatting>
  <conditionalFormatting sqref="S50:S60">
    <cfRule type="top10" dxfId="50" priority="118" rank="1"/>
  </conditionalFormatting>
  <conditionalFormatting sqref="T50:T60">
    <cfRule type="top10" dxfId="49" priority="119" rank="1"/>
  </conditionalFormatting>
  <conditionalFormatting sqref="U50:U60">
    <cfRule type="top10" dxfId="48" priority="120" rank="1"/>
  </conditionalFormatting>
  <conditionalFormatting sqref="V50:V60">
    <cfRule type="top10" dxfId="47" priority="121" rank="1"/>
  </conditionalFormatting>
  <conditionalFormatting sqref="W50:W60">
    <cfRule type="top10" dxfId="46" priority="122" rank="1"/>
  </conditionalFormatting>
  <conditionalFormatting sqref="C37:C47">
    <cfRule type="top10" dxfId="45" priority="146" rank="1"/>
  </conditionalFormatting>
  <conditionalFormatting sqref="D37:D47">
    <cfRule type="top10" dxfId="44" priority="147" rank="1"/>
  </conditionalFormatting>
  <conditionalFormatting sqref="E37:E47">
    <cfRule type="top10" dxfId="43" priority="148" rank="1"/>
  </conditionalFormatting>
  <conditionalFormatting sqref="F37:F47">
    <cfRule type="top10" dxfId="42" priority="149" rank="1"/>
    <cfRule type="top10" dxfId="41" priority="150" rank="1"/>
  </conditionalFormatting>
  <conditionalFormatting sqref="G37:G47">
    <cfRule type="top10" dxfId="40" priority="151" rank="1"/>
  </conditionalFormatting>
  <conditionalFormatting sqref="H37:H47">
    <cfRule type="top10" dxfId="39" priority="152" rank="1"/>
  </conditionalFormatting>
  <conditionalFormatting sqref="I37:I47">
    <cfRule type="top10" dxfId="38" priority="153" rank="1"/>
  </conditionalFormatting>
  <conditionalFormatting sqref="J37:J47">
    <cfRule type="top10" dxfId="37" priority="154" rank="1"/>
  </conditionalFormatting>
  <conditionalFormatting sqref="K37:K47">
    <cfRule type="top10" dxfId="36" priority="155" rank="1"/>
  </conditionalFormatting>
  <conditionalFormatting sqref="L37:L47">
    <cfRule type="top10" dxfId="35" priority="156" rank="1"/>
  </conditionalFormatting>
  <conditionalFormatting sqref="M37:M47">
    <cfRule type="top10" dxfId="34" priority="157" rank="1"/>
  </conditionalFormatting>
  <conditionalFormatting sqref="N37:N47">
    <cfRule type="top10" dxfId="33" priority="158" rank="1"/>
  </conditionalFormatting>
  <conditionalFormatting sqref="O37:O47">
    <cfRule type="top10" dxfId="32" priority="159" rank="1"/>
  </conditionalFormatting>
  <conditionalFormatting sqref="P37:P47">
    <cfRule type="top10" dxfId="31" priority="160" rank="1"/>
  </conditionalFormatting>
  <conditionalFormatting sqref="Q37:Q47">
    <cfRule type="top10" dxfId="30" priority="161" rank="1"/>
  </conditionalFormatting>
  <conditionalFormatting sqref="R37:R47">
    <cfRule type="top10" dxfId="29" priority="162" rank="1"/>
  </conditionalFormatting>
  <conditionalFormatting sqref="S37:S47">
    <cfRule type="top10" dxfId="28" priority="163" rank="1"/>
  </conditionalFormatting>
  <conditionalFormatting sqref="T37:T47">
    <cfRule type="top10" dxfId="27" priority="164" rank="1"/>
  </conditionalFormatting>
  <conditionalFormatting sqref="U37:U47">
    <cfRule type="top10" dxfId="26" priority="165" rank="1"/>
  </conditionalFormatting>
  <conditionalFormatting sqref="V37:V47">
    <cfRule type="top10" dxfId="25" priority="166" rank="1"/>
  </conditionalFormatting>
  <conditionalFormatting sqref="W37:W47">
    <cfRule type="top10" dxfId="24" priority="167" rank="1"/>
  </conditionalFormatting>
  <conditionalFormatting sqref="X37:X47">
    <cfRule type="top10" dxfId="23" priority="168" rank="1"/>
  </conditionalFormatting>
  <conditionalFormatting sqref="G22:G32">
    <cfRule type="top10" dxfId="22" priority="170" rank="1"/>
  </conditionalFormatting>
  <conditionalFormatting sqref="F22:F32">
    <cfRule type="top10" dxfId="21" priority="171" rank="1"/>
  </conditionalFormatting>
  <conditionalFormatting sqref="E22:E32">
    <cfRule type="top10" dxfId="20" priority="172" rank="1"/>
  </conditionalFormatting>
  <conditionalFormatting sqref="C22:C32">
    <cfRule type="top10" dxfId="19" priority="173" rank="1"/>
  </conditionalFormatting>
  <conditionalFormatting sqref="D22:D32">
    <cfRule type="top10" dxfId="18" priority="174" rank="1"/>
  </conditionalFormatting>
  <conditionalFormatting sqref="H22:H32">
    <cfRule type="top10" dxfId="17" priority="175" rank="1"/>
  </conditionalFormatting>
  <conditionalFormatting sqref="I22:I32">
    <cfRule type="top10" dxfId="16" priority="176" rank="1"/>
  </conditionalFormatting>
  <conditionalFormatting sqref="J22:J32">
    <cfRule type="top10" dxfId="15" priority="177" rank="1"/>
  </conditionalFormatting>
  <conditionalFormatting sqref="K22:K32">
    <cfRule type="top10" dxfId="14" priority="178" rank="1"/>
  </conditionalFormatting>
  <conditionalFormatting sqref="L22:L32">
    <cfRule type="top10" dxfId="13" priority="179" rank="1"/>
  </conditionalFormatting>
  <conditionalFormatting sqref="M22:M32">
    <cfRule type="top10" dxfId="12" priority="180" rank="1"/>
  </conditionalFormatting>
  <conditionalFormatting sqref="N22:N32">
    <cfRule type="top10" dxfId="11" priority="181" rank="1"/>
  </conditionalFormatting>
  <conditionalFormatting sqref="O22:O32">
    <cfRule type="top10" dxfId="10" priority="182" rank="1"/>
  </conditionalFormatting>
  <conditionalFormatting sqref="P22:P32">
    <cfRule type="top10" dxfId="9" priority="183" rank="1"/>
  </conditionalFormatting>
  <conditionalFormatting sqref="Q22:Q32">
    <cfRule type="top10" dxfId="8" priority="184" rank="1"/>
  </conditionalFormatting>
  <conditionalFormatting sqref="R22:R32">
    <cfRule type="top10" dxfId="7" priority="185" rank="1"/>
  </conditionalFormatting>
  <conditionalFormatting sqref="S22:S32">
    <cfRule type="top10" dxfId="6" priority="186" rank="1"/>
  </conditionalFormatting>
  <conditionalFormatting sqref="T22:T32">
    <cfRule type="top10" dxfId="5" priority="187" rank="1"/>
  </conditionalFormatting>
  <conditionalFormatting sqref="U22:U32">
    <cfRule type="top10" dxfId="4" priority="188" rank="1"/>
  </conditionalFormatting>
  <conditionalFormatting sqref="V22:V32">
    <cfRule type="top10" dxfId="3" priority="189" rank="1"/>
  </conditionalFormatting>
  <conditionalFormatting sqref="W22:W32">
    <cfRule type="top10" dxfId="2" priority="190" rank="1"/>
  </conditionalFormatting>
  <conditionalFormatting sqref="X22:X32">
    <cfRule type="top10" dxfId="1" priority="191" rank="1"/>
  </conditionalFormatting>
  <conditionalFormatting sqref="AB50:AB60">
    <cfRule type="dataBar" priority="1">
      <dataBar>
        <cfvo type="min" val="0"/>
        <cfvo type="max" val="0"/>
        <color rgb="FFFFB628"/>
      </dataBar>
    </cfRule>
  </conditionalFormatting>
  <pageMargins left="0.22" right="0.66" top="0.22" bottom="0.24" header="0.17" footer="0.16"/>
  <pageSetup paperSize="9" scale="83" orientation="landscape" horizontalDpi="4294967293"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sheetPr codeName="Blad14">
    <tabColor indexed="12"/>
  </sheetPr>
  <dimension ref="B1:AB30"/>
  <sheetViews>
    <sheetView showZeros="0" workbookViewId="0">
      <selection activeCell="AA21" sqref="AA21"/>
    </sheetView>
  </sheetViews>
  <sheetFormatPr defaultColWidth="9.140625" defaultRowHeight="12.75"/>
  <cols>
    <col min="1" max="1" width="2.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B1" s="163"/>
      <c r="C1" s="294" t="s">
        <v>207</v>
      </c>
      <c r="D1" s="256"/>
    </row>
    <row r="2" spans="2:28">
      <c r="B2" s="163"/>
      <c r="C2" s="295"/>
      <c r="D2" s="164"/>
      <c r="H2" s="128"/>
    </row>
    <row r="3" spans="2:28" s="126" customFormat="1" ht="13.5" thickBot="1">
      <c r="B3" s="296"/>
      <c r="C3" s="297" t="s">
        <v>101</v>
      </c>
      <c r="D3" s="257"/>
      <c r="E3" s="111">
        <v>1</v>
      </c>
      <c r="F3" s="111">
        <v>2</v>
      </c>
      <c r="G3" s="111">
        <v>3</v>
      </c>
      <c r="H3" s="111">
        <v>4</v>
      </c>
      <c r="I3" s="111">
        <v>5</v>
      </c>
      <c r="J3" s="111">
        <v>6</v>
      </c>
      <c r="K3" s="111">
        <v>7</v>
      </c>
      <c r="L3" s="111">
        <v>8</v>
      </c>
      <c r="M3" s="111">
        <v>9</v>
      </c>
      <c r="N3" s="111">
        <v>10</v>
      </c>
      <c r="O3" s="111">
        <v>11</v>
      </c>
      <c r="P3" s="111">
        <v>12</v>
      </c>
      <c r="Q3" s="111">
        <v>13</v>
      </c>
      <c r="R3" s="111">
        <v>14</v>
      </c>
      <c r="S3" s="111">
        <v>15</v>
      </c>
      <c r="T3" s="111">
        <v>16</v>
      </c>
      <c r="U3" s="111">
        <v>17</v>
      </c>
      <c r="V3" s="111">
        <v>18</v>
      </c>
      <c r="W3" s="111">
        <v>19</v>
      </c>
      <c r="X3" s="111">
        <v>20</v>
      </c>
      <c r="Y3" s="111">
        <v>21</v>
      </c>
      <c r="Z3" s="111" t="s">
        <v>1</v>
      </c>
      <c r="AA3" s="146"/>
    </row>
    <row r="4" spans="2:28">
      <c r="B4" s="322" t="s">
        <v>188</v>
      </c>
      <c r="C4" s="323" t="s">
        <v>134</v>
      </c>
      <c r="D4" s="259" t="s">
        <v>177</v>
      </c>
      <c r="E4" s="109">
        <f t="shared" ref="E4:N13" si="0">INDEX(scorematrix,MATCH($C4,renners,0),MATCH(E$3,etappes,0))</f>
        <v>0</v>
      </c>
      <c r="F4" s="109">
        <f t="shared" si="0"/>
        <v>0</v>
      </c>
      <c r="G4" s="109">
        <f t="shared" si="0"/>
        <v>0</v>
      </c>
      <c r="H4" s="109">
        <f t="shared" si="0"/>
        <v>46</v>
      </c>
      <c r="I4" s="109">
        <f t="shared" si="0"/>
        <v>12</v>
      </c>
      <c r="J4" s="109">
        <f t="shared" si="0"/>
        <v>11</v>
      </c>
      <c r="K4" s="109">
        <f t="shared" si="0"/>
        <v>11</v>
      </c>
      <c r="L4" s="109">
        <f t="shared" si="0"/>
        <v>19</v>
      </c>
      <c r="M4" s="109">
        <f t="shared" si="0"/>
        <v>40</v>
      </c>
      <c r="N4" s="109">
        <f t="shared" si="0"/>
        <v>10</v>
      </c>
      <c r="O4" s="109">
        <f t="shared" ref="O4:Z13" si="1">INDEX(scorematrix,MATCH($C4,renners,0),MATCH(O$3,etappes,0))</f>
        <v>10</v>
      </c>
      <c r="P4" s="109">
        <f t="shared" si="1"/>
        <v>10</v>
      </c>
      <c r="Q4" s="109">
        <f t="shared" si="1"/>
        <v>24</v>
      </c>
      <c r="R4" s="109">
        <f t="shared" si="1"/>
        <v>10</v>
      </c>
      <c r="S4" s="109">
        <f t="shared" si="1"/>
        <v>43</v>
      </c>
      <c r="T4" s="109">
        <f t="shared" si="1"/>
        <v>12</v>
      </c>
      <c r="U4" s="109">
        <f t="shared" si="1"/>
        <v>44</v>
      </c>
      <c r="V4" s="109">
        <f t="shared" si="1"/>
        <v>37</v>
      </c>
      <c r="W4" s="109">
        <f t="shared" si="1"/>
        <v>13</v>
      </c>
      <c r="X4" s="109">
        <f t="shared" si="1"/>
        <v>34</v>
      </c>
      <c r="Y4" s="109">
        <f t="shared" si="1"/>
        <v>12</v>
      </c>
      <c r="Z4" s="109">
        <f t="shared" si="1"/>
        <v>65</v>
      </c>
      <c r="AA4" s="172">
        <f t="shared" ref="AA4:AA21" si="2">SUM(E4:Z4)</f>
        <v>463</v>
      </c>
      <c r="AB4" s="108" t="str">
        <f t="shared" ref="AB4:AB20" si="3">C4</f>
        <v>Roglic</v>
      </c>
    </row>
    <row r="5" spans="2:28">
      <c r="B5" s="322" t="s">
        <v>143</v>
      </c>
      <c r="C5" s="324" t="s">
        <v>136</v>
      </c>
      <c r="D5" s="259" t="s">
        <v>177</v>
      </c>
      <c r="E5" s="109">
        <f t="shared" si="0"/>
        <v>0</v>
      </c>
      <c r="F5" s="109">
        <f t="shared" si="0"/>
        <v>14</v>
      </c>
      <c r="G5" s="109">
        <f t="shared" si="0"/>
        <v>8</v>
      </c>
      <c r="H5" s="109">
        <f t="shared" si="0"/>
        <v>28</v>
      </c>
      <c r="I5" s="109">
        <f t="shared" si="0"/>
        <v>18</v>
      </c>
      <c r="J5" s="109">
        <f t="shared" si="0"/>
        <v>28</v>
      </c>
      <c r="K5" s="109">
        <f t="shared" si="0"/>
        <v>30</v>
      </c>
      <c r="L5" s="109">
        <f t="shared" si="0"/>
        <v>24</v>
      </c>
      <c r="M5" s="109">
        <f t="shared" si="0"/>
        <v>38</v>
      </c>
      <c r="N5" s="109">
        <f t="shared" si="0"/>
        <v>14</v>
      </c>
      <c r="O5" s="109">
        <f t="shared" si="1"/>
        <v>14</v>
      </c>
      <c r="P5" s="109">
        <f t="shared" si="1"/>
        <v>14</v>
      </c>
      <c r="Q5" s="109">
        <f t="shared" si="1"/>
        <v>20</v>
      </c>
      <c r="R5" s="109">
        <f t="shared" si="1"/>
        <v>12</v>
      </c>
      <c r="S5" s="109">
        <f t="shared" si="1"/>
        <v>3</v>
      </c>
      <c r="T5" s="109">
        <f t="shared" si="1"/>
        <v>3</v>
      </c>
      <c r="U5" s="352"/>
      <c r="V5" s="352"/>
      <c r="W5" s="352"/>
      <c r="X5" s="352"/>
      <c r="Y5" s="352"/>
      <c r="Z5" s="352"/>
      <c r="AA5" s="172">
        <f t="shared" si="2"/>
        <v>268</v>
      </c>
      <c r="AB5" s="108" t="str">
        <f t="shared" si="3"/>
        <v>Bernal</v>
      </c>
    </row>
    <row r="6" spans="2:28">
      <c r="B6" s="322" t="s">
        <v>189</v>
      </c>
      <c r="C6" s="324" t="s">
        <v>106</v>
      </c>
      <c r="D6" s="259" t="s">
        <v>177</v>
      </c>
      <c r="E6" s="109">
        <f t="shared" si="0"/>
        <v>0</v>
      </c>
      <c r="F6" s="109">
        <f t="shared" si="0"/>
        <v>1</v>
      </c>
      <c r="G6" s="109">
        <f t="shared" si="0"/>
        <v>4</v>
      </c>
      <c r="H6" s="109">
        <f t="shared" si="0"/>
        <v>19</v>
      </c>
      <c r="I6" s="109">
        <f t="shared" si="0"/>
        <v>5</v>
      </c>
      <c r="J6" s="109">
        <f t="shared" si="0"/>
        <v>16</v>
      </c>
      <c r="K6" s="109">
        <f t="shared" si="0"/>
        <v>6</v>
      </c>
      <c r="L6" s="109">
        <f t="shared" si="0"/>
        <v>0</v>
      </c>
      <c r="M6" s="109">
        <f t="shared" si="0"/>
        <v>9</v>
      </c>
      <c r="N6" s="109">
        <f t="shared" si="0"/>
        <v>0</v>
      </c>
      <c r="O6" s="109">
        <f t="shared" si="1"/>
        <v>0</v>
      </c>
      <c r="P6" s="109">
        <f t="shared" si="1"/>
        <v>0</v>
      </c>
      <c r="Q6" s="109">
        <f t="shared" si="1"/>
        <v>0</v>
      </c>
      <c r="R6" s="109">
        <f t="shared" si="1"/>
        <v>0</v>
      </c>
      <c r="S6" s="109">
        <f t="shared" si="1"/>
        <v>15</v>
      </c>
      <c r="T6" s="109">
        <f t="shared" si="1"/>
        <v>2</v>
      </c>
      <c r="U6" s="109">
        <f t="shared" si="1"/>
        <v>18</v>
      </c>
      <c r="V6" s="109">
        <f t="shared" si="1"/>
        <v>18</v>
      </c>
      <c r="W6" s="109">
        <f t="shared" si="1"/>
        <v>2</v>
      </c>
      <c r="X6" s="109">
        <f t="shared" si="1"/>
        <v>34</v>
      </c>
      <c r="Y6" s="109">
        <f t="shared" si="1"/>
        <v>4</v>
      </c>
      <c r="Z6" s="109">
        <f t="shared" si="1"/>
        <v>38</v>
      </c>
      <c r="AA6" s="172">
        <f t="shared" si="2"/>
        <v>191</v>
      </c>
      <c r="AB6" s="108" t="str">
        <f t="shared" si="3"/>
        <v>Dumoulin</v>
      </c>
    </row>
    <row r="7" spans="2:28">
      <c r="B7" s="322" t="s">
        <v>140</v>
      </c>
      <c r="C7" s="324" t="s">
        <v>72</v>
      </c>
      <c r="D7" s="259" t="s">
        <v>10</v>
      </c>
      <c r="E7" s="109">
        <f t="shared" si="0"/>
        <v>31</v>
      </c>
      <c r="F7" s="109">
        <f t="shared" si="0"/>
        <v>4</v>
      </c>
      <c r="G7" s="109">
        <f t="shared" si="0"/>
        <v>25</v>
      </c>
      <c r="H7" s="109">
        <f t="shared" si="0"/>
        <v>5</v>
      </c>
      <c r="I7" s="109">
        <f t="shared" si="0"/>
        <v>28</v>
      </c>
      <c r="J7" s="109">
        <f t="shared" si="0"/>
        <v>4</v>
      </c>
      <c r="K7" s="109">
        <f t="shared" si="0"/>
        <v>18</v>
      </c>
      <c r="L7" s="109">
        <f t="shared" si="0"/>
        <v>5</v>
      </c>
      <c r="M7" s="109">
        <f t="shared" si="0"/>
        <v>5</v>
      </c>
      <c r="N7" s="109">
        <f t="shared" si="0"/>
        <v>30</v>
      </c>
      <c r="O7" s="109">
        <f t="shared" si="1"/>
        <v>4</v>
      </c>
      <c r="P7" s="109">
        <f t="shared" si="1"/>
        <v>17</v>
      </c>
      <c r="Q7" s="109">
        <f t="shared" si="1"/>
        <v>4</v>
      </c>
      <c r="R7" s="109">
        <f t="shared" si="1"/>
        <v>28</v>
      </c>
      <c r="S7" s="109">
        <f t="shared" si="1"/>
        <v>4</v>
      </c>
      <c r="T7" s="109">
        <f t="shared" si="1"/>
        <v>4</v>
      </c>
      <c r="U7" s="109">
        <f t="shared" si="1"/>
        <v>4</v>
      </c>
      <c r="V7" s="109">
        <f t="shared" si="1"/>
        <v>4</v>
      </c>
      <c r="W7" s="109">
        <f t="shared" si="1"/>
        <v>21</v>
      </c>
      <c r="X7" s="109">
        <f t="shared" si="1"/>
        <v>4</v>
      </c>
      <c r="Y7" s="109">
        <f t="shared" si="1"/>
        <v>30</v>
      </c>
      <c r="Z7" s="109">
        <f t="shared" si="1"/>
        <v>7</v>
      </c>
      <c r="AA7" s="172">
        <f t="shared" si="2"/>
        <v>286</v>
      </c>
      <c r="AB7" s="108" t="str">
        <f t="shared" si="3"/>
        <v>Sagan</v>
      </c>
    </row>
    <row r="8" spans="2:28">
      <c r="B8" s="322" t="s">
        <v>186</v>
      </c>
      <c r="C8" s="324" t="s">
        <v>187</v>
      </c>
      <c r="D8" s="259" t="s">
        <v>177</v>
      </c>
      <c r="E8" s="109">
        <f t="shared" si="0"/>
        <v>0</v>
      </c>
      <c r="F8" s="109">
        <f t="shared" si="0"/>
        <v>8</v>
      </c>
      <c r="G8" s="109">
        <f t="shared" si="0"/>
        <v>0</v>
      </c>
      <c r="H8" s="109">
        <f t="shared" si="0"/>
        <v>0</v>
      </c>
      <c r="I8" s="109">
        <f t="shared" si="0"/>
        <v>0</v>
      </c>
      <c r="J8" s="109">
        <f t="shared" si="0"/>
        <v>17</v>
      </c>
      <c r="K8" s="109">
        <f t="shared" si="0"/>
        <v>0</v>
      </c>
      <c r="L8" s="109">
        <f t="shared" si="0"/>
        <v>0</v>
      </c>
      <c r="M8" s="109">
        <f t="shared" si="0"/>
        <v>12</v>
      </c>
      <c r="N8" s="109">
        <f t="shared" si="0"/>
        <v>0</v>
      </c>
      <c r="O8" s="109">
        <f t="shared" si="1"/>
        <v>0</v>
      </c>
      <c r="P8" s="109">
        <f t="shared" si="1"/>
        <v>0</v>
      </c>
      <c r="Q8" s="109">
        <f t="shared" si="1"/>
        <v>0</v>
      </c>
      <c r="R8" s="109">
        <f t="shared" si="1"/>
        <v>0</v>
      </c>
      <c r="S8" s="109">
        <f t="shared" si="1"/>
        <v>0</v>
      </c>
      <c r="T8" s="109">
        <f t="shared" si="1"/>
        <v>30</v>
      </c>
      <c r="U8" s="109">
        <f t="shared" si="1"/>
        <v>15</v>
      </c>
      <c r="V8" s="109">
        <f t="shared" si="1"/>
        <v>35</v>
      </c>
      <c r="W8" s="109">
        <f t="shared" si="1"/>
        <v>5</v>
      </c>
      <c r="X8" s="109">
        <f t="shared" si="1"/>
        <v>4</v>
      </c>
      <c r="Y8" s="109">
        <f t="shared" si="1"/>
        <v>4</v>
      </c>
      <c r="Z8" s="109">
        <f t="shared" si="1"/>
        <v>33</v>
      </c>
      <c r="AA8" s="172">
        <f t="shared" si="2"/>
        <v>163</v>
      </c>
      <c r="AB8" s="108" t="str">
        <f t="shared" si="3"/>
        <v>Carapaz</v>
      </c>
    </row>
    <row r="9" spans="2:28">
      <c r="B9" s="322" t="s">
        <v>170</v>
      </c>
      <c r="C9" s="324" t="s">
        <v>86</v>
      </c>
      <c r="D9" s="259" t="s">
        <v>177</v>
      </c>
      <c r="E9" s="109">
        <f t="shared" si="0"/>
        <v>0</v>
      </c>
      <c r="F9" s="109">
        <f t="shared" si="0"/>
        <v>0</v>
      </c>
      <c r="G9" s="109">
        <f t="shared" si="0"/>
        <v>0</v>
      </c>
      <c r="H9" s="109">
        <f t="shared" si="0"/>
        <v>18</v>
      </c>
      <c r="I9" s="109">
        <f t="shared" si="0"/>
        <v>0</v>
      </c>
      <c r="J9" s="109">
        <f t="shared" si="0"/>
        <v>12</v>
      </c>
      <c r="K9" s="109">
        <f t="shared" si="0"/>
        <v>10</v>
      </c>
      <c r="L9" s="109">
        <f t="shared" si="0"/>
        <v>0</v>
      </c>
      <c r="M9" s="109">
        <f t="shared" si="0"/>
        <v>0</v>
      </c>
      <c r="N9" s="109">
        <f t="shared" si="0"/>
        <v>0</v>
      </c>
      <c r="O9" s="109">
        <f t="shared" si="1"/>
        <v>0</v>
      </c>
      <c r="P9" s="109">
        <f t="shared" si="1"/>
        <v>0</v>
      </c>
      <c r="Q9" s="109">
        <f t="shared" si="1"/>
        <v>0</v>
      </c>
      <c r="R9" s="109">
        <f t="shared" si="1"/>
        <v>0</v>
      </c>
      <c r="S9" s="109">
        <f t="shared" si="1"/>
        <v>0</v>
      </c>
      <c r="T9" s="109">
        <f t="shared" si="1"/>
        <v>0</v>
      </c>
      <c r="U9" s="109">
        <f t="shared" si="1"/>
        <v>0</v>
      </c>
      <c r="V9" s="109">
        <f t="shared" si="1"/>
        <v>0</v>
      </c>
      <c r="W9" s="109">
        <f t="shared" si="1"/>
        <v>0</v>
      </c>
      <c r="X9" s="109">
        <f t="shared" si="1"/>
        <v>7</v>
      </c>
      <c r="Y9" s="109">
        <f t="shared" si="1"/>
        <v>0</v>
      </c>
      <c r="Z9" s="109">
        <f t="shared" si="1"/>
        <v>0</v>
      </c>
      <c r="AA9" s="172">
        <f t="shared" si="2"/>
        <v>47</v>
      </c>
      <c r="AB9" s="108" t="str">
        <f t="shared" si="3"/>
        <v>Pinot</v>
      </c>
    </row>
    <row r="10" spans="2:28">
      <c r="B10" s="322" t="s">
        <v>153</v>
      </c>
      <c r="C10" s="324" t="s">
        <v>154</v>
      </c>
      <c r="D10" s="259" t="s">
        <v>109</v>
      </c>
      <c r="E10" s="109">
        <f t="shared" si="0"/>
        <v>0</v>
      </c>
      <c r="F10" s="109">
        <f t="shared" si="0"/>
        <v>46</v>
      </c>
      <c r="G10" s="109">
        <f t="shared" si="0"/>
        <v>10</v>
      </c>
      <c r="H10" s="109">
        <f t="shared" si="0"/>
        <v>32</v>
      </c>
      <c r="I10" s="109">
        <f t="shared" si="0"/>
        <v>10</v>
      </c>
      <c r="J10" s="109">
        <f t="shared" si="0"/>
        <v>22</v>
      </c>
      <c r="K10" s="109">
        <f t="shared" si="0"/>
        <v>14</v>
      </c>
      <c r="L10" s="109">
        <f t="shared" si="0"/>
        <v>0</v>
      </c>
      <c r="M10" s="109">
        <f t="shared" si="0"/>
        <v>0</v>
      </c>
      <c r="N10" s="109">
        <f t="shared" si="0"/>
        <v>0</v>
      </c>
      <c r="O10" s="109">
        <f t="shared" si="1"/>
        <v>0</v>
      </c>
      <c r="P10" s="109">
        <f t="shared" si="1"/>
        <v>15</v>
      </c>
      <c r="Q10" s="109">
        <f t="shared" si="1"/>
        <v>0</v>
      </c>
      <c r="R10" s="109">
        <f t="shared" si="1"/>
        <v>0</v>
      </c>
      <c r="S10" s="109">
        <f t="shared" si="1"/>
        <v>0</v>
      </c>
      <c r="T10" s="109">
        <f t="shared" si="1"/>
        <v>16</v>
      </c>
      <c r="U10" s="109">
        <f t="shared" si="1"/>
        <v>0</v>
      </c>
      <c r="V10" s="109">
        <f t="shared" si="1"/>
        <v>0</v>
      </c>
      <c r="W10" s="109">
        <f t="shared" si="1"/>
        <v>0</v>
      </c>
      <c r="X10" s="109">
        <f t="shared" si="1"/>
        <v>0</v>
      </c>
      <c r="Y10" s="109">
        <f t="shared" si="1"/>
        <v>0</v>
      </c>
      <c r="Z10" s="109">
        <f t="shared" si="1"/>
        <v>0</v>
      </c>
      <c r="AA10" s="172">
        <f t="shared" si="2"/>
        <v>165</v>
      </c>
      <c r="AB10" s="108" t="str">
        <f t="shared" si="3"/>
        <v>Alaphilippe</v>
      </c>
    </row>
    <row r="11" spans="2:28">
      <c r="B11" s="322" t="s">
        <v>208</v>
      </c>
      <c r="C11" s="324" t="s">
        <v>204</v>
      </c>
      <c r="D11" s="259" t="s">
        <v>177</v>
      </c>
      <c r="E11" s="109">
        <f t="shared" si="0"/>
        <v>0</v>
      </c>
      <c r="F11" s="109">
        <f t="shared" si="0"/>
        <v>10</v>
      </c>
      <c r="G11" s="109">
        <f t="shared" si="0"/>
        <v>0</v>
      </c>
      <c r="H11" s="109">
        <f t="shared" si="0"/>
        <v>21</v>
      </c>
      <c r="I11" s="109">
        <f t="shared" si="0"/>
        <v>9</v>
      </c>
      <c r="J11" s="109">
        <f t="shared" si="0"/>
        <v>1</v>
      </c>
      <c r="K11" s="109">
        <f t="shared" si="0"/>
        <v>3</v>
      </c>
      <c r="L11" s="109">
        <f t="shared" si="0"/>
        <v>19</v>
      </c>
      <c r="M11" s="109">
        <f t="shared" si="0"/>
        <v>12</v>
      </c>
      <c r="N11" s="109">
        <f t="shared" si="0"/>
        <v>2</v>
      </c>
      <c r="O11" s="109">
        <f t="shared" si="1"/>
        <v>2</v>
      </c>
      <c r="P11" s="109">
        <f t="shared" si="1"/>
        <v>2</v>
      </c>
      <c r="Q11" s="109">
        <f t="shared" si="1"/>
        <v>15</v>
      </c>
      <c r="R11" s="109">
        <f t="shared" si="1"/>
        <v>5</v>
      </c>
      <c r="S11" s="109">
        <f t="shared" si="1"/>
        <v>31</v>
      </c>
      <c r="T11" s="109">
        <f t="shared" si="1"/>
        <v>13</v>
      </c>
      <c r="U11" s="109">
        <f t="shared" si="1"/>
        <v>46</v>
      </c>
      <c r="V11" s="109">
        <f t="shared" si="1"/>
        <v>23</v>
      </c>
      <c r="W11" s="109">
        <f t="shared" si="1"/>
        <v>9</v>
      </c>
      <c r="X11" s="109">
        <f t="shared" si="1"/>
        <v>6</v>
      </c>
      <c r="Y11" s="109">
        <f t="shared" si="1"/>
        <v>6</v>
      </c>
      <c r="Z11" s="109">
        <f t="shared" si="1"/>
        <v>41</v>
      </c>
      <c r="AA11" s="172">
        <f t="shared" si="2"/>
        <v>276</v>
      </c>
      <c r="AB11" s="108" t="str">
        <f t="shared" si="3"/>
        <v>Lopez</v>
      </c>
    </row>
    <row r="12" spans="2:28">
      <c r="B12" s="322" t="s">
        <v>137</v>
      </c>
      <c r="C12" s="324" t="s">
        <v>132</v>
      </c>
      <c r="D12" s="259" t="s">
        <v>177</v>
      </c>
      <c r="E12" s="109">
        <f t="shared" si="0"/>
        <v>0</v>
      </c>
      <c r="F12" s="109">
        <f t="shared" si="0"/>
        <v>8</v>
      </c>
      <c r="G12" s="109">
        <f t="shared" si="0"/>
        <v>0</v>
      </c>
      <c r="H12" s="109">
        <f t="shared" si="0"/>
        <v>26</v>
      </c>
      <c r="I12" s="109">
        <f t="shared" si="0"/>
        <v>4</v>
      </c>
      <c r="J12" s="109">
        <f t="shared" si="0"/>
        <v>16</v>
      </c>
      <c r="K12" s="109">
        <f t="shared" si="0"/>
        <v>5</v>
      </c>
      <c r="L12" s="109">
        <f t="shared" si="0"/>
        <v>14</v>
      </c>
      <c r="M12" s="109">
        <f t="shared" si="0"/>
        <v>21</v>
      </c>
      <c r="N12" s="109">
        <f t="shared" si="0"/>
        <v>6</v>
      </c>
      <c r="O12" s="109">
        <f t="shared" si="1"/>
        <v>6</v>
      </c>
      <c r="P12" s="109">
        <f t="shared" si="1"/>
        <v>6</v>
      </c>
      <c r="Q12" s="109">
        <f t="shared" si="1"/>
        <v>6</v>
      </c>
      <c r="R12" s="109">
        <f t="shared" si="1"/>
        <v>6</v>
      </c>
      <c r="S12" s="109">
        <f t="shared" si="1"/>
        <v>10</v>
      </c>
      <c r="T12" s="109">
        <f t="shared" si="1"/>
        <v>1</v>
      </c>
      <c r="U12" s="109">
        <f t="shared" si="1"/>
        <v>0</v>
      </c>
      <c r="V12" s="109">
        <f t="shared" si="1"/>
        <v>0</v>
      </c>
      <c r="W12" s="109">
        <f t="shared" si="1"/>
        <v>0</v>
      </c>
      <c r="X12" s="109">
        <f t="shared" si="1"/>
        <v>0</v>
      </c>
      <c r="Y12" s="109">
        <f t="shared" si="1"/>
        <v>0</v>
      </c>
      <c r="Z12" s="109">
        <f t="shared" si="1"/>
        <v>18</v>
      </c>
      <c r="AA12" s="172">
        <f t="shared" si="2"/>
        <v>153</v>
      </c>
      <c r="AB12" s="108" t="str">
        <f t="shared" si="3"/>
        <v>Quintana</v>
      </c>
    </row>
    <row r="13" spans="2:28">
      <c r="B13" s="322" t="s">
        <v>139</v>
      </c>
      <c r="C13" s="324" t="s">
        <v>133</v>
      </c>
      <c r="D13" s="259" t="s">
        <v>177</v>
      </c>
      <c r="E13" s="109">
        <f t="shared" si="0"/>
        <v>0</v>
      </c>
      <c r="F13" s="109">
        <f t="shared" si="0"/>
        <v>0</v>
      </c>
      <c r="G13" s="109">
        <f t="shared" si="0"/>
        <v>0</v>
      </c>
      <c r="H13" s="109">
        <f t="shared" si="0"/>
        <v>17</v>
      </c>
      <c r="I13" s="109">
        <f t="shared" si="0"/>
        <v>0</v>
      </c>
      <c r="J13" s="109">
        <f t="shared" si="0"/>
        <v>0</v>
      </c>
      <c r="K13" s="109">
        <f t="shared" si="0"/>
        <v>0</v>
      </c>
      <c r="L13" s="109">
        <f t="shared" si="0"/>
        <v>12</v>
      </c>
      <c r="M13" s="109">
        <f t="shared" si="0"/>
        <v>23</v>
      </c>
      <c r="N13" s="109">
        <f t="shared" si="0"/>
        <v>1</v>
      </c>
      <c r="O13" s="109">
        <f t="shared" si="1"/>
        <v>1</v>
      </c>
      <c r="P13" s="109">
        <f t="shared" si="1"/>
        <v>1</v>
      </c>
      <c r="Q13" s="109">
        <f t="shared" si="1"/>
        <v>14</v>
      </c>
      <c r="R13" s="109">
        <f t="shared" si="1"/>
        <v>3</v>
      </c>
      <c r="S13" s="109">
        <f t="shared" si="1"/>
        <v>23</v>
      </c>
      <c r="T13" s="109">
        <f t="shared" si="1"/>
        <v>4</v>
      </c>
      <c r="U13" s="109">
        <f t="shared" si="1"/>
        <v>23</v>
      </c>
      <c r="V13" s="109">
        <f t="shared" si="1"/>
        <v>24</v>
      </c>
      <c r="W13" s="109">
        <f t="shared" si="1"/>
        <v>6</v>
      </c>
      <c r="X13" s="109">
        <f t="shared" si="1"/>
        <v>19</v>
      </c>
      <c r="Y13" s="109">
        <f t="shared" si="1"/>
        <v>7</v>
      </c>
      <c r="Z13" s="109">
        <f t="shared" si="1"/>
        <v>48</v>
      </c>
      <c r="AA13" s="172">
        <f t="shared" si="2"/>
        <v>226</v>
      </c>
      <c r="AB13" s="108" t="str">
        <f t="shared" si="3"/>
        <v>Landa</v>
      </c>
    </row>
    <row r="14" spans="2:28">
      <c r="B14" s="322" t="s">
        <v>174</v>
      </c>
      <c r="C14" s="324" t="s">
        <v>171</v>
      </c>
      <c r="D14" s="259" t="s">
        <v>177</v>
      </c>
      <c r="E14" s="109">
        <f t="shared" ref="E14:N20" si="4">INDEX(scorematrix,MATCH($C14,renners,0),MATCH(E$3,etappes,0))</f>
        <v>0</v>
      </c>
      <c r="F14" s="109">
        <f t="shared" si="4"/>
        <v>0</v>
      </c>
      <c r="G14" s="109">
        <f t="shared" si="4"/>
        <v>0</v>
      </c>
      <c r="H14" s="109">
        <f t="shared" si="4"/>
        <v>9</v>
      </c>
      <c r="I14" s="109">
        <f t="shared" si="4"/>
        <v>0</v>
      </c>
      <c r="J14" s="109">
        <f t="shared" si="4"/>
        <v>7</v>
      </c>
      <c r="K14" s="109">
        <f t="shared" si="4"/>
        <v>7</v>
      </c>
      <c r="L14" s="109">
        <f t="shared" si="4"/>
        <v>0</v>
      </c>
      <c r="M14" s="109">
        <f t="shared" si="4"/>
        <v>0</v>
      </c>
      <c r="N14" s="109">
        <f t="shared" si="4"/>
        <v>0</v>
      </c>
      <c r="O14" s="109">
        <f t="shared" ref="O14:Z20" si="5">INDEX(scorematrix,MATCH($C14,renners,0),MATCH(O$3,etappes,0))</f>
        <v>0</v>
      </c>
      <c r="P14" s="109">
        <f t="shared" si="5"/>
        <v>0</v>
      </c>
      <c r="Q14" s="109">
        <f t="shared" si="5"/>
        <v>0</v>
      </c>
      <c r="R14" s="109">
        <f t="shared" si="5"/>
        <v>0</v>
      </c>
      <c r="S14" s="109">
        <f t="shared" si="5"/>
        <v>0</v>
      </c>
      <c r="T14" s="109">
        <f t="shared" si="5"/>
        <v>0</v>
      </c>
      <c r="U14" s="109">
        <f t="shared" si="5"/>
        <v>0</v>
      </c>
      <c r="V14" s="109">
        <f t="shared" si="5"/>
        <v>0</v>
      </c>
      <c r="W14" s="109">
        <f t="shared" si="5"/>
        <v>0</v>
      </c>
      <c r="X14" s="109">
        <f t="shared" si="5"/>
        <v>0</v>
      </c>
      <c r="Y14" s="109">
        <f t="shared" si="5"/>
        <v>0</v>
      </c>
      <c r="Z14" s="109">
        <f t="shared" si="5"/>
        <v>0</v>
      </c>
      <c r="AA14" s="172">
        <f t="shared" si="2"/>
        <v>23</v>
      </c>
      <c r="AB14" s="108" t="str">
        <f t="shared" si="3"/>
        <v>Buchmann</v>
      </c>
    </row>
    <row r="15" spans="2:28">
      <c r="B15" s="322" t="s">
        <v>209</v>
      </c>
      <c r="C15" s="324" t="s">
        <v>104</v>
      </c>
      <c r="D15" s="259" t="s">
        <v>10</v>
      </c>
      <c r="E15" s="109">
        <f t="shared" si="4"/>
        <v>21</v>
      </c>
      <c r="F15" s="109">
        <f t="shared" si="4"/>
        <v>0</v>
      </c>
      <c r="G15" s="109">
        <f t="shared" si="4"/>
        <v>17</v>
      </c>
      <c r="H15" s="109">
        <f t="shared" si="4"/>
        <v>0</v>
      </c>
      <c r="I15" s="109">
        <f t="shared" si="4"/>
        <v>19</v>
      </c>
      <c r="J15" s="109">
        <f t="shared" si="4"/>
        <v>0</v>
      </c>
      <c r="K15" s="109">
        <f t="shared" si="4"/>
        <v>28</v>
      </c>
      <c r="L15" s="109">
        <f t="shared" si="4"/>
        <v>2</v>
      </c>
      <c r="M15" s="109">
        <f t="shared" si="4"/>
        <v>2</v>
      </c>
      <c r="N15" s="109">
        <f t="shared" si="4"/>
        <v>22</v>
      </c>
      <c r="O15" s="109">
        <f t="shared" si="5"/>
        <v>27</v>
      </c>
      <c r="P15" s="109">
        <f t="shared" si="5"/>
        <v>3</v>
      </c>
      <c r="Q15" s="109">
        <f t="shared" si="5"/>
        <v>3</v>
      </c>
      <c r="R15" s="109">
        <f t="shared" si="5"/>
        <v>2</v>
      </c>
      <c r="S15" s="109">
        <f t="shared" si="5"/>
        <v>2</v>
      </c>
      <c r="T15" s="109">
        <f t="shared" si="5"/>
        <v>2</v>
      </c>
      <c r="U15" s="109">
        <f t="shared" si="5"/>
        <v>2</v>
      </c>
      <c r="V15" s="109">
        <f t="shared" si="5"/>
        <v>2</v>
      </c>
      <c r="W15" s="109">
        <f t="shared" si="5"/>
        <v>13</v>
      </c>
      <c r="X15" s="109">
        <f t="shared" si="5"/>
        <v>2</v>
      </c>
      <c r="Y15" s="109">
        <f t="shared" si="5"/>
        <v>19</v>
      </c>
      <c r="Z15" s="109">
        <f t="shared" si="5"/>
        <v>3</v>
      </c>
      <c r="AA15" s="172">
        <f t="shared" si="2"/>
        <v>191</v>
      </c>
      <c r="AB15" s="108" t="str">
        <f t="shared" si="3"/>
        <v>Coquard</v>
      </c>
    </row>
    <row r="16" spans="2:28">
      <c r="B16" s="322" t="s">
        <v>198</v>
      </c>
      <c r="C16" s="324" t="s">
        <v>199</v>
      </c>
      <c r="D16" s="259" t="s">
        <v>177</v>
      </c>
      <c r="E16" s="109">
        <f t="shared" si="4"/>
        <v>11</v>
      </c>
      <c r="F16" s="109">
        <f t="shared" si="4"/>
        <v>27</v>
      </c>
      <c r="G16" s="109">
        <f t="shared" si="4"/>
        <v>11</v>
      </c>
      <c r="H16" s="109">
        <f t="shared" si="4"/>
        <v>44</v>
      </c>
      <c r="I16" s="109">
        <f t="shared" si="4"/>
        <v>15</v>
      </c>
      <c r="J16" s="109">
        <f t="shared" si="4"/>
        <v>28</v>
      </c>
      <c r="K16" s="109">
        <f t="shared" si="4"/>
        <v>2</v>
      </c>
      <c r="L16" s="109">
        <f t="shared" si="4"/>
        <v>23</v>
      </c>
      <c r="M16" s="109">
        <f t="shared" si="4"/>
        <v>43</v>
      </c>
      <c r="N16" s="109">
        <f t="shared" si="4"/>
        <v>8</v>
      </c>
      <c r="O16" s="109">
        <f t="shared" si="5"/>
        <v>8</v>
      </c>
      <c r="P16" s="109">
        <f t="shared" si="5"/>
        <v>8</v>
      </c>
      <c r="Q16" s="109">
        <f t="shared" si="5"/>
        <v>27</v>
      </c>
      <c r="R16" s="109">
        <f t="shared" si="5"/>
        <v>28</v>
      </c>
      <c r="S16" s="109">
        <f t="shared" si="5"/>
        <v>53</v>
      </c>
      <c r="T16" s="109">
        <f t="shared" si="5"/>
        <v>17</v>
      </c>
      <c r="U16" s="109">
        <f t="shared" si="5"/>
        <v>45</v>
      </c>
      <c r="V16" s="109">
        <f t="shared" si="5"/>
        <v>40</v>
      </c>
      <c r="W16" s="109">
        <f t="shared" si="5"/>
        <v>18</v>
      </c>
      <c r="X16" s="109">
        <f t="shared" si="5"/>
        <v>55</v>
      </c>
      <c r="Y16" s="109">
        <f t="shared" si="5"/>
        <v>20</v>
      </c>
      <c r="Z16" s="109">
        <f t="shared" si="5"/>
        <v>90</v>
      </c>
      <c r="AA16" s="172">
        <f t="shared" si="2"/>
        <v>621</v>
      </c>
      <c r="AB16" s="108" t="str">
        <f t="shared" si="3"/>
        <v>Pogacar</v>
      </c>
    </row>
    <row r="17" spans="2:28">
      <c r="B17" s="322" t="s">
        <v>210</v>
      </c>
      <c r="C17" s="324" t="s">
        <v>211</v>
      </c>
      <c r="D17" s="259" t="s">
        <v>177</v>
      </c>
      <c r="E17" s="109">
        <f t="shared" si="4"/>
        <v>0</v>
      </c>
      <c r="F17" s="109">
        <f t="shared" si="4"/>
        <v>0</v>
      </c>
      <c r="G17" s="109">
        <f t="shared" si="4"/>
        <v>0</v>
      </c>
      <c r="H17" s="109">
        <f t="shared" si="4"/>
        <v>0</v>
      </c>
      <c r="I17" s="109">
        <f t="shared" si="4"/>
        <v>0</v>
      </c>
      <c r="J17" s="109">
        <f t="shared" si="4"/>
        <v>0</v>
      </c>
      <c r="K17" s="109">
        <f t="shared" si="4"/>
        <v>0</v>
      </c>
      <c r="L17" s="109">
        <f t="shared" si="4"/>
        <v>0</v>
      </c>
      <c r="M17" s="109">
        <f t="shared" si="4"/>
        <v>0</v>
      </c>
      <c r="N17" s="109">
        <f t="shared" si="4"/>
        <v>0</v>
      </c>
      <c r="O17" s="109">
        <f t="shared" si="5"/>
        <v>0</v>
      </c>
      <c r="P17" s="109">
        <f t="shared" si="5"/>
        <v>0</v>
      </c>
      <c r="Q17" s="109">
        <f t="shared" si="5"/>
        <v>0</v>
      </c>
      <c r="R17" s="109">
        <f t="shared" si="5"/>
        <v>0</v>
      </c>
      <c r="S17" s="109">
        <f t="shared" si="5"/>
        <v>0</v>
      </c>
      <c r="T17" s="109">
        <f t="shared" si="5"/>
        <v>24</v>
      </c>
      <c r="U17" s="109">
        <f t="shared" si="5"/>
        <v>0</v>
      </c>
      <c r="V17" s="109">
        <f t="shared" si="5"/>
        <v>0</v>
      </c>
      <c r="W17" s="109">
        <f t="shared" si="5"/>
        <v>0</v>
      </c>
      <c r="X17" s="109">
        <f t="shared" si="5"/>
        <v>0</v>
      </c>
      <c r="Y17" s="109">
        <f t="shared" si="5"/>
        <v>0</v>
      </c>
      <c r="Z17" s="109">
        <f t="shared" si="5"/>
        <v>0</v>
      </c>
      <c r="AA17" s="172">
        <f t="shared" si="2"/>
        <v>24</v>
      </c>
      <c r="AB17" s="108" t="str">
        <f t="shared" si="3"/>
        <v>Sivakov</v>
      </c>
    </row>
    <row r="18" spans="2:28">
      <c r="B18" s="322" t="s">
        <v>148</v>
      </c>
      <c r="C18" s="324" t="s">
        <v>193</v>
      </c>
      <c r="D18" s="259" t="s">
        <v>177</v>
      </c>
      <c r="E18" s="109">
        <f t="shared" si="4"/>
        <v>0</v>
      </c>
      <c r="F18" s="109">
        <f t="shared" si="4"/>
        <v>0</v>
      </c>
      <c r="G18" s="109">
        <f t="shared" si="4"/>
        <v>0</v>
      </c>
      <c r="H18" s="109">
        <f t="shared" si="4"/>
        <v>0</v>
      </c>
      <c r="I18" s="109">
        <f t="shared" si="4"/>
        <v>0</v>
      </c>
      <c r="J18" s="109">
        <f t="shared" si="4"/>
        <v>1</v>
      </c>
      <c r="K18" s="109">
        <f t="shared" si="4"/>
        <v>1</v>
      </c>
      <c r="L18" s="109">
        <f t="shared" si="4"/>
        <v>0</v>
      </c>
      <c r="M18" s="109">
        <f t="shared" si="4"/>
        <v>0</v>
      </c>
      <c r="N18" s="109">
        <f t="shared" si="4"/>
        <v>0</v>
      </c>
      <c r="O18" s="109">
        <f t="shared" si="5"/>
        <v>1</v>
      </c>
      <c r="P18" s="350"/>
      <c r="Q18" s="350"/>
      <c r="R18" s="350"/>
      <c r="S18" s="350"/>
      <c r="T18" s="350"/>
      <c r="U18" s="350"/>
      <c r="V18" s="350"/>
      <c r="W18" s="350"/>
      <c r="X18" s="350"/>
      <c r="Y18" s="350"/>
      <c r="Z18" s="350"/>
      <c r="AA18" s="172">
        <f t="shared" si="2"/>
        <v>3</v>
      </c>
      <c r="AB18" s="108" t="str">
        <f t="shared" si="3"/>
        <v>Martinez</v>
      </c>
    </row>
    <row r="19" spans="2:28">
      <c r="B19" s="322" t="s">
        <v>175</v>
      </c>
      <c r="C19" s="324" t="s">
        <v>172</v>
      </c>
      <c r="D19" s="259" t="s">
        <v>10</v>
      </c>
      <c r="E19" s="109">
        <f t="shared" si="4"/>
        <v>0</v>
      </c>
      <c r="F19" s="109">
        <f t="shared" si="4"/>
        <v>0</v>
      </c>
      <c r="G19" s="109">
        <f t="shared" si="4"/>
        <v>0</v>
      </c>
      <c r="H19" s="109">
        <f t="shared" si="4"/>
        <v>0</v>
      </c>
      <c r="I19" s="109">
        <f t="shared" si="4"/>
        <v>35</v>
      </c>
      <c r="J19" s="109">
        <f t="shared" si="4"/>
        <v>0</v>
      </c>
      <c r="K19" s="109">
        <f t="shared" si="4"/>
        <v>38</v>
      </c>
      <c r="L19" s="109">
        <f t="shared" si="4"/>
        <v>3</v>
      </c>
      <c r="M19" s="109">
        <f t="shared" si="4"/>
        <v>3</v>
      </c>
      <c r="N19" s="109">
        <f t="shared" si="4"/>
        <v>1</v>
      </c>
      <c r="O19" s="109">
        <f t="shared" si="5"/>
        <v>26</v>
      </c>
      <c r="P19" s="109">
        <f t="shared" si="5"/>
        <v>7</v>
      </c>
      <c r="Q19" s="109">
        <f t="shared" si="5"/>
        <v>0</v>
      </c>
      <c r="R19" s="109">
        <f t="shared" si="5"/>
        <v>0</v>
      </c>
      <c r="S19" s="109">
        <f t="shared" si="5"/>
        <v>0</v>
      </c>
      <c r="T19" s="109">
        <f t="shared" si="5"/>
        <v>0</v>
      </c>
      <c r="U19" s="109">
        <f t="shared" si="5"/>
        <v>7</v>
      </c>
      <c r="V19" s="109">
        <f t="shared" si="5"/>
        <v>26</v>
      </c>
      <c r="W19" s="109">
        <f t="shared" si="5"/>
        <v>0</v>
      </c>
      <c r="X19" s="109">
        <f t="shared" si="5"/>
        <v>25</v>
      </c>
      <c r="Y19" s="109">
        <f t="shared" si="5"/>
        <v>21</v>
      </c>
      <c r="Z19" s="109">
        <f t="shared" si="5"/>
        <v>13</v>
      </c>
      <c r="AA19" s="172">
        <f t="shared" si="2"/>
        <v>205</v>
      </c>
      <c r="AB19" s="108" t="str">
        <f t="shared" si="3"/>
        <v>van Aert</v>
      </c>
    </row>
    <row r="20" spans="2:28" s="157" customFormat="1">
      <c r="B20" s="322" t="s">
        <v>164</v>
      </c>
      <c r="C20" s="324" t="s">
        <v>165</v>
      </c>
      <c r="D20" s="259" t="s">
        <v>10</v>
      </c>
      <c r="E20" s="109">
        <f t="shared" si="4"/>
        <v>7</v>
      </c>
      <c r="F20" s="109">
        <f t="shared" si="4"/>
        <v>0</v>
      </c>
      <c r="G20" s="109">
        <f t="shared" si="4"/>
        <v>36</v>
      </c>
      <c r="H20" s="109">
        <f t="shared" si="4"/>
        <v>0</v>
      </c>
      <c r="I20" s="109">
        <f t="shared" si="4"/>
        <v>20</v>
      </c>
      <c r="J20" s="109">
        <f t="shared" si="4"/>
        <v>2</v>
      </c>
      <c r="K20" s="109">
        <f t="shared" si="4"/>
        <v>0</v>
      </c>
      <c r="L20" s="109">
        <f t="shared" si="4"/>
        <v>0</v>
      </c>
      <c r="M20" s="109">
        <f t="shared" si="4"/>
        <v>0</v>
      </c>
      <c r="N20" s="109">
        <f t="shared" si="4"/>
        <v>30</v>
      </c>
      <c r="O20" s="109">
        <f t="shared" si="5"/>
        <v>37</v>
      </c>
      <c r="P20" s="109">
        <f t="shared" si="5"/>
        <v>2</v>
      </c>
      <c r="Q20" s="109">
        <f t="shared" si="5"/>
        <v>2</v>
      </c>
      <c r="R20" s="109">
        <f t="shared" si="5"/>
        <v>1</v>
      </c>
      <c r="S20" s="109">
        <f t="shared" si="5"/>
        <v>1</v>
      </c>
      <c r="T20" s="109">
        <f t="shared" si="5"/>
        <v>1</v>
      </c>
      <c r="U20" s="109">
        <f t="shared" si="5"/>
        <v>1</v>
      </c>
      <c r="V20" s="109">
        <f t="shared" si="5"/>
        <v>1</v>
      </c>
      <c r="W20" s="109">
        <f t="shared" si="5"/>
        <v>1</v>
      </c>
      <c r="X20" s="109">
        <f t="shared" si="5"/>
        <v>0</v>
      </c>
      <c r="Y20" s="109">
        <f t="shared" si="5"/>
        <v>19</v>
      </c>
      <c r="Z20" s="109">
        <f t="shared" si="5"/>
        <v>0</v>
      </c>
      <c r="AA20" s="172">
        <f t="shared" si="2"/>
        <v>161</v>
      </c>
      <c r="AB20" s="108" t="str">
        <f t="shared" si="3"/>
        <v>Ewan</v>
      </c>
    </row>
    <row r="21" spans="2:28" s="158" customFormat="1">
      <c r="B21" s="325"/>
      <c r="C21" s="326"/>
      <c r="D21" s="165"/>
      <c r="E21" s="167"/>
      <c r="F21" s="167"/>
      <c r="G21" s="167"/>
      <c r="H21" s="167"/>
      <c r="I21" s="167"/>
      <c r="J21" s="167"/>
      <c r="K21" s="167"/>
      <c r="L21" s="167"/>
      <c r="M21" s="167"/>
      <c r="N21" s="167"/>
      <c r="O21" s="167"/>
      <c r="P21" s="167">
        <f>P24</f>
        <v>5</v>
      </c>
      <c r="Q21" s="167">
        <f t="shared" ref="Q21:T21" si="6">Q24</f>
        <v>5</v>
      </c>
      <c r="R21" s="167">
        <f t="shared" si="6"/>
        <v>5</v>
      </c>
      <c r="S21" s="167">
        <f t="shared" si="6"/>
        <v>5</v>
      </c>
      <c r="T21" s="167">
        <f t="shared" si="6"/>
        <v>5</v>
      </c>
      <c r="U21" s="167">
        <f>U24+U26</f>
        <v>5</v>
      </c>
      <c r="V21" s="167">
        <f t="shared" ref="V21:Z21" si="7">V24+V26</f>
        <v>5</v>
      </c>
      <c r="W21" s="167">
        <f t="shared" si="7"/>
        <v>23</v>
      </c>
      <c r="X21" s="167">
        <f t="shared" si="7"/>
        <v>5</v>
      </c>
      <c r="Y21" s="167">
        <f t="shared" si="7"/>
        <v>64</v>
      </c>
      <c r="Z21" s="167">
        <f t="shared" si="7"/>
        <v>10</v>
      </c>
      <c r="AA21" s="225">
        <f t="shared" si="2"/>
        <v>137</v>
      </c>
    </row>
    <row r="22" spans="2:28" s="112" customFormat="1">
      <c r="B22" s="327"/>
      <c r="C22" s="328"/>
      <c r="D22" s="166"/>
      <c r="E22" s="159">
        <f t="shared" ref="E22:Z22" si="8">SUM(E4:E21)</f>
        <v>70</v>
      </c>
      <c r="F22" s="159">
        <f t="shared" ref="F22" si="9">SUM(F4:F21)</f>
        <v>118</v>
      </c>
      <c r="G22" s="159">
        <f>SUM(G4:G21)</f>
        <v>111</v>
      </c>
      <c r="H22" s="159">
        <f t="shared" si="8"/>
        <v>265</v>
      </c>
      <c r="I22" s="159">
        <f t="shared" si="8"/>
        <v>175</v>
      </c>
      <c r="J22" s="159">
        <f t="shared" si="8"/>
        <v>165</v>
      </c>
      <c r="K22" s="159">
        <f t="shared" si="8"/>
        <v>173</v>
      </c>
      <c r="L22" s="159">
        <f t="shared" si="8"/>
        <v>121</v>
      </c>
      <c r="M22" s="159">
        <f t="shared" si="8"/>
        <v>208</v>
      </c>
      <c r="N22" s="159">
        <f t="shared" si="8"/>
        <v>124</v>
      </c>
      <c r="O22" s="159">
        <f t="shared" si="8"/>
        <v>136</v>
      </c>
      <c r="P22" s="159">
        <f t="shared" si="8"/>
        <v>90</v>
      </c>
      <c r="Q22" s="159">
        <f t="shared" si="8"/>
        <v>120</v>
      </c>
      <c r="R22" s="159">
        <f t="shared" si="8"/>
        <v>100</v>
      </c>
      <c r="S22" s="159">
        <f t="shared" si="8"/>
        <v>190</v>
      </c>
      <c r="T22" s="159">
        <f t="shared" si="8"/>
        <v>134</v>
      </c>
      <c r="U22" s="159">
        <f t="shared" si="8"/>
        <v>210</v>
      </c>
      <c r="V22" s="159">
        <f t="shared" si="8"/>
        <v>215</v>
      </c>
      <c r="W22" s="159">
        <f t="shared" si="8"/>
        <v>111</v>
      </c>
      <c r="X22" s="159">
        <f t="shared" si="8"/>
        <v>195</v>
      </c>
      <c r="Y22" s="159">
        <f t="shared" si="8"/>
        <v>206</v>
      </c>
      <c r="Z22" s="159">
        <f t="shared" si="8"/>
        <v>366</v>
      </c>
      <c r="AA22" s="222">
        <f>SUM(AA4:AA21)</f>
        <v>3603</v>
      </c>
    </row>
    <row r="23" spans="2:28" s="160" customFormat="1">
      <c r="B23" s="329"/>
      <c r="C23" s="330"/>
      <c r="D23" s="16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2:28" s="162" customFormat="1">
      <c r="B24" s="322" t="s">
        <v>190</v>
      </c>
      <c r="C24" s="331" t="s">
        <v>191</v>
      </c>
      <c r="D24" s="262" t="s">
        <v>10</v>
      </c>
      <c r="E24" s="179">
        <f t="shared" ref="E24:Z26" si="10">INDEX(scorematrix,MATCH($C24,renners,0),MATCH(E$3,etappes,0))</f>
        <v>33</v>
      </c>
      <c r="F24" s="179">
        <f t="shared" si="10"/>
        <v>2</v>
      </c>
      <c r="G24" s="179">
        <f t="shared" si="10"/>
        <v>33</v>
      </c>
      <c r="H24" s="179">
        <f t="shared" si="10"/>
        <v>4</v>
      </c>
      <c r="I24" s="179">
        <f t="shared" si="10"/>
        <v>31</v>
      </c>
      <c r="J24" s="179">
        <f t="shared" si="10"/>
        <v>5</v>
      </c>
      <c r="K24" s="179">
        <f t="shared" si="10"/>
        <v>4</v>
      </c>
      <c r="L24" s="179">
        <f t="shared" si="10"/>
        <v>4</v>
      </c>
      <c r="M24" s="179">
        <f t="shared" si="10"/>
        <v>4</v>
      </c>
      <c r="N24" s="179">
        <f t="shared" si="10"/>
        <v>40</v>
      </c>
      <c r="O24" s="179">
        <f t="shared" si="10"/>
        <v>35</v>
      </c>
      <c r="P24" s="349">
        <f t="shared" si="10"/>
        <v>5</v>
      </c>
      <c r="Q24" s="349">
        <f t="shared" si="10"/>
        <v>5</v>
      </c>
      <c r="R24" s="349">
        <f t="shared" si="10"/>
        <v>5</v>
      </c>
      <c r="S24" s="349">
        <f t="shared" si="10"/>
        <v>5</v>
      </c>
      <c r="T24" s="349">
        <f t="shared" si="10"/>
        <v>5</v>
      </c>
      <c r="U24" s="349">
        <f t="shared" si="10"/>
        <v>5</v>
      </c>
      <c r="V24" s="349">
        <f t="shared" si="10"/>
        <v>5</v>
      </c>
      <c r="W24" s="349">
        <f t="shared" si="10"/>
        <v>23</v>
      </c>
      <c r="X24" s="349">
        <f t="shared" si="10"/>
        <v>5</v>
      </c>
      <c r="Y24" s="349">
        <f t="shared" si="10"/>
        <v>40</v>
      </c>
      <c r="Z24" s="349">
        <f t="shared" si="10"/>
        <v>10</v>
      </c>
      <c r="AA24" s="290">
        <f>SUM(E24:Z24)</f>
        <v>308</v>
      </c>
    </row>
    <row r="25" spans="2:28" s="162" customFormat="1">
      <c r="B25" s="322" t="s">
        <v>168</v>
      </c>
      <c r="C25" s="331" t="s">
        <v>169</v>
      </c>
      <c r="D25" s="262" t="s">
        <v>10</v>
      </c>
      <c r="E25" s="179">
        <f t="shared" si="10"/>
        <v>0</v>
      </c>
      <c r="F25" s="179">
        <f t="shared" si="10"/>
        <v>1</v>
      </c>
      <c r="G25" s="179">
        <f t="shared" si="10"/>
        <v>1</v>
      </c>
      <c r="H25" s="179">
        <f t="shared" si="10"/>
        <v>11</v>
      </c>
      <c r="I25" s="179">
        <f t="shared" si="10"/>
        <v>3</v>
      </c>
      <c r="J25" s="179">
        <f t="shared" si="10"/>
        <v>3</v>
      </c>
      <c r="K25" s="179">
        <f t="shared" si="10"/>
        <v>4</v>
      </c>
      <c r="L25" s="179">
        <f t="shared" si="10"/>
        <v>10</v>
      </c>
      <c r="M25" s="179">
        <f t="shared" si="10"/>
        <v>11</v>
      </c>
      <c r="N25" s="179">
        <f t="shared" si="10"/>
        <v>3</v>
      </c>
      <c r="O25" s="179">
        <f t="shared" si="10"/>
        <v>3</v>
      </c>
      <c r="P25" s="179">
        <f t="shared" si="10"/>
        <v>3</v>
      </c>
      <c r="Q25" s="179">
        <f t="shared" si="10"/>
        <v>4</v>
      </c>
      <c r="R25" s="179">
        <f t="shared" si="10"/>
        <v>4</v>
      </c>
      <c r="S25" s="179">
        <f t="shared" si="10"/>
        <v>29</v>
      </c>
      <c r="T25" s="179">
        <f t="shared" si="10"/>
        <v>7</v>
      </c>
      <c r="U25" s="179">
        <f t="shared" si="10"/>
        <v>27</v>
      </c>
      <c r="V25" s="179">
        <f t="shared" si="10"/>
        <v>28</v>
      </c>
      <c r="W25" s="179">
        <f t="shared" si="10"/>
        <v>9</v>
      </c>
      <c r="X25" s="179">
        <f t="shared" si="10"/>
        <v>27</v>
      </c>
      <c r="Y25" s="179">
        <f t="shared" si="10"/>
        <v>10</v>
      </c>
      <c r="Z25" s="179">
        <f t="shared" si="10"/>
        <v>51</v>
      </c>
      <c r="AA25" s="290">
        <f>SUM(E25:Z25)</f>
        <v>249</v>
      </c>
    </row>
    <row r="26" spans="2:28" s="162" customFormat="1">
      <c r="B26" s="322" t="s">
        <v>141</v>
      </c>
      <c r="C26" s="331" t="s">
        <v>93</v>
      </c>
      <c r="D26" s="262" t="s">
        <v>10</v>
      </c>
      <c r="E26" s="179">
        <f t="shared" si="10"/>
        <v>50</v>
      </c>
      <c r="F26" s="179">
        <f t="shared" si="10"/>
        <v>5</v>
      </c>
      <c r="G26" s="179">
        <f t="shared" si="10"/>
        <v>15</v>
      </c>
      <c r="H26" s="179">
        <f t="shared" si="10"/>
        <v>3</v>
      </c>
      <c r="I26" s="179">
        <f t="shared" si="10"/>
        <v>15</v>
      </c>
      <c r="J26" s="179">
        <f t="shared" si="10"/>
        <v>3</v>
      </c>
      <c r="K26" s="179">
        <f t="shared" si="10"/>
        <v>1</v>
      </c>
      <c r="L26" s="179">
        <f t="shared" si="10"/>
        <v>1</v>
      </c>
      <c r="M26" s="179">
        <f t="shared" si="10"/>
        <v>0</v>
      </c>
      <c r="N26" s="179">
        <f t="shared" si="10"/>
        <v>11</v>
      </c>
      <c r="O26" s="179">
        <f t="shared" si="10"/>
        <v>14</v>
      </c>
      <c r="P26" s="179">
        <f t="shared" si="10"/>
        <v>0</v>
      </c>
      <c r="Q26" s="179">
        <f t="shared" si="10"/>
        <v>0</v>
      </c>
      <c r="R26" s="179">
        <f t="shared" si="10"/>
        <v>0</v>
      </c>
      <c r="S26" s="179">
        <f t="shared" si="10"/>
        <v>0</v>
      </c>
      <c r="T26" s="179">
        <f t="shared" si="10"/>
        <v>0</v>
      </c>
      <c r="U26" s="351">
        <f t="shared" si="10"/>
        <v>0</v>
      </c>
      <c r="V26" s="351">
        <f t="shared" si="10"/>
        <v>0</v>
      </c>
      <c r="W26" s="351">
        <f t="shared" si="10"/>
        <v>0</v>
      </c>
      <c r="X26" s="351">
        <f t="shared" si="10"/>
        <v>0</v>
      </c>
      <c r="Y26" s="351">
        <f t="shared" si="10"/>
        <v>24</v>
      </c>
      <c r="Z26" s="351">
        <f t="shared" si="10"/>
        <v>0</v>
      </c>
      <c r="AA26" s="290">
        <f>SUM(E26:Z26)</f>
        <v>142</v>
      </c>
    </row>
    <row r="28" spans="2:28">
      <c r="C28" s="291" t="s">
        <v>177</v>
      </c>
      <c r="D28" s="292">
        <f>COUNTIF($D$4:$D$21,C28)</f>
        <v>12</v>
      </c>
    </row>
    <row r="29" spans="2:28">
      <c r="C29" s="293" t="s">
        <v>10</v>
      </c>
      <c r="D29" s="292">
        <f>COUNTIF($D$4:$D$21,C29)</f>
        <v>4</v>
      </c>
    </row>
    <row r="30" spans="2:28">
      <c r="C30" s="293" t="s">
        <v>109</v>
      </c>
      <c r="D30" s="292">
        <f>COUNTIF($D$4:$D$21,C30)</f>
        <v>1</v>
      </c>
    </row>
  </sheetData>
  <sheetProtection selectLockedCells="1"/>
  <sortState ref="B4:AB20">
    <sortCondition ref="D4:D20"/>
    <sortCondition ref="C4:C20"/>
  </sortState>
  <phoneticPr fontId="0" type="noConversion"/>
  <dataValidations count="1">
    <dataValidation type="list" allowBlank="1" showInputMessage="1" showErrorMessage="1" prompt="selecteer type renner:" sqref="D4:D20">
      <formula1>type_renner</formula1>
    </dataValidation>
  </dataValidations>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sheetPr codeName="Blad13">
    <tabColor indexed="12"/>
  </sheetPr>
  <dimension ref="A1:AF30"/>
  <sheetViews>
    <sheetView showZeros="0" workbookViewId="0">
      <selection activeCell="AA21" sqref="AA21"/>
    </sheetView>
  </sheetViews>
  <sheetFormatPr defaultColWidth="9.140625" defaultRowHeight="12.75"/>
  <cols>
    <col min="1" max="1" width="4.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1:28">
      <c r="B1" s="163"/>
      <c r="C1" s="294" t="s">
        <v>228</v>
      </c>
      <c r="D1" s="256"/>
    </row>
    <row r="2" spans="1:28">
      <c r="B2" s="163"/>
      <c r="C2" s="295"/>
      <c r="D2" s="164"/>
      <c r="H2" s="128"/>
    </row>
    <row r="3" spans="1:28" s="126" customFormat="1" ht="13.5" thickBot="1">
      <c r="B3" s="296"/>
      <c r="C3" s="297" t="s">
        <v>229</v>
      </c>
      <c r="D3" s="257"/>
      <c r="E3" s="111">
        <v>1</v>
      </c>
      <c r="F3" s="111">
        <v>2</v>
      </c>
      <c r="G3" s="111">
        <v>3</v>
      </c>
      <c r="H3" s="111">
        <v>4</v>
      </c>
      <c r="I3" s="111">
        <v>5</v>
      </c>
      <c r="J3" s="111">
        <v>6</v>
      </c>
      <c r="K3" s="111">
        <v>7</v>
      </c>
      <c r="L3" s="111">
        <v>8</v>
      </c>
      <c r="M3" s="111">
        <v>9</v>
      </c>
      <c r="N3" s="111">
        <v>10</v>
      </c>
      <c r="O3" s="111">
        <v>11</v>
      </c>
      <c r="P3" s="111">
        <v>12</v>
      </c>
      <c r="Q3" s="111">
        <v>13</v>
      </c>
      <c r="R3" s="111">
        <v>14</v>
      </c>
      <c r="S3" s="111">
        <v>15</v>
      </c>
      <c r="T3" s="111">
        <v>16</v>
      </c>
      <c r="U3" s="111">
        <v>17</v>
      </c>
      <c r="V3" s="111">
        <v>18</v>
      </c>
      <c r="W3" s="111">
        <v>19</v>
      </c>
      <c r="X3" s="111">
        <v>20</v>
      </c>
      <c r="Y3" s="111">
        <v>21</v>
      </c>
      <c r="Z3" s="111" t="s">
        <v>1</v>
      </c>
      <c r="AA3" s="146"/>
    </row>
    <row r="4" spans="1:28">
      <c r="B4" s="322"/>
      <c r="C4" s="323" t="s">
        <v>134</v>
      </c>
      <c r="D4" s="259" t="s">
        <v>177</v>
      </c>
      <c r="E4" s="109">
        <f t="shared" ref="E4:N13" si="0">INDEX(scorematrix,MATCH($C4,renners,0),MATCH(E$3,etappes,0))</f>
        <v>0</v>
      </c>
      <c r="F4" s="109">
        <f t="shared" si="0"/>
        <v>0</v>
      </c>
      <c r="G4" s="109">
        <f t="shared" si="0"/>
        <v>0</v>
      </c>
      <c r="H4" s="109">
        <f t="shared" si="0"/>
        <v>46</v>
      </c>
      <c r="I4" s="109">
        <f t="shared" si="0"/>
        <v>12</v>
      </c>
      <c r="J4" s="109">
        <f t="shared" si="0"/>
        <v>11</v>
      </c>
      <c r="K4" s="109">
        <f t="shared" si="0"/>
        <v>11</v>
      </c>
      <c r="L4" s="109">
        <f t="shared" si="0"/>
        <v>19</v>
      </c>
      <c r="M4" s="109">
        <f t="shared" si="0"/>
        <v>40</v>
      </c>
      <c r="N4" s="109">
        <f t="shared" si="0"/>
        <v>10</v>
      </c>
      <c r="O4" s="109">
        <f t="shared" ref="O4:Z13" si="1">INDEX(scorematrix,MATCH($C4,renners,0),MATCH(O$3,etappes,0))</f>
        <v>10</v>
      </c>
      <c r="P4" s="109">
        <f t="shared" si="1"/>
        <v>10</v>
      </c>
      <c r="Q4" s="109">
        <f t="shared" si="1"/>
        <v>24</v>
      </c>
      <c r="R4" s="109">
        <f t="shared" si="1"/>
        <v>10</v>
      </c>
      <c r="S4" s="109">
        <f t="shared" si="1"/>
        <v>43</v>
      </c>
      <c r="T4" s="109">
        <f t="shared" si="1"/>
        <v>12</v>
      </c>
      <c r="U4" s="109">
        <f t="shared" si="1"/>
        <v>44</v>
      </c>
      <c r="V4" s="109">
        <f t="shared" si="1"/>
        <v>37</v>
      </c>
      <c r="W4" s="109">
        <f t="shared" si="1"/>
        <v>13</v>
      </c>
      <c r="X4" s="109">
        <f t="shared" si="1"/>
        <v>34</v>
      </c>
      <c r="Y4" s="109">
        <f t="shared" si="1"/>
        <v>12</v>
      </c>
      <c r="Z4" s="109">
        <f t="shared" si="1"/>
        <v>65</v>
      </c>
      <c r="AA4" s="172">
        <f t="shared" ref="AA4:AA20" si="2">SUM(E4:Z4)</f>
        <v>463</v>
      </c>
      <c r="AB4" s="108" t="str">
        <f t="shared" ref="AB4:AB20" si="3">C4</f>
        <v>Roglic</v>
      </c>
    </row>
    <row r="5" spans="1:28">
      <c r="B5" s="322"/>
      <c r="C5" s="324" t="s">
        <v>136</v>
      </c>
      <c r="D5" s="259" t="s">
        <v>177</v>
      </c>
      <c r="E5" s="109">
        <f t="shared" si="0"/>
        <v>0</v>
      </c>
      <c r="F5" s="109">
        <f t="shared" si="0"/>
        <v>14</v>
      </c>
      <c r="G5" s="109">
        <f t="shared" si="0"/>
        <v>8</v>
      </c>
      <c r="H5" s="109">
        <f t="shared" si="0"/>
        <v>28</v>
      </c>
      <c r="I5" s="109">
        <f t="shared" si="0"/>
        <v>18</v>
      </c>
      <c r="J5" s="109">
        <f t="shared" si="0"/>
        <v>28</v>
      </c>
      <c r="K5" s="109">
        <f t="shared" si="0"/>
        <v>30</v>
      </c>
      <c r="L5" s="109">
        <f t="shared" si="0"/>
        <v>24</v>
      </c>
      <c r="M5" s="109">
        <f t="shared" si="0"/>
        <v>38</v>
      </c>
      <c r="N5" s="109">
        <f t="shared" si="0"/>
        <v>14</v>
      </c>
      <c r="O5" s="109">
        <f t="shared" si="1"/>
        <v>14</v>
      </c>
      <c r="P5" s="109">
        <f t="shared" si="1"/>
        <v>14</v>
      </c>
      <c r="Q5" s="109">
        <f t="shared" si="1"/>
        <v>20</v>
      </c>
      <c r="R5" s="109">
        <f t="shared" si="1"/>
        <v>12</v>
      </c>
      <c r="S5" s="109">
        <f t="shared" si="1"/>
        <v>3</v>
      </c>
      <c r="T5" s="109">
        <f t="shared" si="1"/>
        <v>3</v>
      </c>
      <c r="U5" s="109">
        <f t="shared" si="1"/>
        <v>0</v>
      </c>
      <c r="V5" s="109">
        <f t="shared" si="1"/>
        <v>0</v>
      </c>
      <c r="W5" s="109">
        <f t="shared" si="1"/>
        <v>0</v>
      </c>
      <c r="X5" s="109">
        <f t="shared" si="1"/>
        <v>0</v>
      </c>
      <c r="Y5" s="109">
        <f t="shared" si="1"/>
        <v>0</v>
      </c>
      <c r="Z5" s="109">
        <f t="shared" si="1"/>
        <v>0</v>
      </c>
      <c r="AA5" s="172">
        <f t="shared" si="2"/>
        <v>268</v>
      </c>
      <c r="AB5" s="108" t="str">
        <f t="shared" si="3"/>
        <v>Bernal</v>
      </c>
    </row>
    <row r="6" spans="1:28">
      <c r="B6" s="322" t="s">
        <v>189</v>
      </c>
      <c r="C6" s="324" t="s">
        <v>106</v>
      </c>
      <c r="D6" s="259" t="s">
        <v>177</v>
      </c>
      <c r="E6" s="109">
        <f t="shared" si="0"/>
        <v>0</v>
      </c>
      <c r="F6" s="109">
        <f t="shared" si="0"/>
        <v>1</v>
      </c>
      <c r="G6" s="109">
        <f t="shared" si="0"/>
        <v>4</v>
      </c>
      <c r="H6" s="109">
        <f t="shared" si="0"/>
        <v>19</v>
      </c>
      <c r="I6" s="109">
        <f t="shared" si="0"/>
        <v>5</v>
      </c>
      <c r="J6" s="109">
        <f t="shared" si="0"/>
        <v>16</v>
      </c>
      <c r="K6" s="109">
        <f t="shared" si="0"/>
        <v>6</v>
      </c>
      <c r="L6" s="109">
        <f t="shared" si="0"/>
        <v>0</v>
      </c>
      <c r="M6" s="109">
        <f t="shared" si="0"/>
        <v>9</v>
      </c>
      <c r="N6" s="109">
        <f t="shared" si="0"/>
        <v>0</v>
      </c>
      <c r="O6" s="109">
        <f t="shared" si="1"/>
        <v>0</v>
      </c>
      <c r="P6" s="109">
        <f t="shared" si="1"/>
        <v>0</v>
      </c>
      <c r="Q6" s="109">
        <f t="shared" si="1"/>
        <v>0</v>
      </c>
      <c r="R6" s="109">
        <f t="shared" si="1"/>
        <v>0</v>
      </c>
      <c r="S6" s="109">
        <f t="shared" si="1"/>
        <v>15</v>
      </c>
      <c r="T6" s="109">
        <f t="shared" si="1"/>
        <v>2</v>
      </c>
      <c r="U6" s="109">
        <f t="shared" si="1"/>
        <v>18</v>
      </c>
      <c r="V6" s="109">
        <f t="shared" si="1"/>
        <v>18</v>
      </c>
      <c r="W6" s="109">
        <f t="shared" si="1"/>
        <v>2</v>
      </c>
      <c r="X6" s="109">
        <f t="shared" si="1"/>
        <v>34</v>
      </c>
      <c r="Y6" s="109">
        <f t="shared" si="1"/>
        <v>4</v>
      </c>
      <c r="Z6" s="109">
        <f t="shared" si="1"/>
        <v>38</v>
      </c>
      <c r="AA6" s="172">
        <f t="shared" si="2"/>
        <v>191</v>
      </c>
      <c r="AB6" s="108" t="str">
        <f t="shared" si="3"/>
        <v>Dumoulin</v>
      </c>
    </row>
    <row r="7" spans="1:28">
      <c r="B7" s="322" t="s">
        <v>137</v>
      </c>
      <c r="C7" s="324" t="s">
        <v>132</v>
      </c>
      <c r="D7" s="259" t="s">
        <v>177</v>
      </c>
      <c r="E7" s="109">
        <f t="shared" si="0"/>
        <v>0</v>
      </c>
      <c r="F7" s="109">
        <f t="shared" si="0"/>
        <v>8</v>
      </c>
      <c r="G7" s="109">
        <f t="shared" si="0"/>
        <v>0</v>
      </c>
      <c r="H7" s="109">
        <f t="shared" si="0"/>
        <v>26</v>
      </c>
      <c r="I7" s="109">
        <f t="shared" si="0"/>
        <v>4</v>
      </c>
      <c r="J7" s="109">
        <f t="shared" si="0"/>
        <v>16</v>
      </c>
      <c r="K7" s="109">
        <f t="shared" si="0"/>
        <v>5</v>
      </c>
      <c r="L7" s="109">
        <f t="shared" si="0"/>
        <v>14</v>
      </c>
      <c r="M7" s="109">
        <f t="shared" si="0"/>
        <v>21</v>
      </c>
      <c r="N7" s="109">
        <f t="shared" si="0"/>
        <v>6</v>
      </c>
      <c r="O7" s="109">
        <f t="shared" si="1"/>
        <v>6</v>
      </c>
      <c r="P7" s="109">
        <f t="shared" si="1"/>
        <v>6</v>
      </c>
      <c r="Q7" s="109">
        <f t="shared" si="1"/>
        <v>6</v>
      </c>
      <c r="R7" s="109">
        <f t="shared" si="1"/>
        <v>6</v>
      </c>
      <c r="S7" s="109">
        <f t="shared" si="1"/>
        <v>10</v>
      </c>
      <c r="T7" s="109">
        <f t="shared" si="1"/>
        <v>1</v>
      </c>
      <c r="U7" s="109">
        <f t="shared" si="1"/>
        <v>0</v>
      </c>
      <c r="V7" s="109">
        <f t="shared" si="1"/>
        <v>0</v>
      </c>
      <c r="W7" s="109">
        <f t="shared" si="1"/>
        <v>0</v>
      </c>
      <c r="X7" s="109">
        <f t="shared" si="1"/>
        <v>0</v>
      </c>
      <c r="Y7" s="109">
        <f t="shared" si="1"/>
        <v>0</v>
      </c>
      <c r="Z7" s="109">
        <f t="shared" si="1"/>
        <v>18</v>
      </c>
      <c r="AA7" s="172">
        <f t="shared" si="2"/>
        <v>153</v>
      </c>
      <c r="AB7" s="108" t="str">
        <f t="shared" si="3"/>
        <v>Quintana</v>
      </c>
    </row>
    <row r="8" spans="1:28">
      <c r="B8" s="322"/>
      <c r="C8" s="324" t="s">
        <v>199</v>
      </c>
      <c r="D8" s="259" t="s">
        <v>177</v>
      </c>
      <c r="E8" s="109">
        <f t="shared" si="0"/>
        <v>11</v>
      </c>
      <c r="F8" s="109">
        <f t="shared" si="0"/>
        <v>27</v>
      </c>
      <c r="G8" s="109">
        <f t="shared" si="0"/>
        <v>11</v>
      </c>
      <c r="H8" s="109">
        <f t="shared" si="0"/>
        <v>44</v>
      </c>
      <c r="I8" s="109">
        <f t="shared" si="0"/>
        <v>15</v>
      </c>
      <c r="J8" s="109">
        <f t="shared" si="0"/>
        <v>28</v>
      </c>
      <c r="K8" s="109">
        <f t="shared" si="0"/>
        <v>2</v>
      </c>
      <c r="L8" s="109">
        <f t="shared" si="0"/>
        <v>23</v>
      </c>
      <c r="M8" s="109">
        <f t="shared" si="0"/>
        <v>43</v>
      </c>
      <c r="N8" s="109">
        <f t="shared" si="0"/>
        <v>8</v>
      </c>
      <c r="O8" s="109">
        <f t="shared" si="1"/>
        <v>8</v>
      </c>
      <c r="P8" s="109">
        <f t="shared" si="1"/>
        <v>8</v>
      </c>
      <c r="Q8" s="109">
        <f t="shared" si="1"/>
        <v>27</v>
      </c>
      <c r="R8" s="109">
        <f t="shared" si="1"/>
        <v>28</v>
      </c>
      <c r="S8" s="109">
        <f t="shared" si="1"/>
        <v>53</v>
      </c>
      <c r="T8" s="109">
        <f t="shared" si="1"/>
        <v>17</v>
      </c>
      <c r="U8" s="109">
        <f t="shared" si="1"/>
        <v>45</v>
      </c>
      <c r="V8" s="109">
        <f t="shared" si="1"/>
        <v>40</v>
      </c>
      <c r="W8" s="109">
        <f t="shared" si="1"/>
        <v>18</v>
      </c>
      <c r="X8" s="109">
        <f t="shared" si="1"/>
        <v>55</v>
      </c>
      <c r="Y8" s="109">
        <f t="shared" si="1"/>
        <v>20</v>
      </c>
      <c r="Z8" s="109">
        <f t="shared" si="1"/>
        <v>90</v>
      </c>
      <c r="AA8" s="172">
        <f t="shared" si="2"/>
        <v>621</v>
      </c>
      <c r="AB8" s="108" t="str">
        <f t="shared" si="3"/>
        <v>Pogacar</v>
      </c>
    </row>
    <row r="9" spans="1:28">
      <c r="B9" s="322"/>
      <c r="C9" s="324" t="s">
        <v>72</v>
      </c>
      <c r="D9" s="259" t="s">
        <v>109</v>
      </c>
      <c r="E9" s="109">
        <f t="shared" si="0"/>
        <v>31</v>
      </c>
      <c r="F9" s="109">
        <f t="shared" si="0"/>
        <v>4</v>
      </c>
      <c r="G9" s="109">
        <f t="shared" si="0"/>
        <v>25</v>
      </c>
      <c r="H9" s="109">
        <f t="shared" si="0"/>
        <v>5</v>
      </c>
      <c r="I9" s="109">
        <f t="shared" si="0"/>
        <v>28</v>
      </c>
      <c r="J9" s="109">
        <f t="shared" si="0"/>
        <v>4</v>
      </c>
      <c r="K9" s="109">
        <f t="shared" si="0"/>
        <v>18</v>
      </c>
      <c r="L9" s="109">
        <f t="shared" si="0"/>
        <v>5</v>
      </c>
      <c r="M9" s="109">
        <f t="shared" si="0"/>
        <v>5</v>
      </c>
      <c r="N9" s="109">
        <f t="shared" si="0"/>
        <v>30</v>
      </c>
      <c r="O9" s="109">
        <f t="shared" si="1"/>
        <v>4</v>
      </c>
      <c r="P9" s="109">
        <f t="shared" si="1"/>
        <v>17</v>
      </c>
      <c r="Q9" s="109">
        <f t="shared" si="1"/>
        <v>4</v>
      </c>
      <c r="R9" s="109">
        <f t="shared" si="1"/>
        <v>28</v>
      </c>
      <c r="S9" s="109">
        <f t="shared" si="1"/>
        <v>4</v>
      </c>
      <c r="T9" s="109">
        <f t="shared" si="1"/>
        <v>4</v>
      </c>
      <c r="U9" s="109">
        <f t="shared" si="1"/>
        <v>4</v>
      </c>
      <c r="V9" s="109">
        <f t="shared" si="1"/>
        <v>4</v>
      </c>
      <c r="W9" s="109">
        <f t="shared" si="1"/>
        <v>21</v>
      </c>
      <c r="X9" s="109">
        <f t="shared" si="1"/>
        <v>4</v>
      </c>
      <c r="Y9" s="109">
        <f t="shared" si="1"/>
        <v>30</v>
      </c>
      <c r="Z9" s="109">
        <f t="shared" si="1"/>
        <v>7</v>
      </c>
      <c r="AA9" s="172">
        <f t="shared" si="2"/>
        <v>286</v>
      </c>
      <c r="AB9" s="108" t="str">
        <f t="shared" si="3"/>
        <v>Sagan</v>
      </c>
    </row>
    <row r="10" spans="1:28">
      <c r="B10" s="322"/>
      <c r="C10" s="324" t="s">
        <v>154</v>
      </c>
      <c r="D10" s="259" t="s">
        <v>109</v>
      </c>
      <c r="E10" s="109">
        <f t="shared" si="0"/>
        <v>0</v>
      </c>
      <c r="F10" s="109">
        <f t="shared" si="0"/>
        <v>46</v>
      </c>
      <c r="G10" s="109">
        <f t="shared" si="0"/>
        <v>10</v>
      </c>
      <c r="H10" s="109">
        <f t="shared" si="0"/>
        <v>32</v>
      </c>
      <c r="I10" s="109">
        <f t="shared" si="0"/>
        <v>10</v>
      </c>
      <c r="J10" s="109">
        <f t="shared" si="0"/>
        <v>22</v>
      </c>
      <c r="K10" s="109">
        <f t="shared" si="0"/>
        <v>14</v>
      </c>
      <c r="L10" s="109">
        <f t="shared" si="0"/>
        <v>0</v>
      </c>
      <c r="M10" s="109">
        <f t="shared" si="0"/>
        <v>0</v>
      </c>
      <c r="N10" s="109">
        <f t="shared" si="0"/>
        <v>0</v>
      </c>
      <c r="O10" s="109">
        <f t="shared" si="1"/>
        <v>0</v>
      </c>
      <c r="P10" s="109">
        <f t="shared" si="1"/>
        <v>15</v>
      </c>
      <c r="Q10" s="109">
        <f t="shared" si="1"/>
        <v>0</v>
      </c>
      <c r="R10" s="109">
        <f t="shared" si="1"/>
        <v>0</v>
      </c>
      <c r="S10" s="109">
        <f t="shared" si="1"/>
        <v>0</v>
      </c>
      <c r="T10" s="109">
        <f t="shared" si="1"/>
        <v>16</v>
      </c>
      <c r="U10" s="109">
        <f t="shared" si="1"/>
        <v>0</v>
      </c>
      <c r="V10" s="109">
        <f t="shared" si="1"/>
        <v>0</v>
      </c>
      <c r="W10" s="109">
        <f t="shared" si="1"/>
        <v>0</v>
      </c>
      <c r="X10" s="109">
        <f t="shared" si="1"/>
        <v>0</v>
      </c>
      <c r="Y10" s="109">
        <f t="shared" si="1"/>
        <v>0</v>
      </c>
      <c r="Z10" s="109">
        <f t="shared" si="1"/>
        <v>0</v>
      </c>
      <c r="AA10" s="172">
        <f t="shared" si="2"/>
        <v>165</v>
      </c>
      <c r="AB10" s="108" t="str">
        <f t="shared" si="3"/>
        <v>Alaphilippe</v>
      </c>
    </row>
    <row r="11" spans="1:28">
      <c r="B11" s="322"/>
      <c r="C11" s="324" t="s">
        <v>86</v>
      </c>
      <c r="D11" s="259" t="s">
        <v>177</v>
      </c>
      <c r="E11" s="109">
        <f t="shared" si="0"/>
        <v>0</v>
      </c>
      <c r="F11" s="109">
        <f t="shared" si="0"/>
        <v>0</v>
      </c>
      <c r="G11" s="109">
        <f t="shared" si="0"/>
        <v>0</v>
      </c>
      <c r="H11" s="109">
        <f t="shared" si="0"/>
        <v>18</v>
      </c>
      <c r="I11" s="109">
        <f t="shared" si="0"/>
        <v>0</v>
      </c>
      <c r="J11" s="109">
        <f t="shared" si="0"/>
        <v>12</v>
      </c>
      <c r="K11" s="109">
        <f t="shared" si="0"/>
        <v>10</v>
      </c>
      <c r="L11" s="109">
        <f t="shared" si="0"/>
        <v>0</v>
      </c>
      <c r="M11" s="109">
        <f t="shared" si="0"/>
        <v>0</v>
      </c>
      <c r="N11" s="109">
        <f t="shared" si="0"/>
        <v>0</v>
      </c>
      <c r="O11" s="109">
        <f t="shared" si="1"/>
        <v>0</v>
      </c>
      <c r="P11" s="109">
        <f t="shared" si="1"/>
        <v>0</v>
      </c>
      <c r="Q11" s="109">
        <f t="shared" si="1"/>
        <v>0</v>
      </c>
      <c r="R11" s="109">
        <f t="shared" si="1"/>
        <v>0</v>
      </c>
      <c r="S11" s="109">
        <f t="shared" si="1"/>
        <v>0</v>
      </c>
      <c r="T11" s="109">
        <f t="shared" si="1"/>
        <v>0</v>
      </c>
      <c r="U11" s="109">
        <f t="shared" si="1"/>
        <v>0</v>
      </c>
      <c r="V11" s="109">
        <f t="shared" si="1"/>
        <v>0</v>
      </c>
      <c r="W11" s="109">
        <f t="shared" si="1"/>
        <v>0</v>
      </c>
      <c r="X11" s="109">
        <f t="shared" si="1"/>
        <v>7</v>
      </c>
      <c r="Y11" s="109">
        <f t="shared" si="1"/>
        <v>0</v>
      </c>
      <c r="Z11" s="109">
        <f t="shared" si="1"/>
        <v>0</v>
      </c>
      <c r="AA11" s="172">
        <f t="shared" si="2"/>
        <v>47</v>
      </c>
      <c r="AB11" s="108" t="str">
        <f t="shared" si="3"/>
        <v>Pinot</v>
      </c>
    </row>
    <row r="12" spans="1:28">
      <c r="B12" s="322" t="s">
        <v>190</v>
      </c>
      <c r="C12" s="324" t="s">
        <v>191</v>
      </c>
      <c r="D12" s="259" t="s">
        <v>10</v>
      </c>
      <c r="E12" s="109">
        <f t="shared" si="0"/>
        <v>33</v>
      </c>
      <c r="F12" s="109">
        <f t="shared" si="0"/>
        <v>2</v>
      </c>
      <c r="G12" s="109">
        <f t="shared" si="0"/>
        <v>33</v>
      </c>
      <c r="H12" s="109">
        <f t="shared" si="0"/>
        <v>4</v>
      </c>
      <c r="I12" s="109">
        <f t="shared" si="0"/>
        <v>31</v>
      </c>
      <c r="J12" s="109">
        <f t="shared" si="0"/>
        <v>5</v>
      </c>
      <c r="K12" s="109">
        <f t="shared" si="0"/>
        <v>4</v>
      </c>
      <c r="L12" s="109">
        <f t="shared" si="0"/>
        <v>4</v>
      </c>
      <c r="M12" s="109">
        <f t="shared" si="0"/>
        <v>4</v>
      </c>
      <c r="N12" s="109">
        <f t="shared" si="0"/>
        <v>40</v>
      </c>
      <c r="O12" s="109">
        <f t="shared" si="1"/>
        <v>35</v>
      </c>
      <c r="P12" s="109">
        <f t="shared" si="1"/>
        <v>5</v>
      </c>
      <c r="Q12" s="109">
        <f t="shared" si="1"/>
        <v>5</v>
      </c>
      <c r="R12" s="109">
        <f t="shared" si="1"/>
        <v>5</v>
      </c>
      <c r="S12" s="109">
        <f t="shared" si="1"/>
        <v>5</v>
      </c>
      <c r="T12" s="109">
        <f t="shared" si="1"/>
        <v>5</v>
      </c>
      <c r="U12" s="109">
        <f t="shared" si="1"/>
        <v>5</v>
      </c>
      <c r="V12" s="109">
        <f t="shared" si="1"/>
        <v>5</v>
      </c>
      <c r="W12" s="109">
        <f t="shared" si="1"/>
        <v>23</v>
      </c>
      <c r="X12" s="109">
        <f t="shared" si="1"/>
        <v>5</v>
      </c>
      <c r="Y12" s="109">
        <f t="shared" si="1"/>
        <v>40</v>
      </c>
      <c r="Z12" s="109">
        <f t="shared" si="1"/>
        <v>10</v>
      </c>
      <c r="AA12" s="172">
        <f t="shared" si="2"/>
        <v>308</v>
      </c>
      <c r="AB12" s="108" t="str">
        <f t="shared" si="3"/>
        <v>Bennett</v>
      </c>
    </row>
    <row r="13" spans="1:28">
      <c r="A13" s="108">
        <v>203</v>
      </c>
      <c r="B13" s="322" t="s">
        <v>230</v>
      </c>
      <c r="C13" s="324" t="s">
        <v>231</v>
      </c>
      <c r="D13" s="259" t="s">
        <v>10</v>
      </c>
      <c r="E13" s="109">
        <f t="shared" si="0"/>
        <v>38</v>
      </c>
      <c r="F13" s="109">
        <f t="shared" si="0"/>
        <v>0</v>
      </c>
      <c r="G13" s="109">
        <f t="shared" si="0"/>
        <v>18</v>
      </c>
      <c r="H13" s="109">
        <f t="shared" si="0"/>
        <v>0</v>
      </c>
      <c r="I13" s="109">
        <f t="shared" si="0"/>
        <v>30</v>
      </c>
      <c r="J13" s="109">
        <f t="shared" si="0"/>
        <v>0</v>
      </c>
      <c r="K13" s="109">
        <f t="shared" si="0"/>
        <v>0</v>
      </c>
      <c r="L13" s="109">
        <f t="shared" si="0"/>
        <v>0</v>
      </c>
      <c r="M13" s="109">
        <f t="shared" si="0"/>
        <v>0</v>
      </c>
      <c r="N13" s="109">
        <f t="shared" si="0"/>
        <v>18</v>
      </c>
      <c r="O13" s="109">
        <f t="shared" si="1"/>
        <v>8</v>
      </c>
      <c r="P13" s="109">
        <f t="shared" si="1"/>
        <v>0</v>
      </c>
      <c r="Q13" s="109">
        <f t="shared" si="1"/>
        <v>0</v>
      </c>
      <c r="R13" s="109">
        <f t="shared" si="1"/>
        <v>0</v>
      </c>
      <c r="S13" s="109">
        <f t="shared" si="1"/>
        <v>0</v>
      </c>
      <c r="T13" s="109">
        <f t="shared" si="1"/>
        <v>0</v>
      </c>
      <c r="U13" s="109">
        <f t="shared" si="1"/>
        <v>0</v>
      </c>
      <c r="V13" s="109">
        <f t="shared" si="1"/>
        <v>0</v>
      </c>
      <c r="W13" s="109">
        <f t="shared" si="1"/>
        <v>0</v>
      </c>
      <c r="X13" s="109">
        <f t="shared" si="1"/>
        <v>0</v>
      </c>
      <c r="Y13" s="109">
        <f t="shared" si="1"/>
        <v>8</v>
      </c>
      <c r="Z13" s="109">
        <f t="shared" si="1"/>
        <v>0</v>
      </c>
      <c r="AA13" s="172">
        <f t="shared" si="2"/>
        <v>120</v>
      </c>
      <c r="AB13" s="108" t="str">
        <f t="shared" si="3"/>
        <v>Bol</v>
      </c>
    </row>
    <row r="14" spans="1:28">
      <c r="B14" s="322"/>
      <c r="C14" s="324" t="s">
        <v>201</v>
      </c>
      <c r="D14" s="259" t="s">
        <v>10</v>
      </c>
      <c r="E14" s="109">
        <f t="shared" ref="E14:N20" si="4">INDEX(scorematrix,MATCH($C14,renners,0),MATCH(E$3,etappes,0))</f>
        <v>23</v>
      </c>
      <c r="F14" s="109">
        <f t="shared" si="4"/>
        <v>0</v>
      </c>
      <c r="G14" s="109">
        <f t="shared" si="4"/>
        <v>26</v>
      </c>
      <c r="H14" s="109">
        <f t="shared" si="4"/>
        <v>1</v>
      </c>
      <c r="I14" s="109">
        <f t="shared" si="4"/>
        <v>15</v>
      </c>
      <c r="J14" s="109">
        <f t="shared" si="4"/>
        <v>0</v>
      </c>
      <c r="K14" s="109">
        <f t="shared" si="4"/>
        <v>0</v>
      </c>
      <c r="L14" s="109">
        <f t="shared" si="4"/>
        <v>0</v>
      </c>
      <c r="M14" s="350"/>
      <c r="N14" s="350"/>
      <c r="O14" s="350"/>
      <c r="P14" s="350"/>
      <c r="Q14" s="350"/>
      <c r="R14" s="350"/>
      <c r="S14" s="350"/>
      <c r="T14" s="350"/>
      <c r="U14" s="350"/>
      <c r="V14" s="350"/>
      <c r="W14" s="350"/>
      <c r="X14" s="350"/>
      <c r="Y14" s="350"/>
      <c r="Z14" s="350"/>
      <c r="AA14" s="172">
        <f t="shared" si="2"/>
        <v>65</v>
      </c>
      <c r="AB14" s="108" t="str">
        <f t="shared" si="3"/>
        <v>Nizzolo</v>
      </c>
    </row>
    <row r="15" spans="1:28">
      <c r="A15" s="108">
        <v>204</v>
      </c>
      <c r="B15" s="322"/>
      <c r="C15" s="324" t="s">
        <v>232</v>
      </c>
      <c r="D15" s="259" t="s">
        <v>109</v>
      </c>
      <c r="E15" s="109">
        <f t="shared" si="4"/>
        <v>0</v>
      </c>
      <c r="F15" s="109">
        <f t="shared" si="4"/>
        <v>43</v>
      </c>
      <c r="G15" s="109">
        <f t="shared" si="4"/>
        <v>13</v>
      </c>
      <c r="H15" s="109">
        <f t="shared" si="4"/>
        <v>1</v>
      </c>
      <c r="I15" s="109">
        <f t="shared" si="4"/>
        <v>1</v>
      </c>
      <c r="J15" s="109">
        <f t="shared" si="4"/>
        <v>0</v>
      </c>
      <c r="K15" s="109">
        <f t="shared" si="4"/>
        <v>0</v>
      </c>
      <c r="L15" s="109">
        <f t="shared" si="4"/>
        <v>0</v>
      </c>
      <c r="M15" s="109">
        <f t="shared" si="4"/>
        <v>29</v>
      </c>
      <c r="N15" s="109">
        <f t="shared" si="4"/>
        <v>3</v>
      </c>
      <c r="O15" s="109">
        <f t="shared" ref="O15:Z20" si="5">INDEX(scorematrix,MATCH($C15,renners,0),MATCH(O$3,etappes,0))</f>
        <v>3</v>
      </c>
      <c r="P15" s="109">
        <f t="shared" si="5"/>
        <v>38</v>
      </c>
      <c r="Q15" s="109">
        <f t="shared" si="5"/>
        <v>3</v>
      </c>
      <c r="R15" s="109">
        <f t="shared" si="5"/>
        <v>17</v>
      </c>
      <c r="S15" s="109">
        <f t="shared" si="5"/>
        <v>1</v>
      </c>
      <c r="T15" s="109">
        <f t="shared" si="5"/>
        <v>0</v>
      </c>
      <c r="U15" s="109">
        <f t="shared" si="5"/>
        <v>0</v>
      </c>
      <c r="V15" s="109">
        <f t="shared" si="5"/>
        <v>17</v>
      </c>
      <c r="W15" s="109">
        <f t="shared" si="5"/>
        <v>2</v>
      </c>
      <c r="X15" s="109">
        <f t="shared" si="5"/>
        <v>2</v>
      </c>
      <c r="Y15" s="109">
        <f t="shared" si="5"/>
        <v>2</v>
      </c>
      <c r="Z15" s="109">
        <f t="shared" si="5"/>
        <v>3</v>
      </c>
      <c r="AA15" s="172">
        <f t="shared" si="2"/>
        <v>178</v>
      </c>
      <c r="AB15" s="108" t="str">
        <f t="shared" si="3"/>
        <v>Hirschi</v>
      </c>
    </row>
    <row r="16" spans="1:28">
      <c r="B16" s="322"/>
      <c r="C16" s="324" t="s">
        <v>53</v>
      </c>
      <c r="D16" s="259" t="s">
        <v>177</v>
      </c>
      <c r="E16" s="109">
        <f t="shared" si="4"/>
        <v>0</v>
      </c>
      <c r="F16" s="109">
        <f t="shared" si="4"/>
        <v>20</v>
      </c>
      <c r="G16" s="109">
        <f t="shared" si="4"/>
        <v>0</v>
      </c>
      <c r="H16" s="109">
        <f t="shared" si="4"/>
        <v>13</v>
      </c>
      <c r="I16" s="109">
        <f t="shared" si="4"/>
        <v>0</v>
      </c>
      <c r="J16" s="109">
        <f t="shared" si="4"/>
        <v>20</v>
      </c>
      <c r="K16" s="109">
        <f t="shared" si="4"/>
        <v>0</v>
      </c>
      <c r="L16" s="109">
        <f t="shared" si="4"/>
        <v>0</v>
      </c>
      <c r="M16" s="109">
        <f t="shared" si="4"/>
        <v>20</v>
      </c>
      <c r="N16" s="109">
        <f t="shared" si="4"/>
        <v>0</v>
      </c>
      <c r="O16" s="109">
        <f t="shared" si="5"/>
        <v>0</v>
      </c>
      <c r="P16" s="109">
        <f t="shared" si="5"/>
        <v>6</v>
      </c>
      <c r="Q16" s="109">
        <f t="shared" si="5"/>
        <v>0</v>
      </c>
      <c r="R16" s="354"/>
      <c r="S16" s="354"/>
      <c r="T16" s="354"/>
      <c r="U16" s="354"/>
      <c r="V16" s="354"/>
      <c r="W16" s="354"/>
      <c r="X16" s="354"/>
      <c r="Y16" s="354"/>
      <c r="Z16" s="354"/>
      <c r="AA16" s="172">
        <f t="shared" si="2"/>
        <v>79</v>
      </c>
      <c r="AB16" s="108" t="str">
        <f t="shared" si="3"/>
        <v>Mollema</v>
      </c>
    </row>
    <row r="17" spans="2:32">
      <c r="B17" s="322"/>
      <c r="C17" s="324" t="s">
        <v>193</v>
      </c>
      <c r="D17" s="259" t="s">
        <v>177</v>
      </c>
      <c r="E17" s="109">
        <f t="shared" si="4"/>
        <v>0</v>
      </c>
      <c r="F17" s="109">
        <f t="shared" si="4"/>
        <v>0</v>
      </c>
      <c r="G17" s="109">
        <f t="shared" si="4"/>
        <v>0</v>
      </c>
      <c r="H17" s="109">
        <f t="shared" si="4"/>
        <v>0</v>
      </c>
      <c r="I17" s="109">
        <f t="shared" si="4"/>
        <v>0</v>
      </c>
      <c r="J17" s="109">
        <f t="shared" si="4"/>
        <v>1</v>
      </c>
      <c r="K17" s="109">
        <f t="shared" si="4"/>
        <v>1</v>
      </c>
      <c r="L17" s="109">
        <f t="shared" si="4"/>
        <v>0</v>
      </c>
      <c r="M17" s="109">
        <f t="shared" si="4"/>
        <v>0</v>
      </c>
      <c r="N17" s="109">
        <f t="shared" si="4"/>
        <v>0</v>
      </c>
      <c r="O17" s="109">
        <f t="shared" si="5"/>
        <v>1</v>
      </c>
      <c r="P17" s="109">
        <f t="shared" si="5"/>
        <v>1</v>
      </c>
      <c r="Q17" s="109">
        <f t="shared" si="5"/>
        <v>36</v>
      </c>
      <c r="R17" s="109">
        <f t="shared" si="5"/>
        <v>1</v>
      </c>
      <c r="S17" s="109">
        <f t="shared" si="5"/>
        <v>2</v>
      </c>
      <c r="T17" s="109">
        <f t="shared" si="5"/>
        <v>1</v>
      </c>
      <c r="U17" s="109">
        <f t="shared" si="5"/>
        <v>2</v>
      </c>
      <c r="V17" s="109">
        <f t="shared" si="5"/>
        <v>2</v>
      </c>
      <c r="W17" s="109">
        <f t="shared" si="5"/>
        <v>2</v>
      </c>
      <c r="X17" s="109">
        <f t="shared" si="5"/>
        <v>17</v>
      </c>
      <c r="Y17" s="109">
        <f t="shared" si="5"/>
        <v>2</v>
      </c>
      <c r="Z17" s="109">
        <f t="shared" si="5"/>
        <v>3</v>
      </c>
      <c r="AA17" s="172">
        <f t="shared" si="2"/>
        <v>72</v>
      </c>
      <c r="AB17" s="108" t="str">
        <f t="shared" si="3"/>
        <v>Martinez</v>
      </c>
    </row>
    <row r="18" spans="2:32">
      <c r="B18" s="322"/>
      <c r="C18" s="324" t="s">
        <v>171</v>
      </c>
      <c r="D18" s="259" t="s">
        <v>177</v>
      </c>
      <c r="E18" s="109">
        <f t="shared" si="4"/>
        <v>0</v>
      </c>
      <c r="F18" s="109">
        <f t="shared" si="4"/>
        <v>0</v>
      </c>
      <c r="G18" s="109">
        <f t="shared" si="4"/>
        <v>0</v>
      </c>
      <c r="H18" s="109">
        <f t="shared" si="4"/>
        <v>9</v>
      </c>
      <c r="I18" s="109">
        <f t="shared" si="4"/>
        <v>0</v>
      </c>
      <c r="J18" s="109">
        <f t="shared" si="4"/>
        <v>7</v>
      </c>
      <c r="K18" s="109">
        <f t="shared" si="4"/>
        <v>7</v>
      </c>
      <c r="L18" s="109">
        <f t="shared" si="4"/>
        <v>0</v>
      </c>
      <c r="M18" s="109">
        <f t="shared" si="4"/>
        <v>0</v>
      </c>
      <c r="N18" s="352"/>
      <c r="O18" s="352"/>
      <c r="P18" s="352"/>
      <c r="Q18" s="352"/>
      <c r="R18" s="352"/>
      <c r="S18" s="352"/>
      <c r="T18" s="352"/>
      <c r="U18" s="352"/>
      <c r="V18" s="352"/>
      <c r="W18" s="352"/>
      <c r="X18" s="352"/>
      <c r="Y18" s="352"/>
      <c r="Z18" s="352"/>
      <c r="AA18" s="172">
        <f t="shared" si="2"/>
        <v>23</v>
      </c>
      <c r="AB18" s="108" t="str">
        <f t="shared" si="3"/>
        <v>Buchmann</v>
      </c>
    </row>
    <row r="19" spans="2:32">
      <c r="B19" s="322" t="s">
        <v>157</v>
      </c>
      <c r="C19" s="324" t="s">
        <v>159</v>
      </c>
      <c r="D19" s="259" t="s">
        <v>177</v>
      </c>
      <c r="E19" s="109">
        <f t="shared" si="4"/>
        <v>0</v>
      </c>
      <c r="F19" s="109">
        <f t="shared" si="4"/>
        <v>15</v>
      </c>
      <c r="G19" s="109">
        <f t="shared" si="4"/>
        <v>2</v>
      </c>
      <c r="H19" s="109">
        <f t="shared" si="4"/>
        <v>32</v>
      </c>
      <c r="I19" s="109">
        <f t="shared" si="4"/>
        <v>7</v>
      </c>
      <c r="J19" s="109">
        <f t="shared" si="4"/>
        <v>7</v>
      </c>
      <c r="K19" s="109">
        <f t="shared" si="4"/>
        <v>14</v>
      </c>
      <c r="L19" s="109">
        <f t="shared" si="4"/>
        <v>19</v>
      </c>
      <c r="M19" s="109">
        <f t="shared" si="4"/>
        <v>27</v>
      </c>
      <c r="N19" s="109">
        <f t="shared" si="4"/>
        <v>8</v>
      </c>
      <c r="O19" s="109">
        <f t="shared" si="5"/>
        <v>8</v>
      </c>
      <c r="P19" s="109">
        <f t="shared" si="5"/>
        <v>8</v>
      </c>
      <c r="Q19" s="109">
        <f t="shared" si="5"/>
        <v>0</v>
      </c>
      <c r="R19" s="109">
        <f t="shared" si="5"/>
        <v>0</v>
      </c>
      <c r="S19" s="109">
        <f t="shared" si="5"/>
        <v>12</v>
      </c>
      <c r="T19" s="109">
        <f t="shared" si="5"/>
        <v>0</v>
      </c>
      <c r="U19" s="109">
        <f t="shared" si="5"/>
        <v>12</v>
      </c>
      <c r="V19" s="109">
        <f t="shared" si="5"/>
        <v>8</v>
      </c>
      <c r="W19" s="109">
        <f t="shared" si="5"/>
        <v>0</v>
      </c>
      <c r="X19" s="109">
        <f t="shared" si="5"/>
        <v>0</v>
      </c>
      <c r="Y19" s="109">
        <f t="shared" si="5"/>
        <v>0</v>
      </c>
      <c r="Z19" s="109">
        <f t="shared" si="5"/>
        <v>30</v>
      </c>
      <c r="AA19" s="172">
        <f t="shared" si="2"/>
        <v>209</v>
      </c>
      <c r="AB19" s="108" t="str">
        <f t="shared" si="3"/>
        <v>G.Martin</v>
      </c>
    </row>
    <row r="20" spans="2:32" s="157" customFormat="1">
      <c r="B20" s="322"/>
      <c r="C20" s="324" t="s">
        <v>221</v>
      </c>
      <c r="D20" s="259" t="s">
        <v>109</v>
      </c>
      <c r="E20" s="109">
        <f t="shared" si="4"/>
        <v>0</v>
      </c>
      <c r="F20" s="109">
        <f t="shared" si="4"/>
        <v>0</v>
      </c>
      <c r="G20" s="109">
        <f t="shared" si="4"/>
        <v>0</v>
      </c>
      <c r="H20" s="109">
        <f t="shared" si="4"/>
        <v>0</v>
      </c>
      <c r="I20" s="109">
        <f t="shared" si="4"/>
        <v>0</v>
      </c>
      <c r="J20" s="109">
        <f t="shared" si="4"/>
        <v>0</v>
      </c>
      <c r="K20" s="109">
        <f t="shared" si="4"/>
        <v>0</v>
      </c>
      <c r="L20" s="109">
        <f t="shared" si="4"/>
        <v>0</v>
      </c>
      <c r="M20" s="109">
        <f t="shared" si="4"/>
        <v>0</v>
      </c>
      <c r="N20" s="109">
        <f t="shared" si="4"/>
        <v>0</v>
      </c>
      <c r="O20" s="109">
        <f t="shared" si="5"/>
        <v>0</v>
      </c>
      <c r="P20" s="109">
        <f t="shared" si="5"/>
        <v>0</v>
      </c>
      <c r="Q20" s="109">
        <f t="shared" si="5"/>
        <v>30</v>
      </c>
      <c r="R20" s="109">
        <f t="shared" si="5"/>
        <v>0</v>
      </c>
      <c r="S20" s="109">
        <f t="shared" si="5"/>
        <v>0</v>
      </c>
      <c r="T20" s="109">
        <f t="shared" si="5"/>
        <v>35</v>
      </c>
      <c r="U20" s="109">
        <f t="shared" si="5"/>
        <v>1</v>
      </c>
      <c r="V20" s="109">
        <f t="shared" si="5"/>
        <v>1</v>
      </c>
      <c r="W20" s="109">
        <f t="shared" si="5"/>
        <v>1</v>
      </c>
      <c r="X20" s="109">
        <f t="shared" si="5"/>
        <v>1</v>
      </c>
      <c r="Y20" s="109">
        <f t="shared" si="5"/>
        <v>1</v>
      </c>
      <c r="Z20" s="109">
        <f t="shared" si="5"/>
        <v>1</v>
      </c>
      <c r="AA20" s="172">
        <f t="shared" si="2"/>
        <v>71</v>
      </c>
      <c r="AB20" s="108" t="str">
        <f t="shared" si="3"/>
        <v>Kämna</v>
      </c>
    </row>
    <row r="21" spans="2:32" s="158" customFormat="1">
      <c r="B21" s="325"/>
      <c r="C21" s="326"/>
      <c r="D21" s="165"/>
      <c r="E21" s="167"/>
      <c r="F21" s="167"/>
      <c r="G21" s="167"/>
      <c r="H21" s="167"/>
      <c r="I21" s="167"/>
      <c r="J21" s="167"/>
      <c r="K21" s="167"/>
      <c r="L21" s="167"/>
      <c r="M21" s="167">
        <f>M26</f>
        <v>8</v>
      </c>
      <c r="N21" s="167">
        <f>N26+N25</f>
        <v>18</v>
      </c>
      <c r="O21" s="167">
        <f t="shared" ref="O21:Q21" si="6">O26+O25</f>
        <v>18</v>
      </c>
      <c r="P21" s="167">
        <f t="shared" si="6"/>
        <v>3</v>
      </c>
      <c r="Q21" s="167">
        <f t="shared" si="6"/>
        <v>3</v>
      </c>
      <c r="R21" s="167">
        <f>R26+R25+R24</f>
        <v>31</v>
      </c>
      <c r="S21" s="167">
        <f t="shared" ref="S21:Z21" si="7">S26+S25+S24</f>
        <v>28</v>
      </c>
      <c r="T21" s="167">
        <f t="shared" si="7"/>
        <v>23</v>
      </c>
      <c r="U21" s="167">
        <f t="shared" si="7"/>
        <v>25</v>
      </c>
      <c r="V21" s="167">
        <f t="shared" si="7"/>
        <v>13</v>
      </c>
      <c r="W21" s="167">
        <f t="shared" si="7"/>
        <v>22</v>
      </c>
      <c r="X21" s="167">
        <f t="shared" si="7"/>
        <v>22</v>
      </c>
      <c r="Y21" s="167">
        <f t="shared" si="7"/>
        <v>15</v>
      </c>
      <c r="Z21" s="167">
        <f t="shared" si="7"/>
        <v>41</v>
      </c>
      <c r="AA21" s="225">
        <f t="shared" ref="AA21" si="8">SUM(E21:Z21)</f>
        <v>270</v>
      </c>
      <c r="AF21" s="158" t="str">
        <f>PROPER(AD21)</f>
        <v/>
      </c>
    </row>
    <row r="22" spans="2:32" s="112" customFormat="1">
      <c r="B22" s="327"/>
      <c r="C22" s="328"/>
      <c r="D22" s="166"/>
      <c r="E22" s="159">
        <f t="shared" ref="E22:AA22" si="9">SUM(E4:E21)</f>
        <v>136</v>
      </c>
      <c r="F22" s="159">
        <f t="shared" si="9"/>
        <v>180</v>
      </c>
      <c r="G22" s="159">
        <f t="shared" si="9"/>
        <v>150</v>
      </c>
      <c r="H22" s="159">
        <f t="shared" si="9"/>
        <v>278</v>
      </c>
      <c r="I22" s="159">
        <f t="shared" si="9"/>
        <v>176</v>
      </c>
      <c r="J22" s="159">
        <f t="shared" si="9"/>
        <v>177</v>
      </c>
      <c r="K22" s="159">
        <f t="shared" si="9"/>
        <v>122</v>
      </c>
      <c r="L22" s="159">
        <f t="shared" si="9"/>
        <v>108</v>
      </c>
      <c r="M22" s="159">
        <f t="shared" si="9"/>
        <v>244</v>
      </c>
      <c r="N22" s="159">
        <f t="shared" si="9"/>
        <v>155</v>
      </c>
      <c r="O22" s="159">
        <f t="shared" si="9"/>
        <v>115</v>
      </c>
      <c r="P22" s="159">
        <f t="shared" si="9"/>
        <v>131</v>
      </c>
      <c r="Q22" s="159">
        <f t="shared" si="9"/>
        <v>158</v>
      </c>
      <c r="R22" s="159">
        <f t="shared" si="9"/>
        <v>138</v>
      </c>
      <c r="S22" s="159">
        <f t="shared" si="9"/>
        <v>176</v>
      </c>
      <c r="T22" s="159">
        <f t="shared" si="9"/>
        <v>119</v>
      </c>
      <c r="U22" s="159">
        <f t="shared" si="9"/>
        <v>156</v>
      </c>
      <c r="V22" s="159">
        <f t="shared" si="9"/>
        <v>145</v>
      </c>
      <c r="W22" s="159">
        <f t="shared" si="9"/>
        <v>104</v>
      </c>
      <c r="X22" s="159">
        <f t="shared" si="9"/>
        <v>181</v>
      </c>
      <c r="Y22" s="159">
        <f t="shared" si="9"/>
        <v>134</v>
      </c>
      <c r="Z22" s="159">
        <f t="shared" si="9"/>
        <v>306</v>
      </c>
      <c r="AA22" s="222">
        <f t="shared" si="9"/>
        <v>3589</v>
      </c>
      <c r="AF22" s="112" t="str">
        <f>PROPER(AD22)</f>
        <v/>
      </c>
    </row>
    <row r="23" spans="2:32" s="160" customFormat="1">
      <c r="B23" s="329"/>
      <c r="C23" s="330"/>
      <c r="D23" s="16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2:32" s="162" customFormat="1">
      <c r="B24" s="322"/>
      <c r="C24" s="331" t="s">
        <v>122</v>
      </c>
      <c r="D24" s="262" t="s">
        <v>177</v>
      </c>
      <c r="E24" s="179">
        <f t="shared" ref="E24:Z26" si="10">INDEX(scorematrix,MATCH($C24,renners,0),MATCH(E$3,etappes,0))</f>
        <v>0</v>
      </c>
      <c r="F24" s="179">
        <f t="shared" si="10"/>
        <v>0</v>
      </c>
      <c r="G24" s="179">
        <f t="shared" si="10"/>
        <v>0</v>
      </c>
      <c r="H24" s="179">
        <f t="shared" si="10"/>
        <v>11</v>
      </c>
      <c r="I24" s="179">
        <f t="shared" si="10"/>
        <v>0</v>
      </c>
      <c r="J24" s="179">
        <f t="shared" si="10"/>
        <v>0</v>
      </c>
      <c r="K24" s="179">
        <f t="shared" si="10"/>
        <v>1</v>
      </c>
      <c r="L24" s="179">
        <f t="shared" si="10"/>
        <v>11</v>
      </c>
      <c r="M24" s="179">
        <f t="shared" si="10"/>
        <v>21</v>
      </c>
      <c r="N24" s="179">
        <f t="shared" si="10"/>
        <v>5</v>
      </c>
      <c r="O24" s="179">
        <f t="shared" si="10"/>
        <v>5</v>
      </c>
      <c r="P24" s="179">
        <f t="shared" si="10"/>
        <v>5</v>
      </c>
      <c r="Q24" s="179">
        <f t="shared" si="10"/>
        <v>14</v>
      </c>
      <c r="R24" s="353">
        <f t="shared" si="10"/>
        <v>7</v>
      </c>
      <c r="S24" s="353">
        <f t="shared" si="10"/>
        <v>25</v>
      </c>
      <c r="T24" s="353">
        <f t="shared" si="10"/>
        <v>8</v>
      </c>
      <c r="U24" s="353">
        <f t="shared" si="10"/>
        <v>22</v>
      </c>
      <c r="V24" s="353">
        <f t="shared" si="10"/>
        <v>10</v>
      </c>
      <c r="W24" s="353">
        <f t="shared" si="10"/>
        <v>3</v>
      </c>
      <c r="X24" s="353">
        <f t="shared" si="10"/>
        <v>19</v>
      </c>
      <c r="Y24" s="353">
        <f t="shared" si="10"/>
        <v>3</v>
      </c>
      <c r="Z24" s="353">
        <f t="shared" si="10"/>
        <v>36</v>
      </c>
      <c r="AA24" s="290">
        <f>SUM(E24:Z24)</f>
        <v>206</v>
      </c>
    </row>
    <row r="25" spans="2:32" s="162" customFormat="1">
      <c r="B25" s="322"/>
      <c r="C25" s="331" t="s">
        <v>197</v>
      </c>
      <c r="D25" s="262" t="s">
        <v>10</v>
      </c>
      <c r="E25" s="179">
        <f t="shared" si="10"/>
        <v>14</v>
      </c>
      <c r="F25" s="179">
        <f t="shared" si="10"/>
        <v>3</v>
      </c>
      <c r="G25" s="179">
        <f t="shared" si="10"/>
        <v>2</v>
      </c>
      <c r="H25" s="179">
        <f t="shared" si="10"/>
        <v>2</v>
      </c>
      <c r="I25" s="179">
        <f t="shared" si="10"/>
        <v>1</v>
      </c>
      <c r="J25" s="179">
        <f t="shared" si="10"/>
        <v>1</v>
      </c>
      <c r="K25" s="179">
        <f t="shared" si="10"/>
        <v>0</v>
      </c>
      <c r="L25" s="179">
        <f t="shared" si="10"/>
        <v>0</v>
      </c>
      <c r="M25" s="179">
        <f t="shared" si="10"/>
        <v>1</v>
      </c>
      <c r="N25" s="351">
        <f t="shared" si="10"/>
        <v>16</v>
      </c>
      <c r="O25" s="351">
        <f t="shared" si="10"/>
        <v>16</v>
      </c>
      <c r="P25" s="351">
        <f t="shared" si="10"/>
        <v>1</v>
      </c>
      <c r="Q25" s="351">
        <f t="shared" si="10"/>
        <v>1</v>
      </c>
      <c r="R25" s="351">
        <f t="shared" si="10"/>
        <v>22</v>
      </c>
      <c r="S25" s="351">
        <f t="shared" si="10"/>
        <v>3</v>
      </c>
      <c r="T25" s="351">
        <f t="shared" si="10"/>
        <v>15</v>
      </c>
      <c r="U25" s="351">
        <f t="shared" si="10"/>
        <v>3</v>
      </c>
      <c r="V25" s="351">
        <f t="shared" si="10"/>
        <v>3</v>
      </c>
      <c r="W25" s="351">
        <f t="shared" si="10"/>
        <v>19</v>
      </c>
      <c r="X25" s="351">
        <f t="shared" si="10"/>
        <v>3</v>
      </c>
      <c r="Y25" s="351">
        <f t="shared" si="10"/>
        <v>12</v>
      </c>
      <c r="Z25" s="351">
        <f t="shared" si="10"/>
        <v>5</v>
      </c>
      <c r="AA25" s="290">
        <f>SUM(E25:Z25)</f>
        <v>143</v>
      </c>
    </row>
    <row r="26" spans="2:32" s="162" customFormat="1">
      <c r="B26" s="322"/>
      <c r="C26" s="331" t="s">
        <v>212</v>
      </c>
      <c r="D26" s="262" t="s">
        <v>177</v>
      </c>
      <c r="E26" s="179">
        <f t="shared" si="10"/>
        <v>13</v>
      </c>
      <c r="F26" s="179">
        <f t="shared" si="10"/>
        <v>33</v>
      </c>
      <c r="G26" s="179">
        <f t="shared" si="10"/>
        <v>5</v>
      </c>
      <c r="H26" s="179">
        <f t="shared" si="10"/>
        <v>2</v>
      </c>
      <c r="I26" s="179">
        <f t="shared" si="10"/>
        <v>2</v>
      </c>
      <c r="J26" s="179">
        <f t="shared" si="10"/>
        <v>2</v>
      </c>
      <c r="K26" s="179">
        <f t="shared" si="10"/>
        <v>12</v>
      </c>
      <c r="L26" s="179">
        <f t="shared" si="10"/>
        <v>2</v>
      </c>
      <c r="M26" s="349">
        <f t="shared" si="10"/>
        <v>8</v>
      </c>
      <c r="N26" s="349">
        <f t="shared" si="10"/>
        <v>2</v>
      </c>
      <c r="O26" s="349">
        <f t="shared" si="10"/>
        <v>2</v>
      </c>
      <c r="P26" s="349">
        <f t="shared" si="10"/>
        <v>2</v>
      </c>
      <c r="Q26" s="349">
        <f t="shared" si="10"/>
        <v>2</v>
      </c>
      <c r="R26" s="349">
        <f t="shared" si="10"/>
        <v>2</v>
      </c>
      <c r="S26" s="349">
        <f t="shared" si="10"/>
        <v>0</v>
      </c>
      <c r="T26" s="349">
        <f t="shared" si="10"/>
        <v>0</v>
      </c>
      <c r="U26" s="349">
        <f t="shared" si="10"/>
        <v>0</v>
      </c>
      <c r="V26" s="349">
        <f t="shared" si="10"/>
        <v>0</v>
      </c>
      <c r="W26" s="349">
        <f t="shared" si="10"/>
        <v>0</v>
      </c>
      <c r="X26" s="349">
        <f t="shared" si="10"/>
        <v>0</v>
      </c>
      <c r="Y26" s="349">
        <f t="shared" si="10"/>
        <v>0</v>
      </c>
      <c r="Z26" s="349">
        <f t="shared" si="10"/>
        <v>0</v>
      </c>
      <c r="AA26" s="290">
        <f>SUM(E26:Z26)</f>
        <v>89</v>
      </c>
    </row>
    <row r="28" spans="2:32">
      <c r="C28" s="291" t="s">
        <v>163</v>
      </c>
      <c r="D28" s="292">
        <f>COUNTIF($D$4:$D$21,C28)</f>
        <v>0</v>
      </c>
    </row>
    <row r="29" spans="2:32">
      <c r="C29" s="293" t="s">
        <v>10</v>
      </c>
      <c r="D29" s="292">
        <f>COUNTIF($D$4:$D$21,C29)</f>
        <v>3</v>
      </c>
    </row>
    <row r="30" spans="2:32">
      <c r="C30" s="293" t="s">
        <v>109</v>
      </c>
      <c r="D30" s="292">
        <f>COUNTIF($D$4:$D$21,C30)</f>
        <v>4</v>
      </c>
    </row>
  </sheetData>
  <sortState ref="A4:AF20">
    <sortCondition ref="D4:D20"/>
  </sortState>
  <phoneticPr fontId="0" type="noConversion"/>
  <dataValidations count="1">
    <dataValidation type="list" allowBlank="1" showInputMessage="1" showErrorMessage="1" prompt="selecteer type renner:" sqref="D24:D26 D4:D20">
      <formula1>type_renner</formula1>
    </dataValidation>
  </dataValidation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sheetPr codeName="Blad19">
    <tabColor indexed="12"/>
  </sheetPr>
  <dimension ref="B1:AB30"/>
  <sheetViews>
    <sheetView showZeros="0" workbookViewId="0">
      <selection activeCell="C7" sqref="C7"/>
    </sheetView>
  </sheetViews>
  <sheetFormatPr defaultColWidth="9.140625" defaultRowHeight="12.75"/>
  <cols>
    <col min="1" max="1" width="2.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B1" s="163"/>
      <c r="C1" s="294" t="s">
        <v>184</v>
      </c>
      <c r="D1" s="256"/>
    </row>
    <row r="2" spans="2:28">
      <c r="B2" s="163"/>
      <c r="C2" s="295"/>
      <c r="D2" s="164"/>
      <c r="H2" s="128"/>
    </row>
    <row r="3" spans="2:28" s="126" customFormat="1" ht="13.5" thickBot="1">
      <c r="B3" s="296"/>
      <c r="C3" s="297" t="s">
        <v>233</v>
      </c>
      <c r="D3" s="257"/>
      <c r="E3" s="111">
        <f>Score!C1</f>
        <v>1</v>
      </c>
      <c r="F3" s="111">
        <f>Score!D1</f>
        <v>2</v>
      </c>
      <c r="G3" s="111">
        <f>Score!E1</f>
        <v>3</v>
      </c>
      <c r="H3" s="111">
        <f>Score!F1</f>
        <v>4</v>
      </c>
      <c r="I3" s="111">
        <f>Score!G1</f>
        <v>5</v>
      </c>
      <c r="J3" s="111">
        <f>Score!H1</f>
        <v>6</v>
      </c>
      <c r="K3" s="111">
        <f>Score!I1</f>
        <v>7</v>
      </c>
      <c r="L3" s="111">
        <f>Score!J1</f>
        <v>8</v>
      </c>
      <c r="M3" s="111">
        <f>Score!K1</f>
        <v>9</v>
      </c>
      <c r="N3" s="111">
        <f>Score!L1</f>
        <v>10</v>
      </c>
      <c r="O3" s="111">
        <f>Score!M1</f>
        <v>11</v>
      </c>
      <c r="P3" s="111">
        <f>Score!N1</f>
        <v>12</v>
      </c>
      <c r="Q3" s="111">
        <f>Score!O1</f>
        <v>13</v>
      </c>
      <c r="R3" s="111">
        <f>Score!P1</f>
        <v>14</v>
      </c>
      <c r="S3" s="111">
        <f>Score!Q1</f>
        <v>15</v>
      </c>
      <c r="T3" s="111">
        <f>Score!R1</f>
        <v>16</v>
      </c>
      <c r="U3" s="111">
        <f>Score!S1</f>
        <v>17</v>
      </c>
      <c r="V3" s="111">
        <f>Score!T1</f>
        <v>18</v>
      </c>
      <c r="W3" s="111">
        <f>Score!U1</f>
        <v>19</v>
      </c>
      <c r="X3" s="111">
        <f>Score!V1</f>
        <v>20</v>
      </c>
      <c r="Y3" s="111">
        <f>Score!W1</f>
        <v>21</v>
      </c>
      <c r="Z3" s="111" t="s">
        <v>2</v>
      </c>
      <c r="AA3" s="146"/>
    </row>
    <row r="4" spans="2:28">
      <c r="B4" s="322" t="s">
        <v>153</v>
      </c>
      <c r="C4" s="323" t="s">
        <v>154</v>
      </c>
      <c r="D4" s="259" t="s">
        <v>109</v>
      </c>
      <c r="E4" s="109">
        <f>VLOOKUP($C4,Score!$B$2:$X$78,2,0)</f>
        <v>0</v>
      </c>
      <c r="F4" s="109">
        <f>VLOOKUP($C4,Score!$B$2:$X$78,3,0)</f>
        <v>46</v>
      </c>
      <c r="G4" s="109">
        <f>VLOOKUP($C4,Score!$B$2:$X$78,4,0)</f>
        <v>10</v>
      </c>
      <c r="H4" s="109">
        <f>VLOOKUP($C4,Score!$B$2:$X$78,5,0)</f>
        <v>32</v>
      </c>
      <c r="I4" s="109">
        <f>VLOOKUP($C4,Score!$B$2:$X$78,6,0)</f>
        <v>10</v>
      </c>
      <c r="J4" s="109">
        <f>VLOOKUP($C4,Score!$B$2:$X$78,7,0)</f>
        <v>22</v>
      </c>
      <c r="K4" s="109">
        <f>VLOOKUP($C4,Score!$B$2:$X$78,8,0)</f>
        <v>14</v>
      </c>
      <c r="L4" s="109">
        <f>VLOOKUP($C4,Score!$B$2:$X$78,9,0)</f>
        <v>0</v>
      </c>
      <c r="M4" s="109">
        <f>VLOOKUP($C4,Score!$B$2:$X$78,10,0)</f>
        <v>0</v>
      </c>
      <c r="N4" s="109">
        <f>VLOOKUP($C4,Score!$B$2:$X$78,11,0)</f>
        <v>0</v>
      </c>
      <c r="O4" s="109">
        <f>VLOOKUP($C4,Score!$B$2:$X$78,12,0)</f>
        <v>0</v>
      </c>
      <c r="P4" s="109">
        <f>VLOOKUP($C4,Score!$B$2:$X$78,13,0)</f>
        <v>15</v>
      </c>
      <c r="Q4" s="109">
        <f>VLOOKUP($C4,Score!$B$2:$X$78,14,0)</f>
        <v>0</v>
      </c>
      <c r="R4" s="109">
        <f>VLOOKUP($C4,Score!$B$2:$X$78,15,0)</f>
        <v>0</v>
      </c>
      <c r="S4" s="109">
        <f>VLOOKUP($C4,Score!$B$2:$X$78,16,0)</f>
        <v>0</v>
      </c>
      <c r="T4" s="109">
        <f>VLOOKUP($C4,Score!$B$2:$X$78,17,0)</f>
        <v>16</v>
      </c>
      <c r="U4" s="109">
        <f>VLOOKUP($C4,Score!$B$2:$X$78,18,0)</f>
        <v>0</v>
      </c>
      <c r="V4" s="109">
        <f>VLOOKUP($C4,Score!$B$2:$X$78,19,0)</f>
        <v>0</v>
      </c>
      <c r="W4" s="109">
        <f>VLOOKUP($C4,Score!$B$2:$X$78,20,0)</f>
        <v>0</v>
      </c>
      <c r="X4" s="109">
        <f>VLOOKUP($C4,Score!$B$2:$Z$77,21,0)</f>
        <v>0</v>
      </c>
      <c r="Y4" s="109">
        <f>VLOOKUP($C4,Score!$B$2:$Z$77,22,0)</f>
        <v>0</v>
      </c>
      <c r="Z4" s="109">
        <f>VLOOKUP($C4,Score!$B$2:$Z$77,24,0)</f>
        <v>0</v>
      </c>
      <c r="AA4" s="172">
        <f t="shared" ref="AA4:AA21" si="0">SUM(E4:Z4)</f>
        <v>165</v>
      </c>
      <c r="AB4" s="108" t="str">
        <f t="shared" ref="AB4:AB20" si="1">C4</f>
        <v>Alaphilippe</v>
      </c>
    </row>
    <row r="5" spans="2:28">
      <c r="B5" s="322" t="s">
        <v>138</v>
      </c>
      <c r="C5" s="324" t="s">
        <v>108</v>
      </c>
      <c r="D5" s="259" t="s">
        <v>109</v>
      </c>
      <c r="E5" s="109">
        <f>VLOOKUP($C5,Score!$B$2:$X$78,2,0)</f>
        <v>0</v>
      </c>
      <c r="F5" s="109">
        <f>VLOOKUP($C5,Score!$B$2:$X$78,3,0)</f>
        <v>0</v>
      </c>
      <c r="G5" s="109">
        <f>VLOOKUP($C5,Score!$B$2:$X$78,4,0)</f>
        <v>0</v>
      </c>
      <c r="H5" s="109">
        <f>VLOOKUP($C5,Score!$B$2:$X$78,5,0)</f>
        <v>10</v>
      </c>
      <c r="I5" s="109">
        <f>VLOOKUP($C5,Score!$B$2:$X$78,6,0)</f>
        <v>1</v>
      </c>
      <c r="J5" s="109">
        <f>VLOOKUP($C5,Score!$B$2:$X$78,7,0)</f>
        <v>10</v>
      </c>
      <c r="K5" s="109">
        <f>VLOOKUP($C5,Score!$B$2:$X$78,8,0)</f>
        <v>14</v>
      </c>
      <c r="L5" s="109">
        <f>VLOOKUP($C5,Score!$B$2:$X$78,9,0)</f>
        <v>23</v>
      </c>
      <c r="M5" s="109">
        <f>VLOOKUP($C5,Score!$B$2:$X$78,10,0)</f>
        <v>25</v>
      </c>
      <c r="N5" s="109">
        <f>VLOOKUP($C5,Score!$B$2:$X$78,11,0)</f>
        <v>7</v>
      </c>
      <c r="O5" s="109">
        <f>VLOOKUP($C5,Score!$B$2:$X$78,12,0)</f>
        <v>7</v>
      </c>
      <c r="P5" s="109">
        <f>VLOOKUP($C5,Score!$B$2:$X$78,13,0)</f>
        <v>7</v>
      </c>
      <c r="Q5" s="109">
        <f>VLOOKUP($C5,Score!$B$2:$X$78,14,0)</f>
        <v>0</v>
      </c>
      <c r="R5" s="109">
        <f>VLOOKUP($C5,Score!$B$2:$X$78,15,0)</f>
        <v>0</v>
      </c>
      <c r="S5" s="109">
        <f>VLOOKUP($C5,Score!$B$2:$X$78,16,0)</f>
        <v>0</v>
      </c>
      <c r="T5" s="109">
        <f>VLOOKUP($C5,Score!$B$2:$X$78,17,0)</f>
        <v>0</v>
      </c>
      <c r="U5" s="109">
        <f>VLOOKUP($C5,Score!$B$2:$X$78,18,0)</f>
        <v>0</v>
      </c>
      <c r="V5" s="109">
        <f>VLOOKUP($C5,Score!$B$2:$X$78,19,0)</f>
        <v>0</v>
      </c>
      <c r="W5" s="109">
        <f>VLOOKUP($C5,Score!$B$2:$X$78,20,0)</f>
        <v>0</v>
      </c>
      <c r="X5" s="109">
        <f>VLOOKUP($C5,Score!$B$2:$Z$77,21,0)</f>
        <v>0</v>
      </c>
      <c r="Y5" s="109">
        <f>VLOOKUP($C5,Score!$B$2:$Z$77,22,0)</f>
        <v>0</v>
      </c>
      <c r="Z5" s="109">
        <f>VLOOKUP($C5,Score!$B$2:$Z$77,24,0)</f>
        <v>0</v>
      </c>
      <c r="AA5" s="172">
        <f t="shared" si="0"/>
        <v>104</v>
      </c>
      <c r="AB5" s="108" t="str">
        <f t="shared" si="1"/>
        <v>Bardet</v>
      </c>
    </row>
    <row r="6" spans="2:28">
      <c r="B6" s="322" t="s">
        <v>225</v>
      </c>
      <c r="C6" s="324" t="s">
        <v>243</v>
      </c>
      <c r="D6" s="259" t="s">
        <v>163</v>
      </c>
      <c r="E6" s="109">
        <f>VLOOKUP($C6,Score!$B$2:$X$78,2,0)</f>
        <v>0</v>
      </c>
      <c r="F6" s="109">
        <f>VLOOKUP($C6,Score!$B$2:$X$78,3,0)</f>
        <v>0</v>
      </c>
      <c r="G6" s="109">
        <f>VLOOKUP($C6,Score!$B$2:$X$78,4,0)</f>
        <v>0</v>
      </c>
      <c r="H6" s="109">
        <f>VLOOKUP($C6,Score!$B$2:$X$78,5,0)</f>
        <v>0</v>
      </c>
      <c r="I6" s="109">
        <f>VLOOKUP($C6,Score!$B$2:$X$78,6,0)</f>
        <v>0</v>
      </c>
      <c r="J6" s="109">
        <f>VLOOKUP($C6,Score!$B$2:$X$78,7,0)</f>
        <v>0</v>
      </c>
      <c r="K6" s="109">
        <f>VLOOKUP($C6,Score!$B$2:$X$78,8,0)</f>
        <v>0</v>
      </c>
      <c r="L6" s="109">
        <f>VLOOKUP($C6,Score!$B$2:$X$78,9,0)</f>
        <v>0</v>
      </c>
      <c r="M6" s="109">
        <f>VLOOKUP($C6,Score!$B$2:$X$78,10,0)</f>
        <v>0</v>
      </c>
      <c r="N6" s="109">
        <f>VLOOKUP($C6,Score!$B$2:$X$78,11,0)</f>
        <v>0</v>
      </c>
      <c r="O6" s="109">
        <f>VLOOKUP($C6,Score!$B$2:$X$78,12,0)</f>
        <v>0</v>
      </c>
      <c r="P6" s="109">
        <f>VLOOKUP($C6,Score!$B$2:$X$78,13,0)</f>
        <v>0</v>
      </c>
      <c r="Q6" s="109">
        <f>VLOOKUP($C6,Score!$B$2:$X$78,14,0)</f>
        <v>0</v>
      </c>
      <c r="R6" s="109">
        <f>VLOOKUP($C6,Score!$B$2:$X$78,15,0)</f>
        <v>0</v>
      </c>
      <c r="S6" s="109">
        <f>VLOOKUP($C6,Score!$B$2:$X$78,16,0)</f>
        <v>0</v>
      </c>
      <c r="T6" s="109">
        <f>VLOOKUP($C6,Score!$B$2:$X$78,17,0)</f>
        <v>0</v>
      </c>
      <c r="U6" s="109">
        <f>VLOOKUP($C6,Score!$B$2:$X$78,18,0)</f>
        <v>0</v>
      </c>
      <c r="V6" s="109">
        <f>VLOOKUP($C6,Score!$B$2:$X$78,19,0)</f>
        <v>0</v>
      </c>
      <c r="W6" s="109">
        <f>VLOOKUP($C6,Score!$B$2:$X$78,20,0)</f>
        <v>0</v>
      </c>
      <c r="X6" s="109">
        <f>VLOOKUP($C6,Score!$B$2:$Z$77,21,0)</f>
        <v>0</v>
      </c>
      <c r="Y6" s="109">
        <f>VLOOKUP($C6,Score!$B$2:$Z$77,22,0)</f>
        <v>0</v>
      </c>
      <c r="Z6" s="109">
        <f>VLOOKUP($C6,Score!$B$2:$Z$77,24,0)</f>
        <v>0</v>
      </c>
      <c r="AA6" s="172">
        <f t="shared" si="0"/>
        <v>0</v>
      </c>
      <c r="AB6" s="108" t="str">
        <f t="shared" si="1"/>
        <v>G.Bennett</v>
      </c>
    </row>
    <row r="7" spans="2:28">
      <c r="B7" s="322" t="s">
        <v>143</v>
      </c>
      <c r="C7" s="324" t="s">
        <v>136</v>
      </c>
      <c r="D7" s="259" t="s">
        <v>10</v>
      </c>
      <c r="E7" s="109">
        <f>VLOOKUP($C7,Score!$B$2:$X$78,2,0)</f>
        <v>0</v>
      </c>
      <c r="F7" s="109">
        <f>VLOOKUP($C7,Score!$B$2:$X$78,3,0)</f>
        <v>14</v>
      </c>
      <c r="G7" s="109">
        <f>VLOOKUP($C7,Score!$B$2:$X$78,4,0)</f>
        <v>8</v>
      </c>
      <c r="H7" s="109">
        <f>VLOOKUP($C7,Score!$B$2:$X$78,5,0)</f>
        <v>28</v>
      </c>
      <c r="I7" s="109">
        <f>VLOOKUP($C7,Score!$B$2:$X$78,6,0)</f>
        <v>18</v>
      </c>
      <c r="J7" s="109">
        <f>VLOOKUP($C7,Score!$B$2:$X$78,7,0)</f>
        <v>28</v>
      </c>
      <c r="K7" s="109">
        <f>VLOOKUP($C7,Score!$B$2:$X$78,8,0)</f>
        <v>30</v>
      </c>
      <c r="L7" s="109">
        <f>VLOOKUP($C7,Score!$B$2:$X$78,9,0)</f>
        <v>24</v>
      </c>
      <c r="M7" s="109">
        <f>VLOOKUP($C7,Score!$B$2:$X$78,10,0)</f>
        <v>38</v>
      </c>
      <c r="N7" s="109">
        <f>VLOOKUP($C7,Score!$B$2:$X$78,11,0)</f>
        <v>14</v>
      </c>
      <c r="O7" s="109">
        <f>VLOOKUP($C7,Score!$B$2:$X$78,12,0)</f>
        <v>14</v>
      </c>
      <c r="P7" s="109">
        <f>VLOOKUP($C7,Score!$B$2:$X$78,13,0)</f>
        <v>14</v>
      </c>
      <c r="Q7" s="109">
        <f>VLOOKUP($C7,Score!$B$2:$X$78,14,0)</f>
        <v>20</v>
      </c>
      <c r="R7" s="109">
        <f>VLOOKUP($C7,Score!$B$2:$X$78,15,0)</f>
        <v>12</v>
      </c>
      <c r="S7" s="109">
        <f>VLOOKUP($C7,Score!$B$2:$X$78,16,0)</f>
        <v>3</v>
      </c>
      <c r="T7" s="109">
        <f>VLOOKUP($C7,Score!$B$2:$X$78,17,0)</f>
        <v>3</v>
      </c>
      <c r="U7" s="109">
        <f>VLOOKUP($C7,Score!$B$2:$X$78,18,0)</f>
        <v>0</v>
      </c>
      <c r="V7" s="109">
        <f>VLOOKUP($C7,Score!$B$2:$X$78,19,0)</f>
        <v>0</v>
      </c>
      <c r="W7" s="109">
        <f>VLOOKUP($C7,Score!$B$2:$X$78,20,0)</f>
        <v>0</v>
      </c>
      <c r="X7" s="109">
        <f>VLOOKUP($C7,Score!$B$2:$Z$77,21,0)</f>
        <v>0</v>
      </c>
      <c r="Y7" s="109">
        <f>VLOOKUP($C7,Score!$B$2:$Z$77,22,0)</f>
        <v>0</v>
      </c>
      <c r="Z7" s="109">
        <f>VLOOKUP($C7,Score!$B$2:$Z$77,24,0)</f>
        <v>0</v>
      </c>
      <c r="AA7" s="172">
        <f t="shared" si="0"/>
        <v>268</v>
      </c>
      <c r="AB7" s="108" t="str">
        <f t="shared" si="1"/>
        <v>Bernal</v>
      </c>
    </row>
    <row r="8" spans="2:28">
      <c r="B8" s="322" t="s">
        <v>186</v>
      </c>
      <c r="C8" s="324" t="s">
        <v>187</v>
      </c>
      <c r="D8" s="259" t="s">
        <v>109</v>
      </c>
      <c r="E8" s="109">
        <f>VLOOKUP($C8,Score!$B$2:$X$78,2,0)</f>
        <v>0</v>
      </c>
      <c r="F8" s="109">
        <f>VLOOKUP($C8,Score!$B$2:$X$78,3,0)</f>
        <v>8</v>
      </c>
      <c r="G8" s="109">
        <f>VLOOKUP($C8,Score!$B$2:$X$78,4,0)</f>
        <v>0</v>
      </c>
      <c r="H8" s="109">
        <f>VLOOKUP($C8,Score!$B$2:$X$78,5,0)</f>
        <v>0</v>
      </c>
      <c r="I8" s="109">
        <f>VLOOKUP($C8,Score!$B$2:$X$78,6,0)</f>
        <v>0</v>
      </c>
      <c r="J8" s="109">
        <f>VLOOKUP($C8,Score!$B$2:$X$78,7,0)</f>
        <v>17</v>
      </c>
      <c r="K8" s="109">
        <f>VLOOKUP($C8,Score!$B$2:$X$78,8,0)</f>
        <v>0</v>
      </c>
      <c r="L8" s="109">
        <f>VLOOKUP($C8,Score!$B$2:$X$78,9,0)</f>
        <v>0</v>
      </c>
      <c r="M8" s="109">
        <f>VLOOKUP($C8,Score!$B$2:$X$78,10,0)</f>
        <v>12</v>
      </c>
      <c r="N8" s="109">
        <f>VLOOKUP($C8,Score!$B$2:$X$78,11,0)</f>
        <v>0</v>
      </c>
      <c r="O8" s="109">
        <f>VLOOKUP($C8,Score!$B$2:$X$78,12,0)</f>
        <v>0</v>
      </c>
      <c r="P8" s="109">
        <f>VLOOKUP($C8,Score!$B$2:$X$78,13,0)</f>
        <v>0</v>
      </c>
      <c r="Q8" s="109">
        <f>VLOOKUP($C8,Score!$B$2:$X$78,14,0)</f>
        <v>0</v>
      </c>
      <c r="R8" s="109">
        <f>VLOOKUP($C8,Score!$B$2:$X$78,15,0)</f>
        <v>0</v>
      </c>
      <c r="S8" s="109">
        <f>VLOOKUP($C8,Score!$B$2:$X$78,16,0)</f>
        <v>0</v>
      </c>
      <c r="T8" s="109">
        <f>VLOOKUP($C8,Score!$B$2:$X$78,17,0)</f>
        <v>30</v>
      </c>
      <c r="U8" s="109">
        <f>VLOOKUP($C8,Score!$B$2:$X$78,18,0)</f>
        <v>15</v>
      </c>
      <c r="V8" s="109">
        <f>VLOOKUP($C8,Score!$B$2:$X$78,19,0)</f>
        <v>35</v>
      </c>
      <c r="W8" s="109">
        <f>VLOOKUP($C8,Score!$B$2:$X$78,20,0)</f>
        <v>5</v>
      </c>
      <c r="X8" s="109">
        <f>VLOOKUP($C8,Score!$B$2:$Z$77,21,0)</f>
        <v>4</v>
      </c>
      <c r="Y8" s="109">
        <f>VLOOKUP($C8,Score!$B$2:$Z$77,22,0)</f>
        <v>4</v>
      </c>
      <c r="Z8" s="109">
        <f>VLOOKUP($C8,Score!$B$2:$Z$77,24,0)</f>
        <v>33</v>
      </c>
      <c r="AA8" s="172">
        <f t="shared" si="0"/>
        <v>163</v>
      </c>
      <c r="AB8" s="108" t="str">
        <f t="shared" si="1"/>
        <v>Carapaz</v>
      </c>
    </row>
    <row r="9" spans="2:28">
      <c r="B9" s="322" t="s">
        <v>150</v>
      </c>
      <c r="C9" s="324" t="s">
        <v>151</v>
      </c>
      <c r="D9" s="259" t="s">
        <v>163</v>
      </c>
      <c r="E9" s="109">
        <f>VLOOKUP($C9,Score!$B$2:$X$78,2,0)</f>
        <v>0</v>
      </c>
      <c r="F9" s="109">
        <f>VLOOKUP($C9,Score!$B$2:$X$78,3,0)</f>
        <v>0</v>
      </c>
      <c r="G9" s="109">
        <f>VLOOKUP($C9,Score!$B$2:$X$78,4,0)</f>
        <v>0</v>
      </c>
      <c r="H9" s="109">
        <f>VLOOKUP($C9,Score!$B$2:$X$78,5,0)</f>
        <v>0</v>
      </c>
      <c r="I9" s="109">
        <f>VLOOKUP($C9,Score!$B$2:$X$78,6,0)</f>
        <v>0</v>
      </c>
      <c r="J9" s="109">
        <f>VLOOKUP($C9,Score!$B$2:$X$78,7,0)</f>
        <v>0</v>
      </c>
      <c r="K9" s="109">
        <f>VLOOKUP($C9,Score!$B$2:$X$78,8,0)</f>
        <v>0</v>
      </c>
      <c r="L9" s="109">
        <f>VLOOKUP($C9,Score!$B$2:$X$78,9,0)</f>
        <v>0</v>
      </c>
      <c r="M9" s="109">
        <f>VLOOKUP($C9,Score!$B$2:$X$78,10,0)</f>
        <v>0</v>
      </c>
      <c r="N9" s="109">
        <f>VLOOKUP($C9,Score!$B$2:$X$78,11,0)</f>
        <v>0</v>
      </c>
      <c r="O9" s="109">
        <f>VLOOKUP($C9,Score!$B$2:$X$78,12,0)</f>
        <v>0</v>
      </c>
      <c r="P9" s="109">
        <f>VLOOKUP($C9,Score!$B$2:$X$78,13,0)</f>
        <v>0</v>
      </c>
      <c r="Q9" s="354"/>
      <c r="R9" s="354"/>
      <c r="S9" s="354"/>
      <c r="T9" s="354"/>
      <c r="U9" s="354"/>
      <c r="V9" s="354"/>
      <c r="W9" s="354"/>
      <c r="X9" s="354"/>
      <c r="Y9" s="354"/>
      <c r="Z9" s="354"/>
      <c r="AA9" s="172">
        <f t="shared" si="0"/>
        <v>0</v>
      </c>
      <c r="AB9" s="108" t="str">
        <f t="shared" si="1"/>
        <v>Colbrelli</v>
      </c>
    </row>
    <row r="10" spans="2:28">
      <c r="B10" s="322" t="s">
        <v>209</v>
      </c>
      <c r="C10" s="324" t="s">
        <v>104</v>
      </c>
      <c r="D10" s="259" t="s">
        <v>163</v>
      </c>
      <c r="E10" s="109">
        <f>VLOOKUP($C10,Score!$B$2:$X$78,2,0)</f>
        <v>21</v>
      </c>
      <c r="F10" s="109">
        <f>VLOOKUP($C10,Score!$B$2:$X$78,3,0)</f>
        <v>0</v>
      </c>
      <c r="G10" s="109">
        <f>VLOOKUP($C10,Score!$B$2:$X$78,4,0)</f>
        <v>17</v>
      </c>
      <c r="H10" s="109">
        <f>VLOOKUP($C10,Score!$B$2:$X$78,5,0)</f>
        <v>0</v>
      </c>
      <c r="I10" s="109">
        <f>VLOOKUP($C10,Score!$B$2:$X$78,6,0)</f>
        <v>19</v>
      </c>
      <c r="J10" s="109">
        <f>VLOOKUP($C10,Score!$B$2:$X$78,7,0)</f>
        <v>0</v>
      </c>
      <c r="K10" s="109">
        <f>VLOOKUP($C10,Score!$B$2:$X$78,8,0)</f>
        <v>28</v>
      </c>
      <c r="L10" s="109">
        <f>VLOOKUP($C10,Score!$B$2:$X$78,9,0)</f>
        <v>2</v>
      </c>
      <c r="M10" s="109">
        <f>VLOOKUP($C10,Score!$B$2:$X$78,10,0)</f>
        <v>2</v>
      </c>
      <c r="N10" s="109">
        <f>VLOOKUP($C10,Score!$B$2:$X$78,11,0)</f>
        <v>22</v>
      </c>
      <c r="O10" s="109">
        <f>VLOOKUP($C10,Score!$B$2:$X$78,12,0)</f>
        <v>27</v>
      </c>
      <c r="P10" s="109">
        <f>VLOOKUP($C10,Score!$B$2:$X$78,13,0)</f>
        <v>3</v>
      </c>
      <c r="Q10" s="109">
        <f>VLOOKUP($C10,Score!$B$2:$X$78,14,0)</f>
        <v>3</v>
      </c>
      <c r="R10" s="109">
        <f>VLOOKUP($C10,Score!$B$2:$X$78,15,0)</f>
        <v>2</v>
      </c>
      <c r="S10" s="109">
        <f>VLOOKUP($C10,Score!$B$2:$X$78,16,0)</f>
        <v>2</v>
      </c>
      <c r="T10" s="109">
        <f>VLOOKUP($C10,Score!$B$2:$X$78,17,0)</f>
        <v>2</v>
      </c>
      <c r="U10" s="109">
        <f>VLOOKUP($C10,Score!$B$2:$X$78,18,0)</f>
        <v>2</v>
      </c>
      <c r="V10" s="109">
        <f>VLOOKUP($C10,Score!$B$2:$X$78,19,0)</f>
        <v>2</v>
      </c>
      <c r="W10" s="109">
        <f>VLOOKUP($C10,Score!$B$2:$X$78,20,0)</f>
        <v>13</v>
      </c>
      <c r="X10" s="109">
        <f>VLOOKUP($C10,Score!$B$2:$Z$77,21,0)</f>
        <v>2</v>
      </c>
      <c r="Y10" s="109">
        <f>VLOOKUP($C10,Score!$B$2:$Z$77,22,0)</f>
        <v>19</v>
      </c>
      <c r="Z10" s="109">
        <f>VLOOKUP($C10,Score!$B$2:$Z$77,24,0)</f>
        <v>3</v>
      </c>
      <c r="AA10" s="172">
        <f t="shared" si="0"/>
        <v>191</v>
      </c>
      <c r="AB10" s="108" t="str">
        <f t="shared" si="1"/>
        <v>Coquard</v>
      </c>
    </row>
    <row r="11" spans="2:28">
      <c r="B11" s="322" t="s">
        <v>77</v>
      </c>
      <c r="C11" s="324" t="s">
        <v>234</v>
      </c>
      <c r="D11" s="259" t="s">
        <v>163</v>
      </c>
      <c r="E11" s="109">
        <f>VLOOKUP($C11,Score!$B$2:$X$78,2,0)</f>
        <v>0</v>
      </c>
      <c r="F11" s="109">
        <f>VLOOKUP($C11,Score!$B$2:$X$78,3,0)</f>
        <v>0</v>
      </c>
      <c r="G11" s="109">
        <f>VLOOKUP($C11,Score!$B$2:$X$78,4,0)</f>
        <v>0</v>
      </c>
      <c r="H11" s="109">
        <f>VLOOKUP($C11,Score!$B$2:$X$78,5,0)</f>
        <v>0</v>
      </c>
      <c r="I11" s="109">
        <f>VLOOKUP($C11,Score!$B$2:$X$78,6,0)</f>
        <v>0</v>
      </c>
      <c r="J11" s="109">
        <f>VLOOKUP($C11,Score!$B$2:$X$78,7,0)</f>
        <v>0</v>
      </c>
      <c r="K11" s="109">
        <f>VLOOKUP($C11,Score!$B$2:$X$78,8,0)</f>
        <v>0</v>
      </c>
      <c r="L11" s="350"/>
      <c r="M11" s="350"/>
      <c r="N11" s="350"/>
      <c r="O11" s="350"/>
      <c r="P11" s="350"/>
      <c r="Q11" s="350"/>
      <c r="R11" s="350"/>
      <c r="S11" s="350"/>
      <c r="T11" s="350"/>
      <c r="U11" s="350"/>
      <c r="V11" s="350"/>
      <c r="W11" s="350"/>
      <c r="X11" s="350"/>
      <c r="Y11" s="350"/>
      <c r="Z11" s="350"/>
      <c r="AA11" s="172">
        <f t="shared" si="0"/>
        <v>0</v>
      </c>
      <c r="AB11" s="108" t="str">
        <f t="shared" si="1"/>
        <v>de Gendt</v>
      </c>
    </row>
    <row r="12" spans="2:28">
      <c r="B12" s="322" t="s">
        <v>189</v>
      </c>
      <c r="C12" s="324" t="s">
        <v>106</v>
      </c>
      <c r="D12" s="259" t="s">
        <v>163</v>
      </c>
      <c r="E12" s="109">
        <f>VLOOKUP($C12,Score!$B$2:$X$78,2,0)</f>
        <v>0</v>
      </c>
      <c r="F12" s="109">
        <f>VLOOKUP($C12,Score!$B$2:$X$78,3,0)</f>
        <v>1</v>
      </c>
      <c r="G12" s="109">
        <f>VLOOKUP($C12,Score!$B$2:$X$78,4,0)</f>
        <v>4</v>
      </c>
      <c r="H12" s="109">
        <f>VLOOKUP($C12,Score!$B$2:$X$78,5,0)</f>
        <v>19</v>
      </c>
      <c r="I12" s="109">
        <f>VLOOKUP($C12,Score!$B$2:$X$78,6,0)</f>
        <v>5</v>
      </c>
      <c r="J12" s="109">
        <f>VLOOKUP($C12,Score!$B$2:$X$78,7,0)</f>
        <v>16</v>
      </c>
      <c r="K12" s="109">
        <f>VLOOKUP($C12,Score!$B$2:$X$78,8,0)</f>
        <v>6</v>
      </c>
      <c r="L12" s="109">
        <f>VLOOKUP($C12,Score!$B$2:$X$78,9,0)</f>
        <v>0</v>
      </c>
      <c r="M12" s="109">
        <f>VLOOKUP($C12,Score!$B$2:$X$78,10,0)</f>
        <v>9</v>
      </c>
      <c r="N12" s="109">
        <f>VLOOKUP($C12,Score!$B$2:$X$78,11,0)</f>
        <v>0</v>
      </c>
      <c r="O12" s="109">
        <f>VLOOKUP($C12,Score!$B$2:$X$78,12,0)</f>
        <v>0</v>
      </c>
      <c r="P12" s="109">
        <f>VLOOKUP($C12,Score!$B$2:$X$78,13,0)</f>
        <v>0</v>
      </c>
      <c r="Q12" s="109">
        <f>VLOOKUP($C12,Score!$B$2:$X$78,14,0)</f>
        <v>0</v>
      </c>
      <c r="R12" s="109">
        <f>VLOOKUP($C12,Score!$B$2:$X$78,15,0)</f>
        <v>0</v>
      </c>
      <c r="S12" s="109">
        <f>VLOOKUP($C12,Score!$B$2:$X$78,16,0)</f>
        <v>15</v>
      </c>
      <c r="T12" s="109">
        <f>VLOOKUP($C12,Score!$B$2:$X$78,17,0)</f>
        <v>2</v>
      </c>
      <c r="U12" s="109">
        <f>VLOOKUP($C12,Score!$B$2:$X$78,18,0)</f>
        <v>18</v>
      </c>
      <c r="V12" s="109">
        <f>VLOOKUP($C12,Score!$B$2:$X$78,19,0)</f>
        <v>18</v>
      </c>
      <c r="W12" s="109">
        <f>VLOOKUP($C12,Score!$B$2:$X$78,20,0)</f>
        <v>2</v>
      </c>
      <c r="X12" s="109">
        <f>VLOOKUP($C12,Score!$B$2:$Z$77,21,0)</f>
        <v>34</v>
      </c>
      <c r="Y12" s="109">
        <f>VLOOKUP($C12,Score!$B$2:$Z$77,22,0)</f>
        <v>4</v>
      </c>
      <c r="Z12" s="109">
        <f>VLOOKUP($C12,Score!$B$2:$Z$77,24,0)</f>
        <v>38</v>
      </c>
      <c r="AA12" s="172">
        <f t="shared" si="0"/>
        <v>191</v>
      </c>
      <c r="AB12" s="108" t="str">
        <f t="shared" si="1"/>
        <v>Dumoulin</v>
      </c>
    </row>
    <row r="13" spans="2:28">
      <c r="B13" s="322" t="s">
        <v>164</v>
      </c>
      <c r="C13" s="324" t="s">
        <v>165</v>
      </c>
      <c r="D13" s="259" t="s">
        <v>10</v>
      </c>
      <c r="E13" s="109">
        <f>VLOOKUP($C13,Score!$B$2:$X$78,2,0)</f>
        <v>7</v>
      </c>
      <c r="F13" s="109">
        <f>VLOOKUP($C13,Score!$B$2:$X$78,3,0)</f>
        <v>0</v>
      </c>
      <c r="G13" s="109">
        <f>VLOOKUP($C13,Score!$B$2:$X$78,4,0)</f>
        <v>36</v>
      </c>
      <c r="H13" s="109">
        <f>VLOOKUP($C13,Score!$B$2:$X$78,5,0)</f>
        <v>0</v>
      </c>
      <c r="I13" s="109">
        <f>VLOOKUP($C13,Score!$B$2:$X$78,6,0)</f>
        <v>20</v>
      </c>
      <c r="J13" s="109">
        <f>VLOOKUP($C13,Score!$B$2:$X$78,7,0)</f>
        <v>2</v>
      </c>
      <c r="K13" s="109">
        <f>VLOOKUP($C13,Score!$B$2:$X$78,8,0)</f>
        <v>0</v>
      </c>
      <c r="L13" s="109">
        <f>VLOOKUP($C13,Score!$B$2:$X$78,9,0)</f>
        <v>0</v>
      </c>
      <c r="M13" s="109">
        <f>VLOOKUP($C13,Score!$B$2:$X$78,10,0)</f>
        <v>0</v>
      </c>
      <c r="N13" s="109">
        <f>VLOOKUP($C13,Score!$B$2:$X$78,11,0)</f>
        <v>30</v>
      </c>
      <c r="O13" s="109">
        <f>VLOOKUP($C13,Score!$B$2:$X$78,12,0)</f>
        <v>37</v>
      </c>
      <c r="P13" s="109">
        <f>VLOOKUP($C13,Score!$B$2:$X$78,13,0)</f>
        <v>2</v>
      </c>
      <c r="Q13" s="109">
        <f>VLOOKUP($C13,Score!$B$2:$X$78,14,0)</f>
        <v>2</v>
      </c>
      <c r="R13" s="109">
        <f>VLOOKUP($C13,Score!$B$2:$X$78,15,0)</f>
        <v>1</v>
      </c>
      <c r="S13" s="109">
        <f>VLOOKUP($C13,Score!$B$2:$X$78,16,0)</f>
        <v>1</v>
      </c>
      <c r="T13" s="109">
        <f>VLOOKUP($C13,Score!$B$2:$X$78,17,0)</f>
        <v>1</v>
      </c>
      <c r="U13" s="109">
        <f>VLOOKUP($C13,Score!$B$2:$X$78,18,0)</f>
        <v>1</v>
      </c>
      <c r="V13" s="109">
        <f>VLOOKUP($C13,Score!$B$2:$X$78,19,0)</f>
        <v>1</v>
      </c>
      <c r="W13" s="109">
        <f>VLOOKUP($C13,Score!$B$2:$X$78,20,0)</f>
        <v>1</v>
      </c>
      <c r="X13" s="109">
        <f>VLOOKUP($C13,Score!$B$2:$Z$77,21,0)</f>
        <v>0</v>
      </c>
      <c r="Y13" s="109">
        <f>VLOOKUP($C13,Score!$B$2:$Z$77,22,0)</f>
        <v>19</v>
      </c>
      <c r="Z13" s="109">
        <f>VLOOKUP($C13,Score!$B$2:$Z$77,24,0)</f>
        <v>0</v>
      </c>
      <c r="AA13" s="172">
        <f t="shared" si="0"/>
        <v>161</v>
      </c>
      <c r="AB13" s="108" t="str">
        <f t="shared" si="1"/>
        <v>Ewan</v>
      </c>
    </row>
    <row r="14" spans="2:28">
      <c r="B14" s="322" t="s">
        <v>200</v>
      </c>
      <c r="C14" s="324" t="s">
        <v>201</v>
      </c>
      <c r="D14" s="259" t="s">
        <v>109</v>
      </c>
      <c r="E14" s="109">
        <f>VLOOKUP($C14,Score!$B$2:$X$78,2,0)</f>
        <v>23</v>
      </c>
      <c r="F14" s="109">
        <f>VLOOKUP($C14,Score!$B$2:$X$78,3,0)</f>
        <v>0</v>
      </c>
      <c r="G14" s="109">
        <f>VLOOKUP($C14,Score!$B$2:$X$78,4,0)</f>
        <v>26</v>
      </c>
      <c r="H14" s="109">
        <f>VLOOKUP($C14,Score!$B$2:$X$78,5,0)</f>
        <v>1</v>
      </c>
      <c r="I14" s="109">
        <f>VLOOKUP($C14,Score!$B$2:$X$78,6,0)</f>
        <v>15</v>
      </c>
      <c r="J14" s="109">
        <f>VLOOKUP($C14,Score!$B$2:$X$78,7,0)</f>
        <v>0</v>
      </c>
      <c r="K14" s="109">
        <f>VLOOKUP($C14,Score!$B$2:$X$78,8,0)</f>
        <v>0</v>
      </c>
      <c r="L14" s="109">
        <f>VLOOKUP($C14,Score!$B$2:$X$78,9,0)</f>
        <v>0</v>
      </c>
      <c r="M14" s="352">
        <f>VLOOKUP($C14,Score!$B$2:$X$78,10,0)</f>
        <v>0</v>
      </c>
      <c r="N14" s="352">
        <f>VLOOKUP($C14,Score!$B$2:$X$78,11,0)</f>
        <v>0</v>
      </c>
      <c r="O14" s="352">
        <f>VLOOKUP($C14,Score!$B$2:$X$78,12,0)</f>
        <v>0</v>
      </c>
      <c r="P14" s="352">
        <f>VLOOKUP($C14,Score!$B$2:$X$78,13,0)</f>
        <v>0</v>
      </c>
      <c r="Q14" s="352">
        <f>VLOOKUP($C14,Score!$B$2:$X$78,14,0)</f>
        <v>0</v>
      </c>
      <c r="R14" s="352">
        <f>VLOOKUP($C14,Score!$B$2:$X$78,15,0)</f>
        <v>0</v>
      </c>
      <c r="S14" s="352">
        <f>VLOOKUP($C14,Score!$B$2:$X$78,16,0)</f>
        <v>0</v>
      </c>
      <c r="T14" s="352">
        <f>VLOOKUP($C14,Score!$B$2:$X$78,17,0)</f>
        <v>0</v>
      </c>
      <c r="U14" s="352">
        <f>VLOOKUP($C14,Score!$B$2:$X$78,18,0)</f>
        <v>0</v>
      </c>
      <c r="V14" s="352">
        <f>VLOOKUP($C14,Score!$B$2:$X$78,19,0)</f>
        <v>0</v>
      </c>
      <c r="W14" s="352">
        <f>VLOOKUP($C14,Score!$B$2:$X$78,20,0)</f>
        <v>0</v>
      </c>
      <c r="X14" s="352">
        <f>VLOOKUP($C14,Score!$B$2:$Z$77,21,0)</f>
        <v>0</v>
      </c>
      <c r="Y14" s="352">
        <f>VLOOKUP($C14,Score!$B$2:$Z$77,22,0)</f>
        <v>0</v>
      </c>
      <c r="Z14" s="352">
        <f>VLOOKUP($C14,Score!$B$2:$Z$77,24,0)</f>
        <v>0</v>
      </c>
      <c r="AA14" s="172">
        <f t="shared" si="0"/>
        <v>65</v>
      </c>
      <c r="AB14" s="108" t="str">
        <f t="shared" si="1"/>
        <v>Nizzolo</v>
      </c>
    </row>
    <row r="15" spans="2:28">
      <c r="B15" s="322" t="s">
        <v>170</v>
      </c>
      <c r="C15" s="324" t="s">
        <v>86</v>
      </c>
      <c r="D15" s="259" t="s">
        <v>163</v>
      </c>
      <c r="E15" s="109">
        <f>VLOOKUP($C15,Score!$B$2:$X$78,2,0)</f>
        <v>0</v>
      </c>
      <c r="F15" s="109">
        <f>VLOOKUP($C15,Score!$B$2:$X$78,3,0)</f>
        <v>0</v>
      </c>
      <c r="G15" s="109">
        <f>VLOOKUP($C15,Score!$B$2:$X$78,4,0)</f>
        <v>0</v>
      </c>
      <c r="H15" s="109">
        <f>VLOOKUP($C15,Score!$B$2:$X$78,5,0)</f>
        <v>18</v>
      </c>
      <c r="I15" s="109">
        <f>VLOOKUP($C15,Score!$B$2:$X$78,6,0)</f>
        <v>0</v>
      </c>
      <c r="J15" s="109">
        <f>VLOOKUP($C15,Score!$B$2:$X$78,7,0)</f>
        <v>12</v>
      </c>
      <c r="K15" s="109">
        <f>VLOOKUP($C15,Score!$B$2:$X$78,8,0)</f>
        <v>10</v>
      </c>
      <c r="L15" s="109">
        <f>VLOOKUP($C15,Score!$B$2:$X$78,9,0)</f>
        <v>0</v>
      </c>
      <c r="M15" s="109">
        <f>VLOOKUP($C15,Score!$B$2:$X$78,10,0)</f>
        <v>0</v>
      </c>
      <c r="N15" s="109">
        <f>VLOOKUP($C15,Score!$B$2:$X$78,11,0)</f>
        <v>0</v>
      </c>
      <c r="O15" s="109">
        <f>VLOOKUP($C15,Score!$B$2:$X$78,12,0)</f>
        <v>0</v>
      </c>
      <c r="P15" s="109">
        <f>VLOOKUP($C15,Score!$B$2:$X$78,13,0)</f>
        <v>0</v>
      </c>
      <c r="Q15" s="109">
        <f>VLOOKUP($C15,Score!$B$2:$X$78,14,0)</f>
        <v>0</v>
      </c>
      <c r="R15" s="109">
        <f>VLOOKUP($C15,Score!$B$2:$X$78,15,0)</f>
        <v>0</v>
      </c>
      <c r="S15" s="109">
        <f>VLOOKUP($C15,Score!$B$2:$X$78,16,0)</f>
        <v>0</v>
      </c>
      <c r="T15" s="109">
        <f>VLOOKUP($C15,Score!$B$2:$X$78,17,0)</f>
        <v>0</v>
      </c>
      <c r="U15" s="109">
        <f>VLOOKUP($C15,Score!$B$2:$X$78,18,0)</f>
        <v>0</v>
      </c>
      <c r="V15" s="109">
        <f>VLOOKUP($C15,Score!$B$2:$X$78,19,0)</f>
        <v>0</v>
      </c>
      <c r="W15" s="109">
        <f>VLOOKUP($C15,Score!$B$2:$X$78,20,0)</f>
        <v>0</v>
      </c>
      <c r="X15" s="109">
        <f>VLOOKUP($C15,Score!$B$2:$Z$77,21,0)</f>
        <v>7</v>
      </c>
      <c r="Y15" s="109">
        <f>VLOOKUP($C15,Score!$B$2:$Z$77,22,0)</f>
        <v>0</v>
      </c>
      <c r="Z15" s="109">
        <f>VLOOKUP($C15,Score!$B$2:$Z$77,24,0)</f>
        <v>0</v>
      </c>
      <c r="AA15" s="172">
        <f t="shared" si="0"/>
        <v>47</v>
      </c>
      <c r="AB15" s="108" t="str">
        <f t="shared" si="1"/>
        <v>Pinot</v>
      </c>
    </row>
    <row r="16" spans="2:28">
      <c r="B16" s="322" t="s">
        <v>198</v>
      </c>
      <c r="C16" s="324" t="s">
        <v>199</v>
      </c>
      <c r="D16" s="259" t="s">
        <v>109</v>
      </c>
      <c r="E16" s="109">
        <f>VLOOKUP($C16,Score!$B$2:$X$78,2,0)</f>
        <v>11</v>
      </c>
      <c r="F16" s="109">
        <f>VLOOKUP($C16,Score!$B$2:$X$78,3,0)</f>
        <v>27</v>
      </c>
      <c r="G16" s="109">
        <f>VLOOKUP($C16,Score!$B$2:$X$78,4,0)</f>
        <v>11</v>
      </c>
      <c r="H16" s="109">
        <f>VLOOKUP($C16,Score!$B$2:$X$78,5,0)</f>
        <v>44</v>
      </c>
      <c r="I16" s="109">
        <f>VLOOKUP($C16,Score!$B$2:$X$78,6,0)</f>
        <v>15</v>
      </c>
      <c r="J16" s="109">
        <f>VLOOKUP($C16,Score!$B$2:$X$78,7,0)</f>
        <v>28</v>
      </c>
      <c r="K16" s="109">
        <f>VLOOKUP($C16,Score!$B$2:$X$78,8,0)</f>
        <v>2</v>
      </c>
      <c r="L16" s="109">
        <f>VLOOKUP($C16,Score!$B$2:$X$78,9,0)</f>
        <v>23</v>
      </c>
      <c r="M16" s="109">
        <f>VLOOKUP($C16,Score!$B$2:$X$78,10,0)</f>
        <v>43</v>
      </c>
      <c r="N16" s="109">
        <f>VLOOKUP($C16,Score!$B$2:$X$78,11,0)</f>
        <v>8</v>
      </c>
      <c r="O16" s="109">
        <f>VLOOKUP($C16,Score!$B$2:$X$78,12,0)</f>
        <v>8</v>
      </c>
      <c r="P16" s="109">
        <f>VLOOKUP($C16,Score!$B$2:$X$78,13,0)</f>
        <v>8</v>
      </c>
      <c r="Q16" s="109">
        <f>VLOOKUP($C16,Score!$B$2:$X$78,14,0)</f>
        <v>27</v>
      </c>
      <c r="R16" s="109">
        <f>VLOOKUP($C16,Score!$B$2:$X$78,15,0)</f>
        <v>28</v>
      </c>
      <c r="S16" s="109">
        <f>VLOOKUP($C16,Score!$B$2:$X$78,16,0)</f>
        <v>53</v>
      </c>
      <c r="T16" s="109">
        <f>VLOOKUP($C16,Score!$B$2:$X$78,17,0)</f>
        <v>17</v>
      </c>
      <c r="U16" s="109">
        <f>VLOOKUP($C16,Score!$B$2:$X$78,18,0)</f>
        <v>45</v>
      </c>
      <c r="V16" s="109">
        <f>VLOOKUP($C16,Score!$B$2:$X$78,19,0)</f>
        <v>40</v>
      </c>
      <c r="W16" s="109">
        <f>VLOOKUP($C16,Score!$B$2:$X$78,20,0)</f>
        <v>18</v>
      </c>
      <c r="X16" s="109">
        <f>VLOOKUP($C16,Score!$B$2:$Z$77,21,0)</f>
        <v>55</v>
      </c>
      <c r="Y16" s="109">
        <f>VLOOKUP($C16,Score!$B$2:$Z$77,22,0)</f>
        <v>20</v>
      </c>
      <c r="Z16" s="109">
        <f>VLOOKUP($C16,Score!$B$2:$Z$77,24,0)</f>
        <v>90</v>
      </c>
      <c r="AA16" s="172">
        <f t="shared" si="0"/>
        <v>621</v>
      </c>
      <c r="AB16" s="108" t="str">
        <f t="shared" si="1"/>
        <v>Pogacar</v>
      </c>
    </row>
    <row r="17" spans="2:28">
      <c r="B17" s="322" t="s">
        <v>188</v>
      </c>
      <c r="C17" s="324" t="s">
        <v>134</v>
      </c>
      <c r="D17" s="259" t="s">
        <v>163</v>
      </c>
      <c r="E17" s="109">
        <f>VLOOKUP($C17,Score!$B$2:$X$78,2,0)</f>
        <v>0</v>
      </c>
      <c r="F17" s="109">
        <f>VLOOKUP($C17,Score!$B$2:$X$78,3,0)</f>
        <v>0</v>
      </c>
      <c r="G17" s="109">
        <f>VLOOKUP($C17,Score!$B$2:$X$78,4,0)</f>
        <v>0</v>
      </c>
      <c r="H17" s="109">
        <f>VLOOKUP($C17,Score!$B$2:$X$78,5,0)</f>
        <v>46</v>
      </c>
      <c r="I17" s="109">
        <f>VLOOKUP($C17,Score!$B$2:$X$78,6,0)</f>
        <v>12</v>
      </c>
      <c r="J17" s="109">
        <f>VLOOKUP($C17,Score!$B$2:$X$78,7,0)</f>
        <v>11</v>
      </c>
      <c r="K17" s="109">
        <f>VLOOKUP($C17,Score!$B$2:$X$78,8,0)</f>
        <v>11</v>
      </c>
      <c r="L17" s="109">
        <f>VLOOKUP($C17,Score!$B$2:$X$78,9,0)</f>
        <v>19</v>
      </c>
      <c r="M17" s="109">
        <f>VLOOKUP($C17,Score!$B$2:$X$78,10,0)</f>
        <v>40</v>
      </c>
      <c r="N17" s="109">
        <f>VLOOKUP($C17,Score!$B$2:$X$78,11,0)</f>
        <v>10</v>
      </c>
      <c r="O17" s="109">
        <f>VLOOKUP($C17,Score!$B$2:$X$78,12,0)</f>
        <v>10</v>
      </c>
      <c r="P17" s="109">
        <f>VLOOKUP($C17,Score!$B$2:$X$78,13,0)</f>
        <v>10</v>
      </c>
      <c r="Q17" s="109">
        <f>VLOOKUP($C17,Score!$B$2:$X$78,14,0)</f>
        <v>24</v>
      </c>
      <c r="R17" s="109">
        <f>VLOOKUP($C17,Score!$B$2:$X$78,15,0)</f>
        <v>10</v>
      </c>
      <c r="S17" s="109">
        <f>VLOOKUP($C17,Score!$B$2:$X$78,16,0)</f>
        <v>43</v>
      </c>
      <c r="T17" s="109">
        <f>VLOOKUP($C17,Score!$B$2:$X$78,17,0)</f>
        <v>12</v>
      </c>
      <c r="U17" s="109">
        <f>VLOOKUP($C17,Score!$B$2:$X$78,18,0)</f>
        <v>44</v>
      </c>
      <c r="V17" s="109">
        <f>VLOOKUP($C17,Score!$B$2:$X$78,19,0)</f>
        <v>37</v>
      </c>
      <c r="W17" s="109">
        <f>VLOOKUP($C17,Score!$B$2:$X$78,20,0)</f>
        <v>13</v>
      </c>
      <c r="X17" s="109">
        <f>VLOOKUP($C17,Score!$B$2:$Z$77,21,0)</f>
        <v>34</v>
      </c>
      <c r="Y17" s="109">
        <f>VLOOKUP($C17,Score!$B$2:$Z$77,22,0)</f>
        <v>12</v>
      </c>
      <c r="Z17" s="109">
        <f>VLOOKUP($C17,Score!$B$2:$Z$77,24,0)</f>
        <v>65</v>
      </c>
      <c r="AA17" s="172">
        <f t="shared" si="0"/>
        <v>463</v>
      </c>
      <c r="AB17" s="108" t="str">
        <f t="shared" si="1"/>
        <v>Roglic</v>
      </c>
    </row>
    <row r="18" spans="2:28">
      <c r="B18" s="322" t="s">
        <v>140</v>
      </c>
      <c r="C18" s="324" t="s">
        <v>72</v>
      </c>
      <c r="D18" s="259" t="s">
        <v>163</v>
      </c>
      <c r="E18" s="109">
        <f>VLOOKUP($C18,Score!$B$2:$X$78,2,0)</f>
        <v>31</v>
      </c>
      <c r="F18" s="109">
        <f>VLOOKUP($C18,Score!$B$2:$X$78,3,0)</f>
        <v>4</v>
      </c>
      <c r="G18" s="109">
        <f>VLOOKUP($C18,Score!$B$2:$X$78,4,0)</f>
        <v>25</v>
      </c>
      <c r="H18" s="109">
        <f>VLOOKUP($C18,Score!$B$2:$X$78,5,0)</f>
        <v>5</v>
      </c>
      <c r="I18" s="109">
        <f>VLOOKUP($C18,Score!$B$2:$X$78,6,0)</f>
        <v>28</v>
      </c>
      <c r="J18" s="109">
        <f>VLOOKUP($C18,Score!$B$2:$X$78,7,0)</f>
        <v>4</v>
      </c>
      <c r="K18" s="109">
        <f>VLOOKUP($C18,Score!$B$2:$X$78,8,0)</f>
        <v>18</v>
      </c>
      <c r="L18" s="109">
        <f>VLOOKUP($C18,Score!$B$2:$X$78,9,0)</f>
        <v>5</v>
      </c>
      <c r="M18" s="109">
        <f>VLOOKUP($C18,Score!$B$2:$X$78,10,0)</f>
        <v>5</v>
      </c>
      <c r="N18" s="109">
        <f>VLOOKUP($C18,Score!$B$2:$X$78,11,0)</f>
        <v>30</v>
      </c>
      <c r="O18" s="109">
        <f>VLOOKUP($C18,Score!$B$2:$X$78,12,0)</f>
        <v>4</v>
      </c>
      <c r="P18" s="109">
        <f>VLOOKUP($C18,Score!$B$2:$X$78,13,0)</f>
        <v>17</v>
      </c>
      <c r="Q18" s="109">
        <f>VLOOKUP($C18,Score!$B$2:$X$78,14,0)</f>
        <v>4</v>
      </c>
      <c r="R18" s="109">
        <f>VLOOKUP($C18,Score!$B$2:$X$78,15,0)</f>
        <v>28</v>
      </c>
      <c r="S18" s="109">
        <f>VLOOKUP($C18,Score!$B$2:$X$78,16,0)</f>
        <v>4</v>
      </c>
      <c r="T18" s="109">
        <f>VLOOKUP($C18,Score!$B$2:$X$78,17,0)</f>
        <v>4</v>
      </c>
      <c r="U18" s="109">
        <f>VLOOKUP($C18,Score!$B$2:$X$78,18,0)</f>
        <v>4</v>
      </c>
      <c r="V18" s="109">
        <f>VLOOKUP($C18,Score!$B$2:$X$78,19,0)</f>
        <v>4</v>
      </c>
      <c r="W18" s="109">
        <f>VLOOKUP($C18,Score!$B$2:$X$78,20,0)</f>
        <v>21</v>
      </c>
      <c r="X18" s="109">
        <f>VLOOKUP($C18,Score!$B$2:$Z$77,21,0)</f>
        <v>4</v>
      </c>
      <c r="Y18" s="109">
        <f>VLOOKUP($C18,Score!$B$2:$Z$77,22,0)</f>
        <v>30</v>
      </c>
      <c r="Z18" s="109">
        <f>VLOOKUP($C18,Score!$B$2:$Z$77,24,0)</f>
        <v>7</v>
      </c>
      <c r="AA18" s="172">
        <f t="shared" si="0"/>
        <v>286</v>
      </c>
      <c r="AB18" s="108" t="str">
        <f t="shared" si="1"/>
        <v>Sagan</v>
      </c>
    </row>
    <row r="19" spans="2:28">
      <c r="B19" s="322" t="s">
        <v>175</v>
      </c>
      <c r="C19" s="324" t="s">
        <v>172</v>
      </c>
      <c r="D19" s="259" t="s">
        <v>109</v>
      </c>
      <c r="E19" s="109">
        <f>VLOOKUP($C19,Score!$B$2:$X$78,2,0)</f>
        <v>0</v>
      </c>
      <c r="F19" s="109">
        <f>VLOOKUP($C19,Score!$B$2:$X$78,3,0)</f>
        <v>0</v>
      </c>
      <c r="G19" s="109">
        <f>VLOOKUP($C19,Score!$B$2:$X$78,4,0)</f>
        <v>0</v>
      </c>
      <c r="H19" s="109">
        <f>VLOOKUP($C19,Score!$B$2:$X$78,5,0)</f>
        <v>0</v>
      </c>
      <c r="I19" s="109">
        <f>VLOOKUP($C19,Score!$B$2:$X$78,6,0)</f>
        <v>35</v>
      </c>
      <c r="J19" s="109">
        <f>VLOOKUP($C19,Score!$B$2:$X$78,7,0)</f>
        <v>0</v>
      </c>
      <c r="K19" s="109">
        <f>VLOOKUP($C19,Score!$B$2:$X$78,8,0)</f>
        <v>38</v>
      </c>
      <c r="L19" s="109">
        <f>VLOOKUP($C19,Score!$B$2:$X$78,9,0)</f>
        <v>3</v>
      </c>
      <c r="M19" s="109">
        <f>VLOOKUP($C19,Score!$B$2:$X$78,10,0)</f>
        <v>3</v>
      </c>
      <c r="N19" s="109">
        <f>VLOOKUP($C19,Score!$B$2:$X$78,11,0)</f>
        <v>1</v>
      </c>
      <c r="O19" s="109">
        <f>VLOOKUP($C19,Score!$B$2:$X$78,12,0)</f>
        <v>26</v>
      </c>
      <c r="P19" s="109">
        <f>VLOOKUP($C19,Score!$B$2:$X$78,13,0)</f>
        <v>7</v>
      </c>
      <c r="Q19" s="109">
        <f>VLOOKUP($C19,Score!$B$2:$X$78,14,0)</f>
        <v>0</v>
      </c>
      <c r="R19" s="109">
        <f>VLOOKUP($C19,Score!$B$2:$X$78,15,0)</f>
        <v>0</v>
      </c>
      <c r="S19" s="109">
        <f>VLOOKUP($C19,Score!$B$2:$X$78,16,0)</f>
        <v>0</v>
      </c>
      <c r="T19" s="109">
        <f>VLOOKUP($C19,Score!$B$2:$X$78,17,0)</f>
        <v>0</v>
      </c>
      <c r="U19" s="109">
        <f>VLOOKUP($C19,Score!$B$2:$X$78,18,0)</f>
        <v>7</v>
      </c>
      <c r="V19" s="109">
        <f>VLOOKUP($C19,Score!$B$2:$X$78,19,0)</f>
        <v>26</v>
      </c>
      <c r="W19" s="109">
        <f>VLOOKUP($C19,Score!$B$2:$X$78,20,0)</f>
        <v>0</v>
      </c>
      <c r="X19" s="109">
        <f>VLOOKUP($C19,Score!$B$2:$Z$77,21,0)</f>
        <v>25</v>
      </c>
      <c r="Y19" s="109">
        <f>VLOOKUP($C19,Score!$B$2:$Z$77,22,0)</f>
        <v>21</v>
      </c>
      <c r="Z19" s="109">
        <f>VLOOKUP($C19,Score!$B$2:$Z$77,24,0)</f>
        <v>13</v>
      </c>
      <c r="AA19" s="172">
        <f t="shared" si="0"/>
        <v>205</v>
      </c>
      <c r="AB19" s="108" t="str">
        <f t="shared" si="1"/>
        <v>van Aert</v>
      </c>
    </row>
    <row r="20" spans="2:28" s="157" customFormat="1">
      <c r="B20" s="322" t="s">
        <v>166</v>
      </c>
      <c r="C20" s="324" t="s">
        <v>167</v>
      </c>
      <c r="D20" s="259" t="s">
        <v>10</v>
      </c>
      <c r="E20" s="109">
        <f>VLOOKUP($C20,Score!$B$2:$X$78,2,0)</f>
        <v>25</v>
      </c>
      <c r="F20" s="109">
        <f>VLOOKUP($C20,Score!$B$2:$X$78,3,0)</f>
        <v>0</v>
      </c>
      <c r="G20" s="109">
        <f>VLOOKUP($C20,Score!$B$2:$X$78,4,0)</f>
        <v>0</v>
      </c>
      <c r="H20" s="109">
        <f>VLOOKUP($C20,Score!$B$2:$X$78,5,0)</f>
        <v>0</v>
      </c>
      <c r="I20" s="109">
        <f>VLOOKUP($C20,Score!$B$2:$X$78,6,0)</f>
        <v>0</v>
      </c>
      <c r="J20" s="109">
        <f>VLOOKUP($C20,Score!$B$2:$X$78,7,0)</f>
        <v>0</v>
      </c>
      <c r="K20" s="109">
        <f>VLOOKUP($C20,Score!$B$2:$X$78,8,0)</f>
        <v>0</v>
      </c>
      <c r="L20" s="109">
        <f>VLOOKUP($C20,Score!$B$2:$X$78,9,0)</f>
        <v>0</v>
      </c>
      <c r="M20" s="109">
        <f>VLOOKUP($C20,Score!$B$2:$X$78,10,0)</f>
        <v>0</v>
      </c>
      <c r="N20" s="109">
        <f>VLOOKUP($C20,Score!$B$2:$X$78,11,0)</f>
        <v>24</v>
      </c>
      <c r="O20" s="109">
        <f>VLOOKUP($C20,Score!$B$2:$X$78,12,0)</f>
        <v>9</v>
      </c>
      <c r="P20" s="109">
        <f>VLOOKUP($C20,Score!$B$2:$X$78,13,0)</f>
        <v>0</v>
      </c>
      <c r="Q20" s="109">
        <f>VLOOKUP($C20,Score!$B$2:$X$78,14,0)</f>
        <v>0</v>
      </c>
      <c r="R20" s="109">
        <f>VLOOKUP($C20,Score!$B$2:$X$78,15,0)</f>
        <v>0</v>
      </c>
      <c r="S20" s="109">
        <f>VLOOKUP($C20,Score!$B$2:$X$78,16,0)</f>
        <v>0</v>
      </c>
      <c r="T20" s="109">
        <f>VLOOKUP($C20,Score!$B$2:$X$78,17,0)</f>
        <v>0</v>
      </c>
      <c r="U20" s="109">
        <f>VLOOKUP($C20,Score!$B$2:$X$78,18,0)</f>
        <v>0</v>
      </c>
      <c r="V20" s="109">
        <f>VLOOKUP($C20,Score!$B$2:$X$78,19,0)</f>
        <v>0</v>
      </c>
      <c r="W20" s="109">
        <f>VLOOKUP($C20,Score!$B$2:$X$78,20,0)</f>
        <v>0</v>
      </c>
      <c r="X20" s="109">
        <f>VLOOKUP($C20,Score!$B$2:$Z$77,21,0)</f>
        <v>0</v>
      </c>
      <c r="Y20" s="109">
        <f>VLOOKUP($C20,Score!$B$2:$Z$77,22,0)</f>
        <v>22</v>
      </c>
      <c r="Z20" s="109">
        <f>VLOOKUP($C20,Score!$B$2:$Z$77,24,0)</f>
        <v>0</v>
      </c>
      <c r="AA20" s="172">
        <f t="shared" si="0"/>
        <v>80</v>
      </c>
      <c r="AB20" s="108" t="str">
        <f t="shared" si="1"/>
        <v>Viviani</v>
      </c>
    </row>
    <row r="21" spans="2:28" s="158" customFormat="1">
      <c r="B21" s="325"/>
      <c r="C21" s="326"/>
      <c r="D21" s="165"/>
      <c r="E21" s="167"/>
      <c r="F21" s="167"/>
      <c r="G21" s="167"/>
      <c r="H21" s="167"/>
      <c r="I21" s="167"/>
      <c r="J21" s="167"/>
      <c r="K21" s="167"/>
      <c r="L21" s="167">
        <f>L25</f>
        <v>19</v>
      </c>
      <c r="M21" s="167">
        <f>M25+M26</f>
        <v>23</v>
      </c>
      <c r="N21" s="167">
        <f t="shared" ref="N21:P21" si="2">N25+N26</f>
        <v>5</v>
      </c>
      <c r="O21" s="167">
        <f t="shared" si="2"/>
        <v>5</v>
      </c>
      <c r="P21" s="167">
        <f t="shared" si="2"/>
        <v>5</v>
      </c>
      <c r="Q21" s="167">
        <f>Q25+Q26+Q24</f>
        <v>19</v>
      </c>
      <c r="R21" s="167">
        <f t="shared" ref="R21:Z21" si="3">R25+R26+R24</f>
        <v>20</v>
      </c>
      <c r="S21" s="167">
        <f t="shared" si="3"/>
        <v>66</v>
      </c>
      <c r="T21" s="167">
        <f t="shared" si="3"/>
        <v>40</v>
      </c>
      <c r="U21" s="167">
        <f t="shared" si="3"/>
        <v>79</v>
      </c>
      <c r="V21" s="167">
        <f t="shared" si="3"/>
        <v>51</v>
      </c>
      <c r="W21" s="167">
        <f t="shared" si="3"/>
        <v>18</v>
      </c>
      <c r="X21" s="167">
        <f t="shared" si="3"/>
        <v>44</v>
      </c>
      <c r="Y21" s="167">
        <f t="shared" si="3"/>
        <v>16</v>
      </c>
      <c r="Z21" s="167">
        <f t="shared" si="3"/>
        <v>116</v>
      </c>
      <c r="AA21" s="357">
        <f t="shared" si="0"/>
        <v>526</v>
      </c>
    </row>
    <row r="22" spans="2:28" s="112" customFormat="1">
      <c r="B22" s="327"/>
      <c r="C22" s="328"/>
      <c r="D22" s="166"/>
      <c r="E22" s="159">
        <f t="shared" ref="E22:AA22" si="4">SUM(E4:E21)</f>
        <v>118</v>
      </c>
      <c r="F22" s="159">
        <f t="shared" si="4"/>
        <v>100</v>
      </c>
      <c r="G22" s="159">
        <f t="shared" si="4"/>
        <v>137</v>
      </c>
      <c r="H22" s="159">
        <f t="shared" si="4"/>
        <v>203</v>
      </c>
      <c r="I22" s="159">
        <f t="shared" si="4"/>
        <v>178</v>
      </c>
      <c r="J22" s="159">
        <f t="shared" si="4"/>
        <v>150</v>
      </c>
      <c r="K22" s="159">
        <f t="shared" si="4"/>
        <v>171</v>
      </c>
      <c r="L22" s="159">
        <f t="shared" si="4"/>
        <v>118</v>
      </c>
      <c r="M22" s="159">
        <f t="shared" si="4"/>
        <v>200</v>
      </c>
      <c r="N22" s="159">
        <f t="shared" si="4"/>
        <v>151</v>
      </c>
      <c r="O22" s="159">
        <f t="shared" si="4"/>
        <v>147</v>
      </c>
      <c r="P22" s="159">
        <f t="shared" si="4"/>
        <v>88</v>
      </c>
      <c r="Q22" s="159">
        <f t="shared" si="4"/>
        <v>99</v>
      </c>
      <c r="R22" s="159">
        <f t="shared" si="4"/>
        <v>101</v>
      </c>
      <c r="S22" s="159">
        <f t="shared" si="4"/>
        <v>187</v>
      </c>
      <c r="T22" s="159">
        <f t="shared" si="4"/>
        <v>127</v>
      </c>
      <c r="U22" s="159">
        <f t="shared" si="4"/>
        <v>215</v>
      </c>
      <c r="V22" s="159">
        <f t="shared" si="4"/>
        <v>214</v>
      </c>
      <c r="W22" s="159">
        <f t="shared" si="4"/>
        <v>91</v>
      </c>
      <c r="X22" s="159">
        <f t="shared" si="4"/>
        <v>209</v>
      </c>
      <c r="Y22" s="159">
        <f t="shared" si="4"/>
        <v>167</v>
      </c>
      <c r="Z22" s="159">
        <f t="shared" si="4"/>
        <v>365</v>
      </c>
      <c r="AA22" s="222">
        <f t="shared" si="4"/>
        <v>3536</v>
      </c>
    </row>
    <row r="23" spans="2:28" s="160" customFormat="1">
      <c r="B23" s="329"/>
      <c r="C23" s="330"/>
      <c r="D23" s="16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2:28" s="162" customFormat="1">
      <c r="B24" s="322" t="s">
        <v>147</v>
      </c>
      <c r="C24" s="331" t="s">
        <v>124</v>
      </c>
      <c r="D24" s="262"/>
      <c r="E24" s="179">
        <f>VLOOKUP($C24,Score!$B$2:$X$78,2,0)</f>
        <v>0</v>
      </c>
      <c r="F24" s="179">
        <f>VLOOKUP($C24,Score!$B$2:$X$78,3,0)</f>
        <v>0</v>
      </c>
      <c r="G24" s="179">
        <f>VLOOKUP($C24,Score!$B$2:$X$78,4,0)</f>
        <v>0</v>
      </c>
      <c r="H24" s="179">
        <f>VLOOKUP($C24,Score!$B$2:$X$78,5,0)</f>
        <v>0</v>
      </c>
      <c r="I24" s="179">
        <f>VLOOKUP($C24,Score!$B$2:$X$78,6,0)</f>
        <v>0</v>
      </c>
      <c r="J24" s="179">
        <f>VLOOKUP($C24,Score!$B$2:$X$78,7,0)</f>
        <v>0</v>
      </c>
      <c r="K24" s="179">
        <f>VLOOKUP($C24,Score!$B$2:$X$78,8,0)</f>
        <v>12</v>
      </c>
      <c r="L24" s="179">
        <f>VLOOKUP($C24,Score!$B$2:$X$78,9,0)</f>
        <v>0</v>
      </c>
      <c r="M24" s="179">
        <f>VLOOKUP($C24,Score!$B$2:$X$78,10,0)</f>
        <v>0</v>
      </c>
      <c r="N24" s="179">
        <f>VLOOKUP($C24,Score!$B$2:$X$78,11,0)</f>
        <v>0</v>
      </c>
      <c r="O24" s="179">
        <f>VLOOKUP($C24,Score!$B$2:$X$78,12,0)</f>
        <v>0</v>
      </c>
      <c r="P24" s="179">
        <f>VLOOKUP($C24,Score!$B$2:$X$78,13,0)</f>
        <v>0</v>
      </c>
      <c r="Q24" s="353">
        <f>VLOOKUP($C24,Score!$B$2:$X$78,14,0)</f>
        <v>0</v>
      </c>
      <c r="R24" s="353">
        <f>VLOOKUP($C24,Score!$B$2:$X$78,15,0)</f>
        <v>11</v>
      </c>
      <c r="S24" s="353">
        <f>VLOOKUP($C24,Score!$B$2:$X$78,16,0)</f>
        <v>6</v>
      </c>
      <c r="T24" s="353">
        <f>VLOOKUP($C24,Score!$B$2:$X$78,17,0)</f>
        <v>20</v>
      </c>
      <c r="U24" s="353">
        <f>VLOOKUP($C24,Score!$B$2:$X$78,18,0)</f>
        <v>6</v>
      </c>
      <c r="V24" s="353">
        <f>VLOOKUP($C24,Score!$B$2:$X$78,19,0)</f>
        <v>0</v>
      </c>
      <c r="W24" s="353">
        <f>VLOOKUP($C24,Score!$B$2:$X$78,20,0)</f>
        <v>0</v>
      </c>
      <c r="X24" s="353">
        <f>VLOOKUP($C24,Score!$B$2:$Z$77,21,0)</f>
        <v>11</v>
      </c>
      <c r="Y24" s="353">
        <f>VLOOKUP($C24,Score!$B$2:$Z$77,22,0)</f>
        <v>0</v>
      </c>
      <c r="Z24" s="353">
        <f>VLOOKUP($C24,Score!$B$2:$Z$77,24,0)</f>
        <v>24</v>
      </c>
      <c r="AA24" s="290">
        <f t="shared" ref="AA24:AA26" si="5">SUM(E24:Z24)</f>
        <v>90</v>
      </c>
    </row>
    <row r="25" spans="2:28" s="162" customFormat="1">
      <c r="B25" s="322" t="s">
        <v>235</v>
      </c>
      <c r="C25" s="331" t="s">
        <v>204</v>
      </c>
      <c r="D25" s="262"/>
      <c r="E25" s="179">
        <f>VLOOKUP($C25,Score!$B$2:$X$78,2,0)</f>
        <v>0</v>
      </c>
      <c r="F25" s="179">
        <f>VLOOKUP($C25,Score!$B$2:$X$78,3,0)</f>
        <v>10</v>
      </c>
      <c r="G25" s="179">
        <f>VLOOKUP($C25,Score!$B$2:$X$78,4,0)</f>
        <v>0</v>
      </c>
      <c r="H25" s="179">
        <f>VLOOKUP($C25,Score!$B$2:$X$78,5,0)</f>
        <v>21</v>
      </c>
      <c r="I25" s="179">
        <f>VLOOKUP($C25,Score!$B$2:$X$78,6,0)</f>
        <v>9</v>
      </c>
      <c r="J25" s="179">
        <f>VLOOKUP($C25,Score!$B$2:$X$78,7,0)</f>
        <v>1</v>
      </c>
      <c r="K25" s="179">
        <f>VLOOKUP($C25,Score!$B$2:$X$78,8,0)</f>
        <v>3</v>
      </c>
      <c r="L25" s="349">
        <f>VLOOKUP($C25,Score!$B$2:$X$78,9,0)</f>
        <v>19</v>
      </c>
      <c r="M25" s="349">
        <f>VLOOKUP($C25,Score!$B$2:$X$78,10,0)</f>
        <v>12</v>
      </c>
      <c r="N25" s="349">
        <f>VLOOKUP($C25,Score!$B$2:$X$78,11,0)</f>
        <v>2</v>
      </c>
      <c r="O25" s="349">
        <f>VLOOKUP($C25,Score!$B$2:$X$78,12,0)</f>
        <v>2</v>
      </c>
      <c r="P25" s="349">
        <f>VLOOKUP($C25,Score!$B$2:$X$78,13,0)</f>
        <v>2</v>
      </c>
      <c r="Q25" s="349">
        <f>VLOOKUP($C25,Score!$B$2:$X$78,14,0)</f>
        <v>15</v>
      </c>
      <c r="R25" s="349">
        <f>VLOOKUP($C25,Score!$B$2:$X$78,15,0)</f>
        <v>5</v>
      </c>
      <c r="S25" s="349">
        <f>VLOOKUP($C25,Score!$B$2:$X$78,16,0)</f>
        <v>31</v>
      </c>
      <c r="T25" s="349">
        <f>VLOOKUP($C25,Score!$B$2:$X$78,17,0)</f>
        <v>13</v>
      </c>
      <c r="U25" s="349">
        <f>VLOOKUP($C25,Score!$B$2:$X$78,18,0)</f>
        <v>46</v>
      </c>
      <c r="V25" s="349">
        <f>VLOOKUP($C25,Score!$B$2:$X$78,19,0)</f>
        <v>23</v>
      </c>
      <c r="W25" s="349">
        <f>VLOOKUP($C25,Score!$B$2:$X$78,20,0)</f>
        <v>9</v>
      </c>
      <c r="X25" s="349">
        <f>VLOOKUP($C25,Score!$B$2:$Z$77,21,0)</f>
        <v>6</v>
      </c>
      <c r="Y25" s="349">
        <f>VLOOKUP($C25,Score!$B$2:$Z$77,22,0)</f>
        <v>6</v>
      </c>
      <c r="Z25" s="349">
        <f>VLOOKUP($C25,Score!$B$2:$Z$77,24,0)</f>
        <v>41</v>
      </c>
      <c r="AA25" s="290">
        <f t="shared" si="5"/>
        <v>276</v>
      </c>
    </row>
    <row r="26" spans="2:28" s="162" customFormat="1">
      <c r="B26" s="322" t="s">
        <v>168</v>
      </c>
      <c r="C26" s="331" t="s">
        <v>169</v>
      </c>
      <c r="D26" s="262"/>
      <c r="E26" s="179">
        <f>VLOOKUP($C26,Score!$B$2:$X$78,2,0)</f>
        <v>0</v>
      </c>
      <c r="F26" s="179">
        <f>VLOOKUP($C26,Score!$B$2:$X$78,3,0)</f>
        <v>1</v>
      </c>
      <c r="G26" s="179">
        <f>VLOOKUP($C26,Score!$B$2:$X$78,4,0)</f>
        <v>1</v>
      </c>
      <c r="H26" s="179">
        <f>VLOOKUP($C26,Score!$B$2:$X$78,5,0)</f>
        <v>11</v>
      </c>
      <c r="I26" s="179">
        <f>VLOOKUP($C26,Score!$B$2:$X$78,6,0)</f>
        <v>3</v>
      </c>
      <c r="J26" s="179">
        <f>VLOOKUP($C26,Score!$B$2:$X$78,7,0)</f>
        <v>3</v>
      </c>
      <c r="K26" s="179">
        <f>VLOOKUP($C26,Score!$B$2:$X$78,8,0)</f>
        <v>4</v>
      </c>
      <c r="L26" s="179">
        <f>VLOOKUP($C26,Score!$B$2:$X$78,9,0)</f>
        <v>10</v>
      </c>
      <c r="M26" s="351">
        <f>VLOOKUP($C26,Score!$B$2:$X$78,10,0)</f>
        <v>11</v>
      </c>
      <c r="N26" s="351">
        <f>VLOOKUP($C26,Score!$B$2:$X$78,11,0)</f>
        <v>3</v>
      </c>
      <c r="O26" s="351">
        <f>VLOOKUP($C26,Score!$B$2:$X$78,12,0)</f>
        <v>3</v>
      </c>
      <c r="P26" s="351">
        <f>VLOOKUP($C26,Score!$B$2:$X$78,13,0)</f>
        <v>3</v>
      </c>
      <c r="Q26" s="351">
        <f>VLOOKUP($C26,Score!$B$2:$X$78,14,0)</f>
        <v>4</v>
      </c>
      <c r="R26" s="351">
        <f>VLOOKUP($C26,Score!$B$2:$X$78,15,0)</f>
        <v>4</v>
      </c>
      <c r="S26" s="351">
        <f>VLOOKUP($C26,Score!$B$2:$X$78,16,0)</f>
        <v>29</v>
      </c>
      <c r="T26" s="351">
        <f>VLOOKUP($C26,Score!$B$2:$X$78,17,0)</f>
        <v>7</v>
      </c>
      <c r="U26" s="351">
        <f>VLOOKUP($C26,Score!$B$2:$X$78,18,0)</f>
        <v>27</v>
      </c>
      <c r="V26" s="351">
        <f>VLOOKUP($C26,Score!$B$2:$X$78,19,0)</f>
        <v>28</v>
      </c>
      <c r="W26" s="351">
        <f>VLOOKUP($C26,Score!$B$2:$X$78,20,0)</f>
        <v>9</v>
      </c>
      <c r="X26" s="351">
        <f>VLOOKUP($C26,Score!$B$2:$Z$77,21,0)</f>
        <v>27</v>
      </c>
      <c r="Y26" s="351">
        <f>VLOOKUP($C26,Score!$B$2:$Z$77,22,0)</f>
        <v>10</v>
      </c>
      <c r="Z26" s="351">
        <f>VLOOKUP($C26,Score!$B$2:$Z$77,24,0)</f>
        <v>51</v>
      </c>
      <c r="AA26" s="290">
        <f t="shared" si="5"/>
        <v>249</v>
      </c>
    </row>
    <row r="28" spans="2:28">
      <c r="C28" s="291" t="s">
        <v>163</v>
      </c>
      <c r="D28" s="292">
        <f>COUNTIF($D$4:$D$21,C28)</f>
        <v>8</v>
      </c>
    </row>
    <row r="29" spans="2:28">
      <c r="C29" s="293" t="s">
        <v>10</v>
      </c>
      <c r="D29" s="292">
        <f>COUNTIF($D$4:$D$21,C29)</f>
        <v>3</v>
      </c>
    </row>
    <row r="30" spans="2:28">
      <c r="C30" s="293" t="s">
        <v>109</v>
      </c>
      <c r="D30" s="292">
        <f>COUNTIF($D$4:$D$21,C30)</f>
        <v>6</v>
      </c>
    </row>
  </sheetData>
  <sortState ref="A4:AF20">
    <sortCondition ref="D4:D20"/>
    <sortCondition ref="C4:C20"/>
  </sortState>
  <phoneticPr fontId="0"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sheetPr codeName="Blad8">
    <tabColor indexed="39"/>
  </sheetPr>
  <dimension ref="B1:AB30"/>
  <sheetViews>
    <sheetView showZeros="0" workbookViewId="0">
      <selection activeCell="AC30" sqref="AC30"/>
    </sheetView>
  </sheetViews>
  <sheetFormatPr defaultColWidth="9.140625" defaultRowHeight="12.75"/>
  <cols>
    <col min="1" max="1" width="2.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B1" s="163"/>
      <c r="C1" s="294" t="s">
        <v>149</v>
      </c>
      <c r="D1" s="256"/>
    </row>
    <row r="2" spans="2:28">
      <c r="B2" s="163"/>
      <c r="C2" s="295"/>
      <c r="D2" s="164"/>
      <c r="H2" s="128"/>
    </row>
    <row r="3" spans="2:28" s="126" customFormat="1" ht="13.5" thickBot="1">
      <c r="B3" s="296"/>
      <c r="C3" s="297" t="s">
        <v>146</v>
      </c>
      <c r="D3" s="257"/>
      <c r="E3" s="111">
        <f>Score!C1</f>
        <v>1</v>
      </c>
      <c r="F3" s="111">
        <f>Score!D1</f>
        <v>2</v>
      </c>
      <c r="G3" s="111">
        <f>Score!E1</f>
        <v>3</v>
      </c>
      <c r="H3" s="111">
        <f>Score!F1</f>
        <v>4</v>
      </c>
      <c r="I3" s="111">
        <f>Score!G1</f>
        <v>5</v>
      </c>
      <c r="J3" s="111">
        <f>Score!H1</f>
        <v>6</v>
      </c>
      <c r="K3" s="111">
        <f>Score!I1</f>
        <v>7</v>
      </c>
      <c r="L3" s="111">
        <f>Score!J1</f>
        <v>8</v>
      </c>
      <c r="M3" s="111">
        <f>Score!K1</f>
        <v>9</v>
      </c>
      <c r="N3" s="111">
        <f>Score!L1</f>
        <v>10</v>
      </c>
      <c r="O3" s="111">
        <f>Score!M1</f>
        <v>11</v>
      </c>
      <c r="P3" s="111">
        <f>Score!N1</f>
        <v>12</v>
      </c>
      <c r="Q3" s="111">
        <f>Score!O1</f>
        <v>13</v>
      </c>
      <c r="R3" s="111">
        <f>Score!P1</f>
        <v>14</v>
      </c>
      <c r="S3" s="111">
        <f>Score!Q1</f>
        <v>15</v>
      </c>
      <c r="T3" s="111">
        <f>Score!R1</f>
        <v>16</v>
      </c>
      <c r="U3" s="111">
        <f>Score!S1</f>
        <v>17</v>
      </c>
      <c r="V3" s="111">
        <f>Score!T1</f>
        <v>18</v>
      </c>
      <c r="W3" s="111">
        <f>Score!U1</f>
        <v>19</v>
      </c>
      <c r="X3" s="111">
        <f>Score!V1</f>
        <v>20</v>
      </c>
      <c r="Y3" s="111">
        <f>Score!W1</f>
        <v>21</v>
      </c>
      <c r="Z3" s="111" t="s">
        <v>2</v>
      </c>
      <c r="AA3" s="146"/>
    </row>
    <row r="4" spans="2:28">
      <c r="B4" s="322" t="s">
        <v>140</v>
      </c>
      <c r="C4" s="323" t="s">
        <v>72</v>
      </c>
      <c r="D4" s="259" t="s">
        <v>10</v>
      </c>
      <c r="E4" s="109">
        <f>VLOOKUP($C4,Score!$B$2:$X$78,2,0)</f>
        <v>31</v>
      </c>
      <c r="F4" s="109">
        <f>VLOOKUP($C4,Score!$B$2:$X$78,3,0)</f>
        <v>4</v>
      </c>
      <c r="G4" s="109">
        <f>VLOOKUP($C4,Score!$B$2:$X$78,4,0)</f>
        <v>25</v>
      </c>
      <c r="H4" s="109">
        <f>VLOOKUP($C4,Score!$B$2:$X$78,5,0)</f>
        <v>5</v>
      </c>
      <c r="I4" s="109">
        <f>VLOOKUP($C4,Score!$B$2:$X$78,6,0)</f>
        <v>28</v>
      </c>
      <c r="J4" s="109">
        <f>VLOOKUP($C4,Score!$B$2:$X$78,7,0)</f>
        <v>4</v>
      </c>
      <c r="K4" s="109">
        <f>VLOOKUP($C4,Score!$B$2:$X$78,8,0)</f>
        <v>18</v>
      </c>
      <c r="L4" s="109">
        <f>VLOOKUP($C4,Score!$B$2:$X$78,9,0)</f>
        <v>5</v>
      </c>
      <c r="M4" s="109">
        <f>VLOOKUP($C4,Score!$B$2:$X$78,10,0)</f>
        <v>5</v>
      </c>
      <c r="N4" s="109">
        <f>VLOOKUP($C4,Score!$B$2:$X$78,11,0)</f>
        <v>30</v>
      </c>
      <c r="O4" s="109">
        <f>VLOOKUP($C4,Score!$B$2:$X$78,12,0)</f>
        <v>4</v>
      </c>
      <c r="P4" s="109">
        <f>VLOOKUP($C4,Score!$B$2:$X$78,13,0)</f>
        <v>17</v>
      </c>
      <c r="Q4" s="109">
        <f>VLOOKUP($C4,Score!$B$2:$X$78,14,0)</f>
        <v>4</v>
      </c>
      <c r="R4" s="109">
        <f>VLOOKUP($C4,Score!$B$2:$X$78,15,0)</f>
        <v>28</v>
      </c>
      <c r="S4" s="109">
        <f>VLOOKUP($C4,Score!$B$2:$X$78,16,0)</f>
        <v>4</v>
      </c>
      <c r="T4" s="109">
        <f>VLOOKUP($C4,Score!$B$2:$X$78,17,0)</f>
        <v>4</v>
      </c>
      <c r="U4" s="109">
        <f>VLOOKUP($C4,Score!$B$2:$X$78,18,0)</f>
        <v>4</v>
      </c>
      <c r="V4" s="109">
        <f>VLOOKUP($C4,Score!$B$2:$X$78,19,0)</f>
        <v>4</v>
      </c>
      <c r="W4" s="109">
        <f>VLOOKUP($C4,Score!$B$2:$X$78,20,0)</f>
        <v>21</v>
      </c>
      <c r="X4" s="109">
        <f>VLOOKUP($C4,Score!$B$2:$Z$77,21,0)</f>
        <v>4</v>
      </c>
      <c r="Y4" s="109">
        <f>VLOOKUP($C4,Score!$B$2:$Z$77,22,0)</f>
        <v>30</v>
      </c>
      <c r="Z4" s="109">
        <f>VLOOKUP($C4,Score!$B$2:$Z$77,24,0)</f>
        <v>7</v>
      </c>
      <c r="AA4" s="172">
        <f t="shared" ref="AA4:AA20" si="0">SUM(E4:Z4)</f>
        <v>286</v>
      </c>
      <c r="AB4" s="108" t="str">
        <f t="shared" ref="AB4:AB20" si="1">C4</f>
        <v>Sagan</v>
      </c>
    </row>
    <row r="5" spans="2:28">
      <c r="B5" s="322" t="s">
        <v>164</v>
      </c>
      <c r="C5" s="324" t="s">
        <v>165</v>
      </c>
      <c r="D5" s="259" t="s">
        <v>10</v>
      </c>
      <c r="E5" s="109">
        <f>VLOOKUP($C5,Score!$B$2:$X$78,2,0)</f>
        <v>7</v>
      </c>
      <c r="F5" s="109">
        <f>VLOOKUP($C5,Score!$B$2:$X$78,3,0)</f>
        <v>0</v>
      </c>
      <c r="G5" s="109">
        <f>VLOOKUP($C5,Score!$B$2:$X$78,4,0)</f>
        <v>36</v>
      </c>
      <c r="H5" s="109">
        <f>VLOOKUP($C5,Score!$B$2:$X$78,5,0)</f>
        <v>0</v>
      </c>
      <c r="I5" s="109">
        <f>VLOOKUP($C5,Score!$B$2:$X$78,6,0)</f>
        <v>20</v>
      </c>
      <c r="J5" s="109">
        <f>VLOOKUP($C5,Score!$B$2:$X$78,7,0)</f>
        <v>2</v>
      </c>
      <c r="K5" s="109">
        <f>VLOOKUP($C5,Score!$B$2:$X$78,8,0)</f>
        <v>0</v>
      </c>
      <c r="L5" s="109">
        <f>VLOOKUP($C5,Score!$B$2:$X$78,9,0)</f>
        <v>0</v>
      </c>
      <c r="M5" s="109">
        <f>VLOOKUP($C5,Score!$B$2:$X$78,10,0)</f>
        <v>0</v>
      </c>
      <c r="N5" s="109">
        <f>VLOOKUP($C5,Score!$B$2:$X$78,11,0)</f>
        <v>30</v>
      </c>
      <c r="O5" s="109">
        <f>VLOOKUP($C5,Score!$B$2:$X$78,12,0)</f>
        <v>37</v>
      </c>
      <c r="P5" s="109">
        <f>VLOOKUP($C5,Score!$B$2:$X$78,13,0)</f>
        <v>2</v>
      </c>
      <c r="Q5" s="109">
        <f>VLOOKUP($C5,Score!$B$2:$X$78,14,0)</f>
        <v>2</v>
      </c>
      <c r="R5" s="109">
        <f>VLOOKUP($C5,Score!$B$2:$X$78,15,0)</f>
        <v>1</v>
      </c>
      <c r="S5" s="109">
        <f>VLOOKUP($C5,Score!$B$2:$X$78,16,0)</f>
        <v>1</v>
      </c>
      <c r="T5" s="109">
        <f>VLOOKUP($C5,Score!$B$2:$X$78,17,0)</f>
        <v>1</v>
      </c>
      <c r="U5" s="109">
        <f>VLOOKUP($C5,Score!$B$2:$X$78,18,0)</f>
        <v>1</v>
      </c>
      <c r="V5" s="109">
        <f>VLOOKUP($C5,Score!$B$2:$X$78,19,0)</f>
        <v>1</v>
      </c>
      <c r="W5" s="109">
        <f>VLOOKUP($C5,Score!$B$2:$X$78,20,0)</f>
        <v>1</v>
      </c>
      <c r="X5" s="109">
        <f>VLOOKUP($C5,Score!$B$2:$Z$77,21,0)</f>
        <v>0</v>
      </c>
      <c r="Y5" s="109">
        <f>VLOOKUP($C5,Score!$B$2:$Z$77,22,0)</f>
        <v>19</v>
      </c>
      <c r="Z5" s="109">
        <f>VLOOKUP($C5,Score!$B$2:$Z$77,24,0)</f>
        <v>0</v>
      </c>
      <c r="AA5" s="172">
        <f t="shared" si="0"/>
        <v>161</v>
      </c>
      <c r="AB5" s="108" t="str">
        <f t="shared" si="1"/>
        <v>Ewan</v>
      </c>
    </row>
    <row r="6" spans="2:28">
      <c r="B6" s="322" t="s">
        <v>190</v>
      </c>
      <c r="C6" s="324" t="s">
        <v>191</v>
      </c>
      <c r="D6" s="259" t="s">
        <v>10</v>
      </c>
      <c r="E6" s="109">
        <f>VLOOKUP($C6,Score!$B$2:$X$78,2,0)</f>
        <v>33</v>
      </c>
      <c r="F6" s="109">
        <f>VLOOKUP($C6,Score!$B$2:$X$78,3,0)</f>
        <v>2</v>
      </c>
      <c r="G6" s="109">
        <f>VLOOKUP($C6,Score!$B$2:$X$78,4,0)</f>
        <v>33</v>
      </c>
      <c r="H6" s="109">
        <f>VLOOKUP($C6,Score!$B$2:$X$78,5,0)</f>
        <v>4</v>
      </c>
      <c r="I6" s="109">
        <f>VLOOKUP($C6,Score!$B$2:$X$78,6,0)</f>
        <v>31</v>
      </c>
      <c r="J6" s="109">
        <f>VLOOKUP($C6,Score!$B$2:$X$78,7,0)</f>
        <v>5</v>
      </c>
      <c r="K6" s="109">
        <f>VLOOKUP($C6,Score!$B$2:$X$78,8,0)</f>
        <v>4</v>
      </c>
      <c r="L6" s="109">
        <f>VLOOKUP($C6,Score!$B$2:$X$78,9,0)</f>
        <v>4</v>
      </c>
      <c r="M6" s="109">
        <f>VLOOKUP($C6,Score!$B$2:$X$78,10,0)</f>
        <v>4</v>
      </c>
      <c r="N6" s="109">
        <f>VLOOKUP($C6,Score!$B$2:$X$78,11,0)</f>
        <v>40</v>
      </c>
      <c r="O6" s="109">
        <f>VLOOKUP($C6,Score!$B$2:$X$78,12,0)</f>
        <v>35</v>
      </c>
      <c r="P6" s="109">
        <f>VLOOKUP($C6,Score!$B$2:$X$78,13,0)</f>
        <v>5</v>
      </c>
      <c r="Q6" s="109">
        <f>VLOOKUP($C6,Score!$B$2:$X$78,14,0)</f>
        <v>5</v>
      </c>
      <c r="R6" s="109">
        <f>VLOOKUP($C6,Score!$B$2:$X$78,15,0)</f>
        <v>5</v>
      </c>
      <c r="S6" s="109">
        <f>VLOOKUP($C6,Score!$B$2:$X$78,16,0)</f>
        <v>5</v>
      </c>
      <c r="T6" s="109">
        <f>VLOOKUP($C6,Score!$B$2:$X$78,17,0)</f>
        <v>5</v>
      </c>
      <c r="U6" s="109">
        <f>VLOOKUP($C6,Score!$B$2:$X$78,18,0)</f>
        <v>5</v>
      </c>
      <c r="V6" s="109">
        <f>VLOOKUP($C6,Score!$B$2:$X$78,19,0)</f>
        <v>5</v>
      </c>
      <c r="W6" s="109">
        <f>VLOOKUP($C6,Score!$B$2:$X$78,20,0)</f>
        <v>23</v>
      </c>
      <c r="X6" s="109">
        <f>VLOOKUP($C6,Score!$B$2:$Z$77,21,0)</f>
        <v>5</v>
      </c>
      <c r="Y6" s="109">
        <f>VLOOKUP($C6,Score!$B$2:$Z$77,22,0)</f>
        <v>40</v>
      </c>
      <c r="Z6" s="109">
        <f>VLOOKUP($C6,Score!$B$2:$Z$77,24,0)</f>
        <v>10</v>
      </c>
      <c r="AA6" s="172">
        <f t="shared" si="0"/>
        <v>308</v>
      </c>
      <c r="AB6" s="108" t="str">
        <f t="shared" si="1"/>
        <v>Bennett</v>
      </c>
    </row>
    <row r="7" spans="2:28">
      <c r="B7" s="322" t="s">
        <v>166</v>
      </c>
      <c r="C7" s="324" t="s">
        <v>167</v>
      </c>
      <c r="D7" s="259" t="s">
        <v>10</v>
      </c>
      <c r="E7" s="109">
        <f>VLOOKUP($C7,Score!$B$2:$X$78,2,0)</f>
        <v>25</v>
      </c>
      <c r="F7" s="109">
        <f>VLOOKUP($C7,Score!$B$2:$X$78,3,0)</f>
        <v>0</v>
      </c>
      <c r="G7" s="109">
        <f>VLOOKUP($C7,Score!$B$2:$X$78,4,0)</f>
        <v>0</v>
      </c>
      <c r="H7" s="109">
        <f>VLOOKUP($C7,Score!$B$2:$X$78,5,0)</f>
        <v>0</v>
      </c>
      <c r="I7" s="109">
        <f>VLOOKUP($C7,Score!$B$2:$X$78,6,0)</f>
        <v>0</v>
      </c>
      <c r="J7" s="109">
        <f>VLOOKUP($C7,Score!$B$2:$X$78,7,0)</f>
        <v>0</v>
      </c>
      <c r="K7" s="109">
        <f>VLOOKUP($C7,Score!$B$2:$X$78,8,0)</f>
        <v>0</v>
      </c>
      <c r="L7" s="354"/>
      <c r="M7" s="354"/>
      <c r="N7" s="354"/>
      <c r="O7" s="354"/>
      <c r="P7" s="354"/>
      <c r="Q7" s="354"/>
      <c r="R7" s="354"/>
      <c r="S7" s="354"/>
      <c r="T7" s="354"/>
      <c r="U7" s="354"/>
      <c r="V7" s="354"/>
      <c r="W7" s="354"/>
      <c r="X7" s="354"/>
      <c r="Y7" s="354"/>
      <c r="Z7" s="354"/>
      <c r="AA7" s="172">
        <f t="shared" si="0"/>
        <v>25</v>
      </c>
      <c r="AB7" s="108" t="str">
        <f t="shared" si="1"/>
        <v>Viviani</v>
      </c>
    </row>
    <row r="8" spans="2:28">
      <c r="B8" s="322" t="s">
        <v>175</v>
      </c>
      <c r="C8" s="324" t="s">
        <v>172</v>
      </c>
      <c r="D8" s="259" t="s">
        <v>10</v>
      </c>
      <c r="E8" s="109">
        <f>VLOOKUP($C8,Score!$B$2:$X$78,2,0)</f>
        <v>0</v>
      </c>
      <c r="F8" s="109">
        <f>VLOOKUP($C8,Score!$B$2:$X$78,3,0)</f>
        <v>0</v>
      </c>
      <c r="G8" s="109">
        <f>VLOOKUP($C8,Score!$B$2:$X$78,4,0)</f>
        <v>0</v>
      </c>
      <c r="H8" s="109">
        <f>VLOOKUP($C8,Score!$B$2:$X$78,5,0)</f>
        <v>0</v>
      </c>
      <c r="I8" s="350"/>
      <c r="J8" s="350"/>
      <c r="K8" s="350"/>
      <c r="L8" s="350"/>
      <c r="M8" s="350"/>
      <c r="N8" s="350"/>
      <c r="O8" s="350"/>
      <c r="P8" s="350"/>
      <c r="Q8" s="350"/>
      <c r="R8" s="350"/>
      <c r="S8" s="350"/>
      <c r="T8" s="350"/>
      <c r="U8" s="350"/>
      <c r="V8" s="350"/>
      <c r="W8" s="350"/>
      <c r="X8" s="350"/>
      <c r="Y8" s="350"/>
      <c r="Z8" s="350"/>
      <c r="AA8" s="172">
        <f t="shared" si="0"/>
        <v>0</v>
      </c>
      <c r="AB8" s="108" t="str">
        <f t="shared" si="1"/>
        <v>van Aert</v>
      </c>
    </row>
    <row r="9" spans="2:28">
      <c r="B9" s="322" t="s">
        <v>143</v>
      </c>
      <c r="C9" s="324" t="s">
        <v>136</v>
      </c>
      <c r="D9" s="259" t="s">
        <v>177</v>
      </c>
      <c r="E9" s="109">
        <f>VLOOKUP($C9,Score!$B$2:$X$78,2,0)</f>
        <v>0</v>
      </c>
      <c r="F9" s="109">
        <f>VLOOKUP($C9,Score!$B$2:$X$78,3,0)</f>
        <v>14</v>
      </c>
      <c r="G9" s="109">
        <f>VLOOKUP($C9,Score!$B$2:$X$78,4,0)</f>
        <v>8</v>
      </c>
      <c r="H9" s="109">
        <f>VLOOKUP($C9,Score!$B$2:$X$78,5,0)</f>
        <v>28</v>
      </c>
      <c r="I9" s="109">
        <f>VLOOKUP($C9,Score!$B$2:$X$78,6,0)</f>
        <v>18</v>
      </c>
      <c r="J9" s="109">
        <f>VLOOKUP($C9,Score!$B$2:$X$78,7,0)</f>
        <v>28</v>
      </c>
      <c r="K9" s="109">
        <f>VLOOKUP($C9,Score!$B$2:$X$78,8,0)</f>
        <v>30</v>
      </c>
      <c r="L9" s="109">
        <f>VLOOKUP($C9,Score!$B$2:$X$78,9,0)</f>
        <v>24</v>
      </c>
      <c r="M9" s="109">
        <f>VLOOKUP($C9,Score!$B$2:$X$78,10,0)</f>
        <v>38</v>
      </c>
      <c r="N9" s="109">
        <f>VLOOKUP($C9,Score!$B$2:$X$78,11,0)</f>
        <v>14</v>
      </c>
      <c r="O9" s="109">
        <f>VLOOKUP($C9,Score!$B$2:$X$78,12,0)</f>
        <v>14</v>
      </c>
      <c r="P9" s="109">
        <f>VLOOKUP($C9,Score!$B$2:$X$78,13,0)</f>
        <v>14</v>
      </c>
      <c r="Q9" s="109">
        <f>VLOOKUP($C9,Score!$B$2:$X$78,14,0)</f>
        <v>20</v>
      </c>
      <c r="R9" s="109">
        <f>VLOOKUP($C9,Score!$B$2:$X$78,15,0)</f>
        <v>12</v>
      </c>
      <c r="S9" s="109">
        <f>VLOOKUP($C9,Score!$B$2:$X$78,16,0)</f>
        <v>3</v>
      </c>
      <c r="T9" s="109">
        <f>VLOOKUP($C9,Score!$B$2:$X$78,17,0)</f>
        <v>3</v>
      </c>
      <c r="U9" s="109">
        <f>VLOOKUP($C9,Score!$B$2:$X$78,18,0)</f>
        <v>0</v>
      </c>
      <c r="V9" s="109">
        <f>VLOOKUP($C9,Score!$B$2:$X$78,19,0)</f>
        <v>0</v>
      </c>
      <c r="W9" s="109">
        <f>VLOOKUP($C9,Score!$B$2:$X$78,20,0)</f>
        <v>0</v>
      </c>
      <c r="X9" s="109">
        <f>VLOOKUP($C9,Score!$B$2:$Z$77,21,0)</f>
        <v>0</v>
      </c>
      <c r="Y9" s="109">
        <f>VLOOKUP($C9,Score!$B$2:$Z$77,22,0)</f>
        <v>0</v>
      </c>
      <c r="Z9" s="109">
        <f>VLOOKUP($C9,Score!$B$2:$Z$77,24,0)</f>
        <v>0</v>
      </c>
      <c r="AA9" s="172">
        <f t="shared" si="0"/>
        <v>268</v>
      </c>
      <c r="AB9" s="108" t="str">
        <f t="shared" si="1"/>
        <v>Bernal</v>
      </c>
    </row>
    <row r="10" spans="2:28">
      <c r="B10" s="322" t="s">
        <v>188</v>
      </c>
      <c r="C10" s="324" t="s">
        <v>134</v>
      </c>
      <c r="D10" s="259" t="s">
        <v>177</v>
      </c>
      <c r="E10" s="109">
        <f>VLOOKUP($C10,Score!$B$2:$X$78,2,0)</f>
        <v>0</v>
      </c>
      <c r="F10" s="109">
        <f>VLOOKUP($C10,Score!$B$2:$X$78,3,0)</f>
        <v>0</v>
      </c>
      <c r="G10" s="109">
        <f>VLOOKUP($C10,Score!$B$2:$X$78,4,0)</f>
        <v>0</v>
      </c>
      <c r="H10" s="109">
        <f>VLOOKUP($C10,Score!$B$2:$X$78,5,0)</f>
        <v>46</v>
      </c>
      <c r="I10" s="109">
        <f>VLOOKUP($C10,Score!$B$2:$X$78,6,0)</f>
        <v>12</v>
      </c>
      <c r="J10" s="109">
        <f>VLOOKUP($C10,Score!$B$2:$X$78,7,0)</f>
        <v>11</v>
      </c>
      <c r="K10" s="109">
        <f>VLOOKUP($C10,Score!$B$2:$X$78,8,0)</f>
        <v>11</v>
      </c>
      <c r="L10" s="109">
        <f>VLOOKUP($C10,Score!$B$2:$X$78,9,0)</f>
        <v>19</v>
      </c>
      <c r="M10" s="109">
        <f>VLOOKUP($C10,Score!$B$2:$X$78,10,0)</f>
        <v>40</v>
      </c>
      <c r="N10" s="109">
        <f>VLOOKUP($C10,Score!$B$2:$X$78,11,0)</f>
        <v>10</v>
      </c>
      <c r="O10" s="109">
        <f>VLOOKUP($C10,Score!$B$2:$X$78,12,0)</f>
        <v>10</v>
      </c>
      <c r="P10" s="109">
        <f>VLOOKUP($C10,Score!$B$2:$X$78,13,0)</f>
        <v>10</v>
      </c>
      <c r="Q10" s="109">
        <f>VLOOKUP($C10,Score!$B$2:$X$78,14,0)</f>
        <v>24</v>
      </c>
      <c r="R10" s="109">
        <f>VLOOKUP($C10,Score!$B$2:$X$78,15,0)</f>
        <v>10</v>
      </c>
      <c r="S10" s="109">
        <f>VLOOKUP($C10,Score!$B$2:$X$78,16,0)</f>
        <v>43</v>
      </c>
      <c r="T10" s="109">
        <f>VLOOKUP($C10,Score!$B$2:$X$78,17,0)</f>
        <v>12</v>
      </c>
      <c r="U10" s="109">
        <f>VLOOKUP($C10,Score!$B$2:$X$78,18,0)</f>
        <v>44</v>
      </c>
      <c r="V10" s="109">
        <f>VLOOKUP($C10,Score!$B$2:$X$78,19,0)</f>
        <v>37</v>
      </c>
      <c r="W10" s="109">
        <f>VLOOKUP($C10,Score!$B$2:$X$78,20,0)</f>
        <v>13</v>
      </c>
      <c r="X10" s="109">
        <f>VLOOKUP($C10,Score!$B$2:$Z$77,21,0)</f>
        <v>34</v>
      </c>
      <c r="Y10" s="109">
        <f>VLOOKUP($C10,Score!$B$2:$Z$77,22,0)</f>
        <v>12</v>
      </c>
      <c r="Z10" s="109">
        <f>VLOOKUP($C10,Score!$B$2:$Z$77,24,0)</f>
        <v>65</v>
      </c>
      <c r="AA10" s="172">
        <f t="shared" si="0"/>
        <v>463</v>
      </c>
      <c r="AB10" s="108" t="str">
        <f t="shared" si="1"/>
        <v>Roglic</v>
      </c>
    </row>
    <row r="11" spans="2:28">
      <c r="B11" s="322" t="s">
        <v>205</v>
      </c>
      <c r="C11" s="324" t="s">
        <v>106</v>
      </c>
      <c r="D11" s="259" t="s">
        <v>109</v>
      </c>
      <c r="E11" s="109">
        <f>VLOOKUP($C11,Score!$B$2:$X$78,2,0)</f>
        <v>0</v>
      </c>
      <c r="F11" s="109">
        <f>VLOOKUP($C11,Score!$B$2:$X$78,3,0)</f>
        <v>1</v>
      </c>
      <c r="G11" s="109">
        <f>VLOOKUP($C11,Score!$B$2:$X$78,4,0)</f>
        <v>4</v>
      </c>
      <c r="H11" s="109">
        <f>VLOOKUP($C11,Score!$B$2:$X$78,5,0)</f>
        <v>19</v>
      </c>
      <c r="I11" s="109">
        <f>VLOOKUP($C11,Score!$B$2:$X$78,6,0)</f>
        <v>5</v>
      </c>
      <c r="J11" s="109">
        <f>VLOOKUP($C11,Score!$B$2:$X$78,7,0)</f>
        <v>16</v>
      </c>
      <c r="K11" s="109">
        <f>VLOOKUP($C11,Score!$B$2:$X$78,8,0)</f>
        <v>6</v>
      </c>
      <c r="L11" s="109">
        <f>VLOOKUP($C11,Score!$B$2:$X$78,9,0)</f>
        <v>0</v>
      </c>
      <c r="M11" s="109">
        <f>VLOOKUP($C11,Score!$B$2:$X$78,10,0)</f>
        <v>9</v>
      </c>
      <c r="N11" s="109">
        <f>VLOOKUP($C11,Score!$B$2:$X$78,11,0)</f>
        <v>0</v>
      </c>
      <c r="O11" s="109">
        <f>VLOOKUP($C11,Score!$B$2:$X$78,12,0)</f>
        <v>0</v>
      </c>
      <c r="P11" s="109">
        <f>VLOOKUP($C11,Score!$B$2:$X$78,13,0)</f>
        <v>0</v>
      </c>
      <c r="Q11" s="109">
        <f>VLOOKUP($C11,Score!$B$2:$X$78,14,0)</f>
        <v>0</v>
      </c>
      <c r="R11" s="109">
        <f>VLOOKUP($C11,Score!$B$2:$X$78,15,0)</f>
        <v>0</v>
      </c>
      <c r="S11" s="109">
        <f>VLOOKUP($C11,Score!$B$2:$X$78,16,0)</f>
        <v>15</v>
      </c>
      <c r="T11" s="109">
        <f>VLOOKUP($C11,Score!$B$2:$X$78,17,0)</f>
        <v>2</v>
      </c>
      <c r="U11" s="109">
        <f>VLOOKUP($C11,Score!$B$2:$X$78,18,0)</f>
        <v>18</v>
      </c>
      <c r="V11" s="109">
        <f>VLOOKUP($C11,Score!$B$2:$X$78,19,0)</f>
        <v>18</v>
      </c>
      <c r="W11" s="109">
        <f>VLOOKUP($C11,Score!$B$2:$X$78,20,0)</f>
        <v>2</v>
      </c>
      <c r="X11" s="109">
        <f>VLOOKUP($C11,Score!$B$2:$Z$77,21,0)</f>
        <v>34</v>
      </c>
      <c r="Y11" s="109">
        <f>VLOOKUP($C11,Score!$B$2:$Z$77,22,0)</f>
        <v>4</v>
      </c>
      <c r="Z11" s="109">
        <f>VLOOKUP($C11,Score!$B$2:$Z$77,24,0)</f>
        <v>38</v>
      </c>
      <c r="AA11" s="172">
        <f t="shared" si="0"/>
        <v>191</v>
      </c>
      <c r="AB11" s="108" t="str">
        <f t="shared" si="1"/>
        <v>Dumoulin</v>
      </c>
    </row>
    <row r="12" spans="2:28">
      <c r="B12" s="322" t="s">
        <v>150</v>
      </c>
      <c r="C12" s="324" t="s">
        <v>151</v>
      </c>
      <c r="D12" s="259" t="s">
        <v>10</v>
      </c>
      <c r="E12" s="109">
        <f>VLOOKUP($C12,Score!$B$2:$X$78,2,0)</f>
        <v>0</v>
      </c>
      <c r="F12" s="109">
        <f>VLOOKUP($C12,Score!$B$2:$X$78,3,0)</f>
        <v>0</v>
      </c>
      <c r="G12" s="109">
        <f>VLOOKUP($C12,Score!$B$2:$X$78,4,0)</f>
        <v>0</v>
      </c>
      <c r="H12" s="109">
        <f>VLOOKUP($C12,Score!$B$2:$X$78,5,0)</f>
        <v>0</v>
      </c>
      <c r="I12" s="109">
        <f>VLOOKUP($C12,Score!$B$2:$X$78,6,0)</f>
        <v>0</v>
      </c>
      <c r="J12" s="109">
        <f>VLOOKUP($C12,Score!$B$2:$X$78,7,0)</f>
        <v>0</v>
      </c>
      <c r="K12" s="109">
        <f>VLOOKUP($C12,Score!$B$2:$X$78,8,0)</f>
        <v>0</v>
      </c>
      <c r="L12" s="352"/>
      <c r="M12" s="352"/>
      <c r="N12" s="352"/>
      <c r="O12" s="352"/>
      <c r="P12" s="352"/>
      <c r="Q12" s="352"/>
      <c r="R12" s="352"/>
      <c r="S12" s="352"/>
      <c r="T12" s="352"/>
      <c r="U12" s="352"/>
      <c r="V12" s="352"/>
      <c r="W12" s="352"/>
      <c r="X12" s="352"/>
      <c r="Y12" s="352"/>
      <c r="Z12" s="352"/>
      <c r="AA12" s="172">
        <f t="shared" si="0"/>
        <v>0</v>
      </c>
      <c r="AB12" s="108" t="str">
        <f t="shared" si="1"/>
        <v>Colbrelli</v>
      </c>
    </row>
    <row r="13" spans="2:28">
      <c r="B13" s="322" t="s">
        <v>153</v>
      </c>
      <c r="C13" s="324" t="s">
        <v>154</v>
      </c>
      <c r="D13" s="259" t="s">
        <v>109</v>
      </c>
      <c r="E13" s="109">
        <f>VLOOKUP($C13,Score!$B$2:$X$78,2,0)</f>
        <v>0</v>
      </c>
      <c r="F13" s="109">
        <f>VLOOKUP($C13,Score!$B$2:$X$78,3,0)</f>
        <v>46</v>
      </c>
      <c r="G13" s="109">
        <f>VLOOKUP($C13,Score!$B$2:$X$78,4,0)</f>
        <v>10</v>
      </c>
      <c r="H13" s="109">
        <f>VLOOKUP($C13,Score!$B$2:$X$78,5,0)</f>
        <v>32</v>
      </c>
      <c r="I13" s="109">
        <f>VLOOKUP($C13,Score!$B$2:$X$78,6,0)</f>
        <v>10</v>
      </c>
      <c r="J13" s="109">
        <f>VLOOKUP($C13,Score!$B$2:$X$78,7,0)</f>
        <v>22</v>
      </c>
      <c r="K13" s="109">
        <f>VLOOKUP($C13,Score!$B$2:$X$78,8,0)</f>
        <v>14</v>
      </c>
      <c r="L13" s="109">
        <f>VLOOKUP($C13,Score!$B$2:$X$78,9,0)</f>
        <v>0</v>
      </c>
      <c r="M13" s="109">
        <f>VLOOKUP($C13,Score!$B$2:$X$78,10,0)</f>
        <v>0</v>
      </c>
      <c r="N13" s="109">
        <f>VLOOKUP($C13,Score!$B$2:$X$78,11,0)</f>
        <v>0</v>
      </c>
      <c r="O13" s="109">
        <f>VLOOKUP($C13,Score!$B$2:$X$78,12,0)</f>
        <v>0</v>
      </c>
      <c r="P13" s="109">
        <f>VLOOKUP($C13,Score!$B$2:$X$78,13,0)</f>
        <v>15</v>
      </c>
      <c r="Q13" s="109">
        <f>VLOOKUP($C13,Score!$B$2:$X$78,14,0)</f>
        <v>0</v>
      </c>
      <c r="R13" s="109">
        <f>VLOOKUP($C13,Score!$B$2:$X$78,15,0)</f>
        <v>0</v>
      </c>
      <c r="S13" s="109">
        <f>VLOOKUP($C13,Score!$B$2:$X$78,16,0)</f>
        <v>0</v>
      </c>
      <c r="T13" s="109">
        <f>VLOOKUP($C13,Score!$B$2:$X$78,17,0)</f>
        <v>16</v>
      </c>
      <c r="U13" s="109">
        <f>VLOOKUP($C13,Score!$B$2:$X$78,18,0)</f>
        <v>0</v>
      </c>
      <c r="V13" s="109">
        <f>VLOOKUP($C13,Score!$B$2:$X$78,19,0)</f>
        <v>0</v>
      </c>
      <c r="W13" s="109">
        <f>VLOOKUP($C13,Score!$B$2:$X$78,20,0)</f>
        <v>0</v>
      </c>
      <c r="X13" s="109">
        <f>VLOOKUP($C13,Score!$B$2:$Z$77,21,0)</f>
        <v>0</v>
      </c>
      <c r="Y13" s="109">
        <f>VLOOKUP($C13,Score!$B$2:$Z$77,22,0)</f>
        <v>0</v>
      </c>
      <c r="Z13" s="109">
        <f>VLOOKUP($C13,Score!$B$2:$Z$77,24,0)</f>
        <v>0</v>
      </c>
      <c r="AA13" s="172">
        <f t="shared" si="0"/>
        <v>165</v>
      </c>
      <c r="AB13" s="108" t="str">
        <f t="shared" si="1"/>
        <v>Alaphilippe</v>
      </c>
    </row>
    <row r="14" spans="2:28">
      <c r="B14" s="322" t="s">
        <v>170</v>
      </c>
      <c r="C14" s="324" t="s">
        <v>86</v>
      </c>
      <c r="D14" s="259" t="s">
        <v>177</v>
      </c>
      <c r="E14" s="109">
        <f>VLOOKUP($C14,Score!$B$2:$X$78,2,0)</f>
        <v>0</v>
      </c>
      <c r="F14" s="109">
        <f>VLOOKUP($C14,Score!$B$2:$X$78,3,0)</f>
        <v>0</v>
      </c>
      <c r="G14" s="109">
        <f>VLOOKUP($C14,Score!$B$2:$X$78,4,0)</f>
        <v>0</v>
      </c>
      <c r="H14" s="109">
        <f>VLOOKUP($C14,Score!$B$2:$X$78,5,0)</f>
        <v>18</v>
      </c>
      <c r="I14" s="109">
        <f>VLOOKUP($C14,Score!$B$2:$X$78,6,0)</f>
        <v>0</v>
      </c>
      <c r="J14" s="109">
        <f>VLOOKUP($C14,Score!$B$2:$X$78,7,0)</f>
        <v>12</v>
      </c>
      <c r="K14" s="109">
        <f>VLOOKUP($C14,Score!$B$2:$X$78,8,0)</f>
        <v>10</v>
      </c>
      <c r="L14" s="109">
        <f>VLOOKUP($C14,Score!$B$2:$X$78,9,0)</f>
        <v>0</v>
      </c>
      <c r="M14" s="109">
        <f>VLOOKUP($C14,Score!$B$2:$X$78,10,0)</f>
        <v>0</v>
      </c>
      <c r="N14" s="109">
        <f>VLOOKUP($C14,Score!$B$2:$X$78,11,0)</f>
        <v>0</v>
      </c>
      <c r="O14" s="109">
        <f>VLOOKUP($C14,Score!$B$2:$X$78,12,0)</f>
        <v>0</v>
      </c>
      <c r="P14" s="109">
        <f>VLOOKUP($C14,Score!$B$2:$X$78,13,0)</f>
        <v>0</v>
      </c>
      <c r="Q14" s="109">
        <f>VLOOKUP($C14,Score!$B$2:$X$78,14,0)</f>
        <v>0</v>
      </c>
      <c r="R14" s="109">
        <f>VLOOKUP($C14,Score!$B$2:$X$78,15,0)</f>
        <v>0</v>
      </c>
      <c r="S14" s="109">
        <f>VLOOKUP($C14,Score!$B$2:$X$78,16,0)</f>
        <v>0</v>
      </c>
      <c r="T14" s="109">
        <f>VLOOKUP($C14,Score!$B$2:$X$78,17,0)</f>
        <v>0</v>
      </c>
      <c r="U14" s="109">
        <f>VLOOKUP($C14,Score!$B$2:$X$78,18,0)</f>
        <v>0</v>
      </c>
      <c r="V14" s="109">
        <f>VLOOKUP($C14,Score!$B$2:$X$78,19,0)</f>
        <v>0</v>
      </c>
      <c r="W14" s="109">
        <f>VLOOKUP($C14,Score!$B$2:$X$78,20,0)</f>
        <v>0</v>
      </c>
      <c r="X14" s="109">
        <f>VLOOKUP($C14,Score!$B$2:$Z$77,21,0)</f>
        <v>7</v>
      </c>
      <c r="Y14" s="109">
        <f>VLOOKUP($C14,Score!$B$2:$Z$77,22,0)</f>
        <v>0</v>
      </c>
      <c r="Z14" s="109">
        <f>VLOOKUP($C14,Score!$B$2:$Z$77,24,0)</f>
        <v>0</v>
      </c>
      <c r="AA14" s="172">
        <f t="shared" si="0"/>
        <v>47</v>
      </c>
      <c r="AB14" s="108" t="str">
        <f t="shared" si="1"/>
        <v>Pinot</v>
      </c>
    </row>
    <row r="15" spans="2:28">
      <c r="B15" s="322" t="s">
        <v>168</v>
      </c>
      <c r="C15" s="324" t="s">
        <v>169</v>
      </c>
      <c r="D15" s="259" t="s">
        <v>177</v>
      </c>
      <c r="E15" s="109">
        <f>VLOOKUP($C15,Score!$B$2:$X$78,2,0)</f>
        <v>0</v>
      </c>
      <c r="F15" s="109">
        <f>VLOOKUP($C15,Score!$B$2:$X$78,3,0)</f>
        <v>1</v>
      </c>
      <c r="G15" s="109">
        <f>VLOOKUP($C15,Score!$B$2:$X$78,4,0)</f>
        <v>1</v>
      </c>
      <c r="H15" s="109">
        <f>VLOOKUP($C15,Score!$B$2:$X$78,5,0)</f>
        <v>11</v>
      </c>
      <c r="I15" s="109">
        <f>VLOOKUP($C15,Score!$B$2:$X$78,6,0)</f>
        <v>3</v>
      </c>
      <c r="J15" s="109">
        <f>VLOOKUP($C15,Score!$B$2:$X$78,7,0)</f>
        <v>3</v>
      </c>
      <c r="K15" s="109">
        <f>VLOOKUP($C15,Score!$B$2:$X$78,8,0)</f>
        <v>4</v>
      </c>
      <c r="L15" s="109">
        <f>VLOOKUP($C15,Score!$B$2:$X$78,9,0)</f>
        <v>10</v>
      </c>
      <c r="M15" s="109">
        <f>VLOOKUP($C15,Score!$B$2:$X$78,10,0)</f>
        <v>11</v>
      </c>
      <c r="N15" s="109">
        <f>VLOOKUP($C15,Score!$B$2:$X$78,11,0)</f>
        <v>3</v>
      </c>
      <c r="O15" s="109">
        <f>VLOOKUP($C15,Score!$B$2:$X$78,12,0)</f>
        <v>3</v>
      </c>
      <c r="P15" s="109">
        <f>VLOOKUP($C15,Score!$B$2:$X$78,13,0)</f>
        <v>3</v>
      </c>
      <c r="Q15" s="109">
        <f>VLOOKUP($C15,Score!$B$2:$X$78,14,0)</f>
        <v>4</v>
      </c>
      <c r="R15" s="109">
        <f>VLOOKUP($C15,Score!$B$2:$X$78,15,0)</f>
        <v>4</v>
      </c>
      <c r="S15" s="109">
        <f>VLOOKUP($C15,Score!$B$2:$X$78,16,0)</f>
        <v>29</v>
      </c>
      <c r="T15" s="109">
        <f>VLOOKUP($C15,Score!$B$2:$X$78,17,0)</f>
        <v>7</v>
      </c>
      <c r="U15" s="109">
        <f>VLOOKUP($C15,Score!$B$2:$X$78,18,0)</f>
        <v>27</v>
      </c>
      <c r="V15" s="109">
        <f>VLOOKUP($C15,Score!$B$2:$X$78,19,0)</f>
        <v>28</v>
      </c>
      <c r="W15" s="109">
        <f>VLOOKUP($C15,Score!$B$2:$X$78,20,0)</f>
        <v>9</v>
      </c>
      <c r="X15" s="109">
        <f>VLOOKUP($C15,Score!$B$2:$Z$77,21,0)</f>
        <v>27</v>
      </c>
      <c r="Y15" s="109">
        <f>VLOOKUP($C15,Score!$B$2:$Z$77,22,0)</f>
        <v>10</v>
      </c>
      <c r="Z15" s="109">
        <f>VLOOKUP($C15,Score!$B$2:$Z$77,24,0)</f>
        <v>51</v>
      </c>
      <c r="AA15" s="172">
        <f t="shared" si="0"/>
        <v>249</v>
      </c>
      <c r="AB15" s="108" t="str">
        <f t="shared" si="1"/>
        <v>Mas</v>
      </c>
    </row>
    <row r="16" spans="2:28">
      <c r="B16" s="322" t="s">
        <v>144</v>
      </c>
      <c r="C16" s="324" t="s">
        <v>122</v>
      </c>
      <c r="D16" s="259" t="s">
        <v>177</v>
      </c>
      <c r="E16" s="109">
        <f>VLOOKUP($C16,Score!$B$2:$X$78,2,0)</f>
        <v>0</v>
      </c>
      <c r="F16" s="109">
        <f>VLOOKUP($C16,Score!$B$2:$X$78,3,0)</f>
        <v>0</v>
      </c>
      <c r="G16" s="109">
        <f>VLOOKUP($C16,Score!$B$2:$X$78,4,0)</f>
        <v>0</v>
      </c>
      <c r="H16" s="109">
        <f>VLOOKUP($C16,Score!$B$2:$X$78,5,0)</f>
        <v>11</v>
      </c>
      <c r="I16" s="109">
        <f>VLOOKUP($C16,Score!$B$2:$X$78,6,0)</f>
        <v>0</v>
      </c>
      <c r="J16" s="109">
        <f>VLOOKUP($C16,Score!$B$2:$X$78,7,0)</f>
        <v>0</v>
      </c>
      <c r="K16" s="109">
        <f>VLOOKUP($C16,Score!$B$2:$X$78,8,0)</f>
        <v>1</v>
      </c>
      <c r="L16" s="109">
        <f>VLOOKUP($C16,Score!$B$2:$X$78,9,0)</f>
        <v>11</v>
      </c>
      <c r="M16" s="109">
        <f>VLOOKUP($C16,Score!$B$2:$X$78,10,0)</f>
        <v>21</v>
      </c>
      <c r="N16" s="109">
        <f>VLOOKUP($C16,Score!$B$2:$X$78,11,0)</f>
        <v>5</v>
      </c>
      <c r="O16" s="109">
        <f>VLOOKUP($C16,Score!$B$2:$X$78,12,0)</f>
        <v>5</v>
      </c>
      <c r="P16" s="109">
        <f>VLOOKUP($C16,Score!$B$2:$X$78,13,0)</f>
        <v>5</v>
      </c>
      <c r="Q16" s="109">
        <f>VLOOKUP($C16,Score!$B$2:$X$78,14,0)</f>
        <v>14</v>
      </c>
      <c r="R16" s="109">
        <f>VLOOKUP($C16,Score!$B$2:$X$78,15,0)</f>
        <v>7</v>
      </c>
      <c r="S16" s="109">
        <f>VLOOKUP($C16,Score!$B$2:$X$78,16,0)</f>
        <v>25</v>
      </c>
      <c r="T16" s="109">
        <f>VLOOKUP($C16,Score!$B$2:$X$78,17,0)</f>
        <v>8</v>
      </c>
      <c r="U16" s="109">
        <f>VLOOKUP($C16,Score!$B$2:$X$78,18,0)</f>
        <v>22</v>
      </c>
      <c r="V16" s="109">
        <f>VLOOKUP($C16,Score!$B$2:$X$78,19,0)</f>
        <v>10</v>
      </c>
      <c r="W16" s="109">
        <f>VLOOKUP($C16,Score!$B$2:$X$78,20,0)</f>
        <v>3</v>
      </c>
      <c r="X16" s="109">
        <f>VLOOKUP($C16,Score!$B$2:$Z$77,21,0)</f>
        <v>19</v>
      </c>
      <c r="Y16" s="109">
        <f>VLOOKUP($C16,Score!$B$2:$Z$77,22,0)</f>
        <v>3</v>
      </c>
      <c r="Z16" s="109">
        <f>VLOOKUP($C16,Score!$B$2:$Z$77,24,0)</f>
        <v>36</v>
      </c>
      <c r="AA16" s="172">
        <f t="shared" si="0"/>
        <v>206</v>
      </c>
      <c r="AB16" s="108" t="str">
        <f t="shared" si="1"/>
        <v>Uran</v>
      </c>
    </row>
    <row r="17" spans="2:28">
      <c r="B17" s="322" t="s">
        <v>139</v>
      </c>
      <c r="C17" s="324" t="s">
        <v>133</v>
      </c>
      <c r="D17" s="259" t="s">
        <v>177</v>
      </c>
      <c r="E17" s="109">
        <f>VLOOKUP($C17,Score!$B$2:$X$78,2,0)</f>
        <v>0</v>
      </c>
      <c r="F17" s="109">
        <f>VLOOKUP($C17,Score!$B$2:$X$78,3,0)</f>
        <v>0</v>
      </c>
      <c r="G17" s="109">
        <f>VLOOKUP($C17,Score!$B$2:$X$78,4,0)</f>
        <v>0</v>
      </c>
      <c r="H17" s="109">
        <f>VLOOKUP($C17,Score!$B$2:$X$78,5,0)</f>
        <v>17</v>
      </c>
      <c r="I17" s="109">
        <f>VLOOKUP($C17,Score!$B$2:$X$78,6,0)</f>
        <v>0</v>
      </c>
      <c r="J17" s="109">
        <f>VLOOKUP($C17,Score!$B$2:$X$78,7,0)</f>
        <v>0</v>
      </c>
      <c r="K17" s="109">
        <f>VLOOKUP($C17,Score!$B$2:$X$78,8,0)</f>
        <v>0</v>
      </c>
      <c r="L17" s="109">
        <f>VLOOKUP($C17,Score!$B$2:$X$78,9,0)</f>
        <v>12</v>
      </c>
      <c r="M17" s="109">
        <f>VLOOKUP($C17,Score!$B$2:$X$78,10,0)</f>
        <v>23</v>
      </c>
      <c r="N17" s="109">
        <f>VLOOKUP($C17,Score!$B$2:$X$78,11,0)</f>
        <v>1</v>
      </c>
      <c r="O17" s="109">
        <f>VLOOKUP($C17,Score!$B$2:$X$78,12,0)</f>
        <v>1</v>
      </c>
      <c r="P17" s="109">
        <f>VLOOKUP($C17,Score!$B$2:$X$78,13,0)</f>
        <v>1</v>
      </c>
      <c r="Q17" s="109">
        <f>VLOOKUP($C17,Score!$B$2:$X$78,14,0)</f>
        <v>14</v>
      </c>
      <c r="R17" s="109">
        <f>VLOOKUP($C17,Score!$B$2:$X$78,15,0)</f>
        <v>3</v>
      </c>
      <c r="S17" s="109">
        <f>VLOOKUP($C17,Score!$B$2:$X$78,16,0)</f>
        <v>23</v>
      </c>
      <c r="T17" s="109">
        <f>VLOOKUP($C17,Score!$B$2:$X$78,17,0)</f>
        <v>4</v>
      </c>
      <c r="U17" s="109">
        <f>VLOOKUP($C17,Score!$B$2:$X$78,18,0)</f>
        <v>23</v>
      </c>
      <c r="V17" s="109">
        <f>VLOOKUP($C17,Score!$B$2:$X$78,19,0)</f>
        <v>24</v>
      </c>
      <c r="W17" s="109">
        <f>VLOOKUP($C17,Score!$B$2:$X$78,20,0)</f>
        <v>6</v>
      </c>
      <c r="X17" s="109">
        <f>VLOOKUP($C17,Score!$B$2:$Z$77,21,0)</f>
        <v>19</v>
      </c>
      <c r="Y17" s="109">
        <f>VLOOKUP($C17,Score!$B$2:$Z$77,22,0)</f>
        <v>7</v>
      </c>
      <c r="Z17" s="109">
        <f>VLOOKUP($C17,Score!$B$2:$Z$77,24,0)</f>
        <v>48</v>
      </c>
      <c r="AA17" s="172">
        <f t="shared" si="0"/>
        <v>226</v>
      </c>
      <c r="AB17" s="108" t="str">
        <f t="shared" si="1"/>
        <v>Landa</v>
      </c>
    </row>
    <row r="18" spans="2:28">
      <c r="B18" s="322" t="s">
        <v>174</v>
      </c>
      <c r="C18" s="324" t="s">
        <v>171</v>
      </c>
      <c r="D18" s="259" t="s">
        <v>177</v>
      </c>
      <c r="E18" s="109">
        <f>VLOOKUP($C18,Score!$B$2:$X$78,2,0)</f>
        <v>0</v>
      </c>
      <c r="F18" s="109">
        <f>VLOOKUP($C18,Score!$B$2:$X$78,3,0)</f>
        <v>0</v>
      </c>
      <c r="G18" s="109">
        <f>VLOOKUP($C18,Score!$B$2:$X$78,4,0)</f>
        <v>0</v>
      </c>
      <c r="H18" s="109">
        <f>VLOOKUP($C18,Score!$B$2:$X$78,5,0)</f>
        <v>9</v>
      </c>
      <c r="I18" s="109">
        <f>VLOOKUP($C18,Score!$B$2:$X$78,6,0)</f>
        <v>0</v>
      </c>
      <c r="J18" s="109">
        <f>VLOOKUP($C18,Score!$B$2:$X$78,7,0)</f>
        <v>7</v>
      </c>
      <c r="K18" s="109">
        <f>VLOOKUP($C18,Score!$B$2:$X$78,8,0)</f>
        <v>7</v>
      </c>
      <c r="L18" s="109">
        <f>VLOOKUP($C18,Score!$B$2:$X$78,9,0)</f>
        <v>0</v>
      </c>
      <c r="M18" s="109">
        <f>VLOOKUP($C18,Score!$B$2:$X$78,10,0)</f>
        <v>0</v>
      </c>
      <c r="N18" s="109">
        <f>VLOOKUP($C18,Score!$B$2:$X$78,11,0)</f>
        <v>0</v>
      </c>
      <c r="O18" s="109">
        <f>VLOOKUP($C18,Score!$B$2:$X$78,12,0)</f>
        <v>0</v>
      </c>
      <c r="P18" s="109">
        <f>VLOOKUP($C18,Score!$B$2:$X$78,13,0)</f>
        <v>0</v>
      </c>
      <c r="Q18" s="109">
        <f>VLOOKUP($C18,Score!$B$2:$X$78,14,0)</f>
        <v>0</v>
      </c>
      <c r="R18" s="109">
        <f>VLOOKUP($C18,Score!$B$2:$X$78,15,0)</f>
        <v>0</v>
      </c>
      <c r="S18" s="109">
        <f>VLOOKUP($C18,Score!$B$2:$X$78,16,0)</f>
        <v>0</v>
      </c>
      <c r="T18" s="109">
        <f>VLOOKUP($C18,Score!$B$2:$X$78,17,0)</f>
        <v>0</v>
      </c>
      <c r="U18" s="109">
        <f>VLOOKUP($C18,Score!$B$2:$X$78,18,0)</f>
        <v>0</v>
      </c>
      <c r="V18" s="109">
        <f>VLOOKUP($C18,Score!$B$2:$X$78,19,0)</f>
        <v>0</v>
      </c>
      <c r="W18" s="109">
        <f>VLOOKUP($C18,Score!$B$2:$X$78,20,0)</f>
        <v>0</v>
      </c>
      <c r="X18" s="109">
        <f>VLOOKUP($C18,Score!$B$2:$Z$77,21,0)</f>
        <v>0</v>
      </c>
      <c r="Y18" s="109">
        <f>VLOOKUP($C18,Score!$B$2:$Z$77,22,0)</f>
        <v>0</v>
      </c>
      <c r="Z18" s="109">
        <f>VLOOKUP($C18,Score!$B$2:$Z$77,24,0)</f>
        <v>0</v>
      </c>
      <c r="AA18" s="172">
        <f t="shared" si="0"/>
        <v>23</v>
      </c>
      <c r="AB18" s="108" t="str">
        <f t="shared" si="1"/>
        <v>Buchmann</v>
      </c>
    </row>
    <row r="19" spans="2:28">
      <c r="B19" s="322" t="s">
        <v>182</v>
      </c>
      <c r="C19" s="324" t="s">
        <v>178</v>
      </c>
      <c r="D19" s="259" t="s">
        <v>109</v>
      </c>
      <c r="E19" s="109">
        <f>VLOOKUP($C19,Score!$B$2:$X$78,2,0)</f>
        <v>0</v>
      </c>
      <c r="F19" s="109">
        <f>VLOOKUP($C19,Score!$B$2:$X$78,3,0)</f>
        <v>24</v>
      </c>
      <c r="G19" s="109">
        <f>VLOOKUP($C19,Score!$B$2:$X$78,4,0)</f>
        <v>0</v>
      </c>
      <c r="H19" s="109">
        <f>VLOOKUP($C19,Score!$B$2:$X$78,5,0)</f>
        <v>0</v>
      </c>
      <c r="I19" s="109">
        <f>VLOOKUP($C19,Score!$B$2:$X$78,6,0)</f>
        <v>6</v>
      </c>
      <c r="J19" s="109">
        <f>VLOOKUP($C19,Score!$B$2:$X$78,7,0)</f>
        <v>26</v>
      </c>
      <c r="K19" s="109">
        <f>VLOOKUP($C19,Score!$B$2:$X$78,8,0)</f>
        <v>0</v>
      </c>
      <c r="L19" s="109">
        <f>VLOOKUP($C19,Score!$B$2:$X$78,9,0)</f>
        <v>0</v>
      </c>
      <c r="M19" s="109">
        <f>VLOOKUP($C19,Score!$B$2:$X$78,10,0)</f>
        <v>0</v>
      </c>
      <c r="N19" s="109">
        <f>VLOOKUP($C19,Score!$B$2:$X$78,11,0)</f>
        <v>0</v>
      </c>
      <c r="O19" s="109">
        <f>VLOOKUP($C19,Score!$B$2:$X$78,12,0)</f>
        <v>0</v>
      </c>
      <c r="P19" s="109">
        <f>VLOOKUP($C19,Score!$B$2:$X$78,13,0)</f>
        <v>12</v>
      </c>
      <c r="Q19" s="109">
        <f>VLOOKUP($C19,Score!$B$2:$X$78,14,0)</f>
        <v>0</v>
      </c>
      <c r="R19" s="109">
        <f>VLOOKUP($C19,Score!$B$2:$X$78,15,0)</f>
        <v>0</v>
      </c>
      <c r="S19" s="109">
        <f>VLOOKUP($C19,Score!$B$2:$X$78,16,0)</f>
        <v>0</v>
      </c>
      <c r="T19" s="109">
        <f>VLOOKUP($C19,Score!$B$2:$X$78,17,0)</f>
        <v>0</v>
      </c>
      <c r="U19" s="109">
        <f>VLOOKUP($C19,Score!$B$2:$X$78,18,0)</f>
        <v>0</v>
      </c>
      <c r="V19" s="109">
        <f>VLOOKUP($C19,Score!$B$2:$X$78,19,0)</f>
        <v>0</v>
      </c>
      <c r="W19" s="109">
        <f>VLOOKUP($C19,Score!$B$2:$X$78,20,0)</f>
        <v>24</v>
      </c>
      <c r="X19" s="109">
        <f>VLOOKUP($C19,Score!$B$2:$Z$77,21,0)</f>
        <v>0</v>
      </c>
      <c r="Y19" s="109">
        <f>VLOOKUP($C19,Score!$B$2:$Z$77,22,0)</f>
        <v>0</v>
      </c>
      <c r="Z19" s="109">
        <f>VLOOKUP($C19,Score!$B$2:$Z$77,24,0)</f>
        <v>0</v>
      </c>
      <c r="AA19" s="172">
        <f t="shared" si="0"/>
        <v>92</v>
      </c>
      <c r="AB19" s="108" t="str">
        <f t="shared" si="1"/>
        <v>van Avermaet</v>
      </c>
    </row>
    <row r="20" spans="2:28" s="157" customFormat="1">
      <c r="B20" s="322" t="s">
        <v>198</v>
      </c>
      <c r="C20" s="324" t="s">
        <v>199</v>
      </c>
      <c r="D20" s="259" t="s">
        <v>177</v>
      </c>
      <c r="E20" s="109">
        <f>VLOOKUP($C20,Score!$B$2:$X$78,2,0)</f>
        <v>11</v>
      </c>
      <c r="F20" s="109">
        <f>VLOOKUP($C20,Score!$B$2:$X$78,3,0)</f>
        <v>27</v>
      </c>
      <c r="G20" s="109">
        <f>VLOOKUP($C20,Score!$B$2:$X$78,4,0)</f>
        <v>11</v>
      </c>
      <c r="H20" s="109">
        <f>VLOOKUP($C20,Score!$B$2:$X$78,5,0)</f>
        <v>44</v>
      </c>
      <c r="I20" s="109">
        <f>VLOOKUP($C20,Score!$B$2:$X$78,6,0)</f>
        <v>15</v>
      </c>
      <c r="J20" s="109">
        <f>VLOOKUP($C20,Score!$B$2:$X$78,7,0)</f>
        <v>28</v>
      </c>
      <c r="K20" s="109">
        <f>VLOOKUP($C20,Score!$B$2:$X$78,8,0)</f>
        <v>2</v>
      </c>
      <c r="L20" s="109">
        <f>VLOOKUP($C20,Score!$B$2:$X$78,9,0)</f>
        <v>23</v>
      </c>
      <c r="M20" s="109">
        <f>VLOOKUP($C20,Score!$B$2:$X$78,10,0)</f>
        <v>43</v>
      </c>
      <c r="N20" s="109">
        <f>VLOOKUP($C20,Score!$B$2:$X$78,11,0)</f>
        <v>8</v>
      </c>
      <c r="O20" s="109">
        <f>VLOOKUP($C20,Score!$B$2:$X$78,12,0)</f>
        <v>8</v>
      </c>
      <c r="P20" s="109">
        <f>VLOOKUP($C20,Score!$B$2:$X$78,13,0)</f>
        <v>8</v>
      </c>
      <c r="Q20" s="109">
        <f>VLOOKUP($C20,Score!$B$2:$X$78,14,0)</f>
        <v>27</v>
      </c>
      <c r="R20" s="109">
        <f>VLOOKUP($C20,Score!$B$2:$X$78,15,0)</f>
        <v>28</v>
      </c>
      <c r="S20" s="109">
        <f>VLOOKUP($C20,Score!$B$2:$X$78,16,0)</f>
        <v>53</v>
      </c>
      <c r="T20" s="109">
        <f>VLOOKUP($C20,Score!$B$2:$X$78,17,0)</f>
        <v>17</v>
      </c>
      <c r="U20" s="109">
        <f>VLOOKUP($C20,Score!$B$2:$X$78,18,0)</f>
        <v>45</v>
      </c>
      <c r="V20" s="109">
        <f>VLOOKUP($C20,Score!$B$2:$X$78,19,0)</f>
        <v>40</v>
      </c>
      <c r="W20" s="109">
        <f>VLOOKUP($C20,Score!$B$2:$X$78,20,0)</f>
        <v>18</v>
      </c>
      <c r="X20" s="109">
        <f>VLOOKUP($C20,Score!$B$2:$Z$77,21,0)</f>
        <v>55</v>
      </c>
      <c r="Y20" s="109">
        <f>VLOOKUP($C20,Score!$B$2:$Z$77,22,0)</f>
        <v>20</v>
      </c>
      <c r="Z20" s="109">
        <f>VLOOKUP($C20,Score!$B$2:$Z$77,24,0)</f>
        <v>90</v>
      </c>
      <c r="AA20" s="172">
        <f t="shared" si="0"/>
        <v>621</v>
      </c>
      <c r="AB20" s="108" t="str">
        <f t="shared" si="1"/>
        <v>Pogacar</v>
      </c>
    </row>
    <row r="21" spans="2:28" s="158" customFormat="1">
      <c r="B21" s="325"/>
      <c r="C21" s="326"/>
      <c r="D21" s="165"/>
      <c r="E21" s="167"/>
      <c r="F21" s="167"/>
      <c r="G21" s="167"/>
      <c r="H21" s="167"/>
      <c r="I21" s="167">
        <f>I25</f>
        <v>15</v>
      </c>
      <c r="J21" s="167">
        <f t="shared" ref="J21:K21" si="2">J25</f>
        <v>0</v>
      </c>
      <c r="K21" s="167">
        <f t="shared" si="2"/>
        <v>0</v>
      </c>
      <c r="L21" s="167">
        <f>L25+L24+L26</f>
        <v>37</v>
      </c>
      <c r="M21" s="167">
        <f t="shared" ref="M21:Z21" si="3">M25+M24+M26</f>
        <v>46</v>
      </c>
      <c r="N21" s="167">
        <f t="shared" si="3"/>
        <v>13</v>
      </c>
      <c r="O21" s="167">
        <f t="shared" si="3"/>
        <v>13</v>
      </c>
      <c r="P21" s="167">
        <f t="shared" si="3"/>
        <v>13</v>
      </c>
      <c r="Q21" s="167">
        <f t="shared" si="3"/>
        <v>6</v>
      </c>
      <c r="R21" s="167">
        <f t="shared" si="3"/>
        <v>6</v>
      </c>
      <c r="S21" s="167">
        <f t="shared" si="3"/>
        <v>10</v>
      </c>
      <c r="T21" s="167">
        <f t="shared" si="3"/>
        <v>1</v>
      </c>
      <c r="U21" s="167">
        <f t="shared" si="3"/>
        <v>0</v>
      </c>
      <c r="V21" s="167">
        <f t="shared" si="3"/>
        <v>0</v>
      </c>
      <c r="W21" s="167">
        <f t="shared" si="3"/>
        <v>0</v>
      </c>
      <c r="X21" s="167">
        <f t="shared" si="3"/>
        <v>0</v>
      </c>
      <c r="Y21" s="167">
        <f t="shared" si="3"/>
        <v>0</v>
      </c>
      <c r="Z21" s="167">
        <f t="shared" si="3"/>
        <v>18</v>
      </c>
      <c r="AA21" s="225">
        <f t="shared" ref="AA21" si="4">SUM(E21:Z21)</f>
        <v>178</v>
      </c>
    </row>
    <row r="22" spans="2:28" s="112" customFormat="1">
      <c r="B22" s="327"/>
      <c r="C22" s="328"/>
      <c r="D22" s="166"/>
      <c r="E22" s="159">
        <f t="shared" ref="E22:AA22" si="5">SUM(E4:E21)</f>
        <v>107</v>
      </c>
      <c r="F22" s="159">
        <f t="shared" si="5"/>
        <v>119</v>
      </c>
      <c r="G22" s="159">
        <f t="shared" si="5"/>
        <v>128</v>
      </c>
      <c r="H22" s="159">
        <f t="shared" si="5"/>
        <v>244</v>
      </c>
      <c r="I22" s="159">
        <f t="shared" si="5"/>
        <v>163</v>
      </c>
      <c r="J22" s="159">
        <f t="shared" si="5"/>
        <v>164</v>
      </c>
      <c r="K22" s="159">
        <f t="shared" si="5"/>
        <v>107</v>
      </c>
      <c r="L22" s="159">
        <f t="shared" si="5"/>
        <v>145</v>
      </c>
      <c r="M22" s="159">
        <f t="shared" si="5"/>
        <v>240</v>
      </c>
      <c r="N22" s="159">
        <f t="shared" si="5"/>
        <v>154</v>
      </c>
      <c r="O22" s="159">
        <f t="shared" si="5"/>
        <v>130</v>
      </c>
      <c r="P22" s="159">
        <f t="shared" si="5"/>
        <v>105</v>
      </c>
      <c r="Q22" s="159">
        <f t="shared" si="5"/>
        <v>120</v>
      </c>
      <c r="R22" s="159">
        <f t="shared" si="5"/>
        <v>104</v>
      </c>
      <c r="S22" s="159">
        <f t="shared" si="5"/>
        <v>211</v>
      </c>
      <c r="T22" s="159">
        <f t="shared" si="5"/>
        <v>80</v>
      </c>
      <c r="U22" s="159">
        <f t="shared" si="5"/>
        <v>189</v>
      </c>
      <c r="V22" s="159">
        <f t="shared" si="5"/>
        <v>167</v>
      </c>
      <c r="W22" s="159">
        <f t="shared" si="5"/>
        <v>120</v>
      </c>
      <c r="X22" s="159">
        <f t="shared" si="5"/>
        <v>204</v>
      </c>
      <c r="Y22" s="159">
        <f t="shared" si="5"/>
        <v>145</v>
      </c>
      <c r="Z22" s="159">
        <f t="shared" si="5"/>
        <v>363</v>
      </c>
      <c r="AA22" s="222">
        <f t="shared" si="5"/>
        <v>3509</v>
      </c>
    </row>
    <row r="23" spans="2:28" s="160" customFormat="1">
      <c r="B23" s="329"/>
      <c r="C23" s="330"/>
      <c r="D23" s="16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2:28" s="162" customFormat="1">
      <c r="B24" s="322" t="s">
        <v>138</v>
      </c>
      <c r="C24" s="331" t="s">
        <v>108</v>
      </c>
      <c r="D24" s="262" t="s">
        <v>177</v>
      </c>
      <c r="E24" s="179">
        <f>VLOOKUP($C24,Score!$B$2:$X$78,2,0)</f>
        <v>0</v>
      </c>
      <c r="F24" s="179">
        <f>VLOOKUP($C24,Score!$B$2:$X$78,3,0)</f>
        <v>0</v>
      </c>
      <c r="G24" s="179">
        <f>VLOOKUP($C24,Score!$B$2:$X$78,4,0)</f>
        <v>0</v>
      </c>
      <c r="H24" s="179">
        <f>VLOOKUP($C24,Score!$B$2:$X$78,5,0)</f>
        <v>10</v>
      </c>
      <c r="I24" s="179">
        <f>VLOOKUP($C24,Score!$B$2:$X$78,6,0)</f>
        <v>1</v>
      </c>
      <c r="J24" s="179">
        <f>VLOOKUP($C24,Score!$B$2:$X$78,7,0)</f>
        <v>10</v>
      </c>
      <c r="K24" s="179">
        <f>VLOOKUP($C24,Score!$B$2:$X$78,8,0)</f>
        <v>14</v>
      </c>
      <c r="L24" s="353">
        <f>VLOOKUP($C24,Score!$B$2:$X$78,9,0)</f>
        <v>23</v>
      </c>
      <c r="M24" s="353">
        <f>VLOOKUP($C24,Score!$B$2:$X$78,10,0)</f>
        <v>25</v>
      </c>
      <c r="N24" s="353">
        <f>VLOOKUP($C24,Score!$B$2:$X$78,11,0)</f>
        <v>7</v>
      </c>
      <c r="O24" s="353">
        <f>VLOOKUP($C24,Score!$B$2:$X$78,12,0)</f>
        <v>7</v>
      </c>
      <c r="P24" s="353">
        <f>VLOOKUP($C24,Score!$B$2:$X$78,13,0)</f>
        <v>7</v>
      </c>
      <c r="Q24" s="353">
        <f>VLOOKUP($C24,Score!$B$2:$X$78,14,0)</f>
        <v>0</v>
      </c>
      <c r="R24" s="353">
        <f>VLOOKUP($C24,Score!$B$2:$X$78,15,0)</f>
        <v>0</v>
      </c>
      <c r="S24" s="353">
        <f>VLOOKUP($C24,Score!$B$2:$X$78,16,0)</f>
        <v>0</v>
      </c>
      <c r="T24" s="353">
        <f>VLOOKUP($C24,Score!$B$2:$X$78,17,0)</f>
        <v>0</v>
      </c>
      <c r="U24" s="353">
        <f>VLOOKUP($C24,Score!$B$2:$X$78,18,0)</f>
        <v>0</v>
      </c>
      <c r="V24" s="353">
        <f>VLOOKUP($C24,Score!$B$2:$X$78,19,0)</f>
        <v>0</v>
      </c>
      <c r="W24" s="353">
        <f>VLOOKUP($C24,Score!$B$2:$X$78,20,0)</f>
        <v>0</v>
      </c>
      <c r="X24" s="353">
        <f>VLOOKUP($C24,Score!$B$2:$Z$77,21,0)</f>
        <v>0</v>
      </c>
      <c r="Y24" s="353">
        <f>VLOOKUP($C24,Score!$B$2:$Z$77,22,0)</f>
        <v>0</v>
      </c>
      <c r="Z24" s="353">
        <f>VLOOKUP($C24,Score!$B$2:$Z$77,24,0)</f>
        <v>0</v>
      </c>
      <c r="AA24" s="290">
        <f t="shared" ref="AA24:AA26" si="6">SUM(E24:Z24)</f>
        <v>104</v>
      </c>
    </row>
    <row r="25" spans="2:28" s="162" customFormat="1">
      <c r="B25" s="322" t="s">
        <v>200</v>
      </c>
      <c r="C25" s="331" t="s">
        <v>201</v>
      </c>
      <c r="D25" s="262" t="s">
        <v>10</v>
      </c>
      <c r="E25" s="179">
        <f>VLOOKUP($C25,Score!$B$2:$X$78,2,0)</f>
        <v>23</v>
      </c>
      <c r="F25" s="179">
        <f>VLOOKUP($C25,Score!$B$2:$X$78,3,0)</f>
        <v>0</v>
      </c>
      <c r="G25" s="179">
        <f>VLOOKUP($C25,Score!$B$2:$X$78,4,0)</f>
        <v>26</v>
      </c>
      <c r="H25" s="179">
        <f>VLOOKUP($C25,Score!$B$2:$X$78,5,0)</f>
        <v>1</v>
      </c>
      <c r="I25" s="349">
        <f>VLOOKUP($C25,Score!$B$2:$X$78,6,0)</f>
        <v>15</v>
      </c>
      <c r="J25" s="349">
        <f>VLOOKUP($C25,Score!$B$2:$X$78,7,0)</f>
        <v>0</v>
      </c>
      <c r="K25" s="349">
        <f>VLOOKUP($C25,Score!$B$2:$X$78,8,0)</f>
        <v>0</v>
      </c>
      <c r="L25" s="349">
        <f>VLOOKUP($C25,Score!$B$2:$X$78,9,0)</f>
        <v>0</v>
      </c>
      <c r="M25" s="349">
        <f>VLOOKUP($C25,Score!$B$2:$X$78,10,0)</f>
        <v>0</v>
      </c>
      <c r="N25" s="349">
        <f>VLOOKUP($C25,Score!$B$2:$X$78,11,0)</f>
        <v>0</v>
      </c>
      <c r="O25" s="349">
        <f>VLOOKUP($C25,Score!$B$2:$X$78,12,0)</f>
        <v>0</v>
      </c>
      <c r="P25" s="349">
        <f>VLOOKUP($C25,Score!$B$2:$X$78,13,0)</f>
        <v>0</v>
      </c>
      <c r="Q25" s="349">
        <f>VLOOKUP($C25,Score!$B$2:$X$78,14,0)</f>
        <v>0</v>
      </c>
      <c r="R25" s="349">
        <f>VLOOKUP($C25,Score!$B$2:$X$78,15,0)</f>
        <v>0</v>
      </c>
      <c r="S25" s="349">
        <f>VLOOKUP($C25,Score!$B$2:$X$78,16,0)</f>
        <v>0</v>
      </c>
      <c r="T25" s="349">
        <f>VLOOKUP($C25,Score!$B$2:$X$78,17,0)</f>
        <v>0</v>
      </c>
      <c r="U25" s="349">
        <f>VLOOKUP($C25,Score!$B$2:$X$78,18,0)</f>
        <v>0</v>
      </c>
      <c r="V25" s="349">
        <f>VLOOKUP($C25,Score!$B$2:$X$78,19,0)</f>
        <v>0</v>
      </c>
      <c r="W25" s="349">
        <f>VLOOKUP($C25,Score!$B$2:$X$78,20,0)</f>
        <v>0</v>
      </c>
      <c r="X25" s="349">
        <f>VLOOKUP($C25,Score!$B$2:$Z$77,21,0)</f>
        <v>0</v>
      </c>
      <c r="Y25" s="349">
        <f>VLOOKUP($C25,Score!$B$2:$Z$77,22,0)</f>
        <v>0</v>
      </c>
      <c r="Z25" s="349">
        <f>VLOOKUP($C25,Score!$B$2:$Z$77,24,0)</f>
        <v>0</v>
      </c>
      <c r="AA25" s="290">
        <f t="shared" si="6"/>
        <v>65</v>
      </c>
    </row>
    <row r="26" spans="2:28" s="162" customFormat="1">
      <c r="B26" s="322" t="s">
        <v>137</v>
      </c>
      <c r="C26" s="331" t="s">
        <v>132</v>
      </c>
      <c r="D26" s="262" t="s">
        <v>177</v>
      </c>
      <c r="E26" s="179">
        <f>VLOOKUP($C26,Score!$B$2:$X$78,2,0)</f>
        <v>0</v>
      </c>
      <c r="F26" s="179">
        <f>VLOOKUP($C26,Score!$B$2:$X$78,3,0)</f>
        <v>8</v>
      </c>
      <c r="G26" s="179">
        <f>VLOOKUP($C26,Score!$B$2:$X$78,4,0)</f>
        <v>0</v>
      </c>
      <c r="H26" s="179">
        <f>VLOOKUP($C26,Score!$B$2:$X$78,5,0)</f>
        <v>26</v>
      </c>
      <c r="I26" s="179">
        <f>VLOOKUP($C26,Score!$B$2:$X$78,6,0)</f>
        <v>4</v>
      </c>
      <c r="J26" s="179">
        <f>VLOOKUP($C26,Score!$B$2:$X$78,7,0)</f>
        <v>16</v>
      </c>
      <c r="K26" s="179">
        <f>VLOOKUP($C26,Score!$B$2:$X$78,8,0)</f>
        <v>5</v>
      </c>
      <c r="L26" s="351">
        <f>VLOOKUP($C26,Score!$B$2:$X$78,9,0)</f>
        <v>14</v>
      </c>
      <c r="M26" s="351">
        <f>VLOOKUP($C26,Score!$B$2:$X$78,10,0)</f>
        <v>21</v>
      </c>
      <c r="N26" s="351">
        <f>VLOOKUP($C26,Score!$B$2:$X$78,11,0)</f>
        <v>6</v>
      </c>
      <c r="O26" s="351">
        <f>VLOOKUP($C26,Score!$B$2:$X$78,12,0)</f>
        <v>6</v>
      </c>
      <c r="P26" s="351">
        <f>VLOOKUP($C26,Score!$B$2:$X$78,13,0)</f>
        <v>6</v>
      </c>
      <c r="Q26" s="351">
        <f>VLOOKUP($C26,Score!$B$2:$X$78,14,0)</f>
        <v>6</v>
      </c>
      <c r="R26" s="351">
        <f>VLOOKUP($C26,Score!$B$2:$X$78,15,0)</f>
        <v>6</v>
      </c>
      <c r="S26" s="351">
        <f>VLOOKUP($C26,Score!$B$2:$X$78,16,0)</f>
        <v>10</v>
      </c>
      <c r="T26" s="351">
        <f>VLOOKUP($C26,Score!$B$2:$X$78,17,0)</f>
        <v>1</v>
      </c>
      <c r="U26" s="351">
        <f>VLOOKUP($C26,Score!$B$2:$X$78,18,0)</f>
        <v>0</v>
      </c>
      <c r="V26" s="351">
        <f>VLOOKUP($C26,Score!$B$2:$X$78,19,0)</f>
        <v>0</v>
      </c>
      <c r="W26" s="351">
        <f>VLOOKUP($C26,Score!$B$2:$X$78,20,0)</f>
        <v>0</v>
      </c>
      <c r="X26" s="351">
        <f>VLOOKUP($C26,Score!$B$2:$Z$77,21,0)</f>
        <v>0</v>
      </c>
      <c r="Y26" s="351">
        <f>VLOOKUP($C26,Score!$B$2:$Z$77,22,0)</f>
        <v>0</v>
      </c>
      <c r="Z26" s="351">
        <f>VLOOKUP($C26,Score!$B$2:$Z$77,24,0)</f>
        <v>18</v>
      </c>
      <c r="AA26" s="290">
        <f t="shared" si="6"/>
        <v>153</v>
      </c>
    </row>
    <row r="28" spans="2:28">
      <c r="C28" s="291" t="s">
        <v>177</v>
      </c>
      <c r="D28" s="292">
        <f>COUNTIF($D$4:$D$21,C28)</f>
        <v>8</v>
      </c>
    </row>
    <row r="29" spans="2:28">
      <c r="C29" s="293" t="s">
        <v>10</v>
      </c>
      <c r="D29" s="292">
        <f>COUNTIF($D$4:$D$21,C29)</f>
        <v>6</v>
      </c>
    </row>
    <row r="30" spans="2:28">
      <c r="C30" s="293" t="s">
        <v>109</v>
      </c>
      <c r="D30" s="292">
        <f>COUNTIF($D$4:$D$21,C30)</f>
        <v>3</v>
      </c>
    </row>
  </sheetData>
  <sortState ref="B4:AB20">
    <sortCondition ref="D4:D20"/>
    <sortCondition ref="C4:C20"/>
  </sortState>
  <phoneticPr fontId="0" type="noConversion"/>
  <dataValidations count="1">
    <dataValidation type="list" allowBlank="1" showInputMessage="1" showErrorMessage="1" prompt="selecteer type renner:" sqref="D4:D20">
      <formula1>type_renner</formula1>
    </dataValidation>
  </dataValidations>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sheetPr codeName="Blad12">
    <tabColor indexed="12"/>
  </sheetPr>
  <dimension ref="B1:AB30"/>
  <sheetViews>
    <sheetView showZeros="0" workbookViewId="0">
      <selection activeCell="AA21" sqref="AA21"/>
    </sheetView>
  </sheetViews>
  <sheetFormatPr defaultColWidth="9.140625" defaultRowHeight="12.75"/>
  <cols>
    <col min="1" max="1" width="2.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B1" s="193"/>
      <c r="C1" s="187" t="s">
        <v>99</v>
      </c>
      <c r="D1" s="187"/>
    </row>
    <row r="2" spans="2:28">
      <c r="B2" s="193"/>
      <c r="C2" s="188"/>
      <c r="D2" s="188"/>
      <c r="H2" s="128"/>
    </row>
    <row r="3" spans="2:28" s="126" customFormat="1" ht="13.5" thickBot="1">
      <c r="B3" s="195"/>
      <c r="C3" s="200" t="s">
        <v>50</v>
      </c>
      <c r="D3" s="200"/>
      <c r="E3" s="111">
        <v>1</v>
      </c>
      <c r="F3" s="111">
        <v>2</v>
      </c>
      <c r="G3" s="111">
        <v>3</v>
      </c>
      <c r="H3" s="111">
        <v>4</v>
      </c>
      <c r="I3" s="111">
        <v>5</v>
      </c>
      <c r="J3" s="111">
        <v>6</v>
      </c>
      <c r="K3" s="111">
        <v>7</v>
      </c>
      <c r="L3" s="111">
        <v>8</v>
      </c>
      <c r="M3" s="111">
        <v>9</v>
      </c>
      <c r="N3" s="111">
        <v>10</v>
      </c>
      <c r="O3" s="111">
        <v>11</v>
      </c>
      <c r="P3" s="111">
        <v>12</v>
      </c>
      <c r="Q3" s="111">
        <v>13</v>
      </c>
      <c r="R3" s="111">
        <v>14</v>
      </c>
      <c r="S3" s="111">
        <v>15</v>
      </c>
      <c r="T3" s="111">
        <v>16</v>
      </c>
      <c r="U3" s="111">
        <v>17</v>
      </c>
      <c r="V3" s="111">
        <v>18</v>
      </c>
      <c r="W3" s="111">
        <v>19</v>
      </c>
      <c r="X3" s="111">
        <v>20</v>
      </c>
      <c r="Y3" s="111">
        <v>21</v>
      </c>
      <c r="Z3" s="111" t="s">
        <v>1</v>
      </c>
      <c r="AA3" s="146"/>
    </row>
    <row r="4" spans="2:28">
      <c r="B4" s="196" t="s">
        <v>239</v>
      </c>
      <c r="C4" s="189" t="s">
        <v>134</v>
      </c>
      <c r="D4" s="259" t="s">
        <v>177</v>
      </c>
      <c r="E4" s="109">
        <f t="shared" ref="E4:N13" si="0">INDEX(scorematrix,MATCH($C4,renners,0),MATCH(E$3,etappes,0))</f>
        <v>0</v>
      </c>
      <c r="F4" s="109">
        <f t="shared" si="0"/>
        <v>0</v>
      </c>
      <c r="G4" s="109">
        <f t="shared" si="0"/>
        <v>0</v>
      </c>
      <c r="H4" s="109">
        <f t="shared" si="0"/>
        <v>46</v>
      </c>
      <c r="I4" s="109">
        <f t="shared" si="0"/>
        <v>12</v>
      </c>
      <c r="J4" s="109">
        <f t="shared" si="0"/>
        <v>11</v>
      </c>
      <c r="K4" s="109">
        <f t="shared" si="0"/>
        <v>11</v>
      </c>
      <c r="L4" s="109">
        <f t="shared" si="0"/>
        <v>19</v>
      </c>
      <c r="M4" s="109">
        <f t="shared" si="0"/>
        <v>40</v>
      </c>
      <c r="N4" s="109">
        <f t="shared" si="0"/>
        <v>10</v>
      </c>
      <c r="O4" s="109">
        <f t="shared" ref="O4:Z13" si="1">INDEX(scorematrix,MATCH($C4,renners,0),MATCH(O$3,etappes,0))</f>
        <v>10</v>
      </c>
      <c r="P4" s="109">
        <f t="shared" si="1"/>
        <v>10</v>
      </c>
      <c r="Q4" s="109">
        <f t="shared" si="1"/>
        <v>24</v>
      </c>
      <c r="R4" s="109">
        <f t="shared" si="1"/>
        <v>10</v>
      </c>
      <c r="S4" s="109">
        <f t="shared" si="1"/>
        <v>43</v>
      </c>
      <c r="T4" s="109">
        <f t="shared" si="1"/>
        <v>12</v>
      </c>
      <c r="U4" s="109">
        <f t="shared" si="1"/>
        <v>44</v>
      </c>
      <c r="V4" s="109">
        <f t="shared" si="1"/>
        <v>37</v>
      </c>
      <c r="W4" s="109">
        <f t="shared" si="1"/>
        <v>13</v>
      </c>
      <c r="X4" s="109">
        <f t="shared" si="1"/>
        <v>34</v>
      </c>
      <c r="Y4" s="109">
        <f t="shared" si="1"/>
        <v>12</v>
      </c>
      <c r="Z4" s="109">
        <f t="shared" si="1"/>
        <v>65</v>
      </c>
      <c r="AA4" s="172">
        <f t="shared" ref="AA4:AA21" si="2">SUM(E4:Z4)</f>
        <v>463</v>
      </c>
      <c r="AB4" s="108" t="str">
        <f t="shared" ref="AB4:AB18" si="3">C4</f>
        <v>Roglic</v>
      </c>
    </row>
    <row r="5" spans="2:28">
      <c r="B5" s="196" t="s">
        <v>189</v>
      </c>
      <c r="C5" s="190" t="s">
        <v>106</v>
      </c>
      <c r="D5" s="259" t="s">
        <v>177</v>
      </c>
      <c r="E5" s="109">
        <f t="shared" si="0"/>
        <v>0</v>
      </c>
      <c r="F5" s="109">
        <f t="shared" si="0"/>
        <v>1</v>
      </c>
      <c r="G5" s="109">
        <f t="shared" si="0"/>
        <v>4</v>
      </c>
      <c r="H5" s="109">
        <f t="shared" si="0"/>
        <v>19</v>
      </c>
      <c r="I5" s="109">
        <f t="shared" si="0"/>
        <v>5</v>
      </c>
      <c r="J5" s="109">
        <f t="shared" si="0"/>
        <v>16</v>
      </c>
      <c r="K5" s="109">
        <f t="shared" si="0"/>
        <v>6</v>
      </c>
      <c r="L5" s="109">
        <f t="shared" si="0"/>
        <v>0</v>
      </c>
      <c r="M5" s="109">
        <f t="shared" si="0"/>
        <v>9</v>
      </c>
      <c r="N5" s="109">
        <f t="shared" si="0"/>
        <v>0</v>
      </c>
      <c r="O5" s="109">
        <f t="shared" si="1"/>
        <v>0</v>
      </c>
      <c r="P5" s="109">
        <f t="shared" si="1"/>
        <v>0</v>
      </c>
      <c r="Q5" s="109">
        <f t="shared" si="1"/>
        <v>0</v>
      </c>
      <c r="R5" s="109">
        <f t="shared" si="1"/>
        <v>0</v>
      </c>
      <c r="S5" s="109">
        <f t="shared" si="1"/>
        <v>15</v>
      </c>
      <c r="T5" s="109">
        <f t="shared" si="1"/>
        <v>2</v>
      </c>
      <c r="U5" s="109">
        <f t="shared" si="1"/>
        <v>18</v>
      </c>
      <c r="V5" s="109">
        <f t="shared" si="1"/>
        <v>18</v>
      </c>
      <c r="W5" s="109">
        <f t="shared" si="1"/>
        <v>2</v>
      </c>
      <c r="X5" s="109">
        <f t="shared" si="1"/>
        <v>34</v>
      </c>
      <c r="Y5" s="109">
        <f t="shared" si="1"/>
        <v>4</v>
      </c>
      <c r="Z5" s="109">
        <f t="shared" si="1"/>
        <v>38</v>
      </c>
      <c r="AA5" s="172">
        <f t="shared" si="2"/>
        <v>191</v>
      </c>
      <c r="AB5" s="108" t="str">
        <f t="shared" si="3"/>
        <v>Dumoulin</v>
      </c>
    </row>
    <row r="6" spans="2:28">
      <c r="B6" s="196" t="s">
        <v>143</v>
      </c>
      <c r="C6" s="190" t="s">
        <v>136</v>
      </c>
      <c r="D6" s="259" t="s">
        <v>177</v>
      </c>
      <c r="E6" s="109">
        <f t="shared" si="0"/>
        <v>0</v>
      </c>
      <c r="F6" s="109">
        <f t="shared" si="0"/>
        <v>14</v>
      </c>
      <c r="G6" s="109">
        <f t="shared" si="0"/>
        <v>8</v>
      </c>
      <c r="H6" s="109">
        <f t="shared" si="0"/>
        <v>28</v>
      </c>
      <c r="I6" s="109">
        <f t="shared" si="0"/>
        <v>18</v>
      </c>
      <c r="J6" s="109">
        <f t="shared" si="0"/>
        <v>28</v>
      </c>
      <c r="K6" s="109">
        <f t="shared" si="0"/>
        <v>30</v>
      </c>
      <c r="L6" s="109">
        <f t="shared" si="0"/>
        <v>24</v>
      </c>
      <c r="M6" s="109">
        <f t="shared" si="0"/>
        <v>38</v>
      </c>
      <c r="N6" s="109">
        <f t="shared" si="0"/>
        <v>14</v>
      </c>
      <c r="O6" s="109">
        <f t="shared" si="1"/>
        <v>14</v>
      </c>
      <c r="P6" s="109">
        <f t="shared" si="1"/>
        <v>14</v>
      </c>
      <c r="Q6" s="109">
        <f t="shared" si="1"/>
        <v>20</v>
      </c>
      <c r="R6" s="109">
        <f t="shared" si="1"/>
        <v>12</v>
      </c>
      <c r="S6" s="109">
        <f t="shared" si="1"/>
        <v>3</v>
      </c>
      <c r="T6" s="109">
        <f t="shared" si="1"/>
        <v>3</v>
      </c>
      <c r="U6" s="109">
        <f t="shared" si="1"/>
        <v>0</v>
      </c>
      <c r="V6" s="109">
        <f t="shared" si="1"/>
        <v>0</v>
      </c>
      <c r="W6" s="109">
        <f t="shared" si="1"/>
        <v>0</v>
      </c>
      <c r="X6" s="350">
        <f t="shared" si="1"/>
        <v>0</v>
      </c>
      <c r="Y6" s="350">
        <f t="shared" si="1"/>
        <v>0</v>
      </c>
      <c r="Z6" s="350">
        <f t="shared" si="1"/>
        <v>0</v>
      </c>
      <c r="AA6" s="172">
        <f t="shared" si="2"/>
        <v>268</v>
      </c>
      <c r="AB6" s="108" t="str">
        <f t="shared" si="3"/>
        <v>Bernal</v>
      </c>
    </row>
    <row r="7" spans="2:28">
      <c r="B7" s="196" t="s">
        <v>170</v>
      </c>
      <c r="C7" s="190" t="s">
        <v>86</v>
      </c>
      <c r="D7" s="259" t="s">
        <v>177</v>
      </c>
      <c r="E7" s="109">
        <f t="shared" si="0"/>
        <v>0</v>
      </c>
      <c r="F7" s="109">
        <f t="shared" si="0"/>
        <v>0</v>
      </c>
      <c r="G7" s="109">
        <f t="shared" si="0"/>
        <v>0</v>
      </c>
      <c r="H7" s="109">
        <f t="shared" si="0"/>
        <v>18</v>
      </c>
      <c r="I7" s="109">
        <f t="shared" si="0"/>
        <v>0</v>
      </c>
      <c r="J7" s="109">
        <f t="shared" si="0"/>
        <v>12</v>
      </c>
      <c r="K7" s="109">
        <f t="shared" si="0"/>
        <v>10</v>
      </c>
      <c r="L7" s="109">
        <f t="shared" si="0"/>
        <v>0</v>
      </c>
      <c r="M7" s="109">
        <f t="shared" si="0"/>
        <v>0</v>
      </c>
      <c r="N7" s="109">
        <f t="shared" si="0"/>
        <v>0</v>
      </c>
      <c r="O7" s="109">
        <f t="shared" si="1"/>
        <v>0</v>
      </c>
      <c r="P7" s="109">
        <f t="shared" si="1"/>
        <v>0</v>
      </c>
      <c r="Q7" s="109">
        <f t="shared" si="1"/>
        <v>0</v>
      </c>
      <c r="R7" s="109">
        <f t="shared" si="1"/>
        <v>0</v>
      </c>
      <c r="S7" s="109">
        <f t="shared" si="1"/>
        <v>0</v>
      </c>
      <c r="T7" s="109">
        <f t="shared" si="1"/>
        <v>0</v>
      </c>
      <c r="U7" s="109">
        <f t="shared" si="1"/>
        <v>0</v>
      </c>
      <c r="V7" s="109">
        <f t="shared" si="1"/>
        <v>0</v>
      </c>
      <c r="W7" s="109">
        <f t="shared" si="1"/>
        <v>0</v>
      </c>
      <c r="X7" s="109">
        <f t="shared" si="1"/>
        <v>7</v>
      </c>
      <c r="Y7" s="109">
        <f t="shared" si="1"/>
        <v>0</v>
      </c>
      <c r="Z7" s="109">
        <f t="shared" si="1"/>
        <v>0</v>
      </c>
      <c r="AA7" s="172">
        <f t="shared" si="2"/>
        <v>47</v>
      </c>
      <c r="AB7" s="108" t="str">
        <f t="shared" si="3"/>
        <v>Pinot</v>
      </c>
    </row>
    <row r="8" spans="2:28">
      <c r="B8" s="196" t="s">
        <v>198</v>
      </c>
      <c r="C8" s="190" t="s">
        <v>199</v>
      </c>
      <c r="D8" s="259" t="s">
        <v>177</v>
      </c>
      <c r="E8" s="109">
        <f t="shared" si="0"/>
        <v>11</v>
      </c>
      <c r="F8" s="109">
        <f t="shared" si="0"/>
        <v>27</v>
      </c>
      <c r="G8" s="109">
        <f t="shared" si="0"/>
        <v>11</v>
      </c>
      <c r="H8" s="109">
        <f t="shared" si="0"/>
        <v>44</v>
      </c>
      <c r="I8" s="109">
        <f t="shared" si="0"/>
        <v>15</v>
      </c>
      <c r="J8" s="109">
        <f t="shared" si="0"/>
        <v>28</v>
      </c>
      <c r="K8" s="109">
        <f t="shared" si="0"/>
        <v>2</v>
      </c>
      <c r="L8" s="109">
        <f t="shared" si="0"/>
        <v>23</v>
      </c>
      <c r="M8" s="109">
        <f t="shared" si="0"/>
        <v>43</v>
      </c>
      <c r="N8" s="109">
        <f t="shared" si="0"/>
        <v>8</v>
      </c>
      <c r="O8" s="109">
        <f t="shared" si="1"/>
        <v>8</v>
      </c>
      <c r="P8" s="109">
        <f t="shared" si="1"/>
        <v>8</v>
      </c>
      <c r="Q8" s="109">
        <f t="shared" si="1"/>
        <v>27</v>
      </c>
      <c r="R8" s="109">
        <f t="shared" si="1"/>
        <v>28</v>
      </c>
      <c r="S8" s="109">
        <f t="shared" si="1"/>
        <v>53</v>
      </c>
      <c r="T8" s="109">
        <f t="shared" si="1"/>
        <v>17</v>
      </c>
      <c r="U8" s="109">
        <f t="shared" si="1"/>
        <v>45</v>
      </c>
      <c r="V8" s="109">
        <f t="shared" si="1"/>
        <v>40</v>
      </c>
      <c r="W8" s="109">
        <f t="shared" si="1"/>
        <v>18</v>
      </c>
      <c r="X8" s="109">
        <f t="shared" si="1"/>
        <v>55</v>
      </c>
      <c r="Y8" s="109">
        <f t="shared" si="1"/>
        <v>20</v>
      </c>
      <c r="Z8" s="109">
        <f t="shared" si="1"/>
        <v>90</v>
      </c>
      <c r="AA8" s="172">
        <f t="shared" si="2"/>
        <v>621</v>
      </c>
      <c r="AB8" s="108" t="str">
        <f t="shared" si="3"/>
        <v>Pogacar</v>
      </c>
    </row>
    <row r="9" spans="2:28">
      <c r="B9" s="196" t="s">
        <v>139</v>
      </c>
      <c r="C9" s="190" t="s">
        <v>133</v>
      </c>
      <c r="D9" s="259" t="s">
        <v>177</v>
      </c>
      <c r="E9" s="109">
        <f t="shared" si="0"/>
        <v>0</v>
      </c>
      <c r="F9" s="109">
        <f t="shared" si="0"/>
        <v>0</v>
      </c>
      <c r="G9" s="109">
        <f t="shared" si="0"/>
        <v>0</v>
      </c>
      <c r="H9" s="109">
        <f t="shared" si="0"/>
        <v>17</v>
      </c>
      <c r="I9" s="109">
        <f t="shared" si="0"/>
        <v>0</v>
      </c>
      <c r="J9" s="109">
        <f t="shared" si="0"/>
        <v>0</v>
      </c>
      <c r="K9" s="109">
        <f t="shared" si="0"/>
        <v>0</v>
      </c>
      <c r="L9" s="109">
        <f t="shared" si="0"/>
        <v>12</v>
      </c>
      <c r="M9" s="109">
        <f t="shared" si="0"/>
        <v>23</v>
      </c>
      <c r="N9" s="109">
        <f t="shared" si="0"/>
        <v>1</v>
      </c>
      <c r="O9" s="109">
        <f t="shared" si="1"/>
        <v>1</v>
      </c>
      <c r="P9" s="109">
        <f t="shared" si="1"/>
        <v>1</v>
      </c>
      <c r="Q9" s="109">
        <f t="shared" si="1"/>
        <v>14</v>
      </c>
      <c r="R9" s="109">
        <f t="shared" si="1"/>
        <v>3</v>
      </c>
      <c r="S9" s="109">
        <f t="shared" si="1"/>
        <v>23</v>
      </c>
      <c r="T9" s="109">
        <f t="shared" si="1"/>
        <v>4</v>
      </c>
      <c r="U9" s="109">
        <f t="shared" si="1"/>
        <v>23</v>
      </c>
      <c r="V9" s="109">
        <f t="shared" si="1"/>
        <v>24</v>
      </c>
      <c r="W9" s="109">
        <f t="shared" si="1"/>
        <v>6</v>
      </c>
      <c r="X9" s="109">
        <f t="shared" si="1"/>
        <v>19</v>
      </c>
      <c r="Y9" s="109">
        <f t="shared" si="1"/>
        <v>7</v>
      </c>
      <c r="Z9" s="109">
        <f t="shared" si="1"/>
        <v>48</v>
      </c>
      <c r="AA9" s="172">
        <f t="shared" si="2"/>
        <v>226</v>
      </c>
      <c r="AB9" s="108" t="str">
        <f t="shared" si="3"/>
        <v>Landa</v>
      </c>
    </row>
    <row r="10" spans="2:28">
      <c r="B10" s="196" t="s">
        <v>174</v>
      </c>
      <c r="C10" s="190" t="s">
        <v>171</v>
      </c>
      <c r="D10" s="259" t="s">
        <v>177</v>
      </c>
      <c r="E10" s="109">
        <f t="shared" si="0"/>
        <v>0</v>
      </c>
      <c r="F10" s="109">
        <f t="shared" si="0"/>
        <v>0</v>
      </c>
      <c r="G10" s="109">
        <f t="shared" si="0"/>
        <v>0</v>
      </c>
      <c r="H10" s="109">
        <f t="shared" si="0"/>
        <v>9</v>
      </c>
      <c r="I10" s="109">
        <f t="shared" si="0"/>
        <v>0</v>
      </c>
      <c r="J10" s="109">
        <f t="shared" si="0"/>
        <v>7</v>
      </c>
      <c r="K10" s="109">
        <f t="shared" si="0"/>
        <v>7</v>
      </c>
      <c r="L10" s="109">
        <f t="shared" si="0"/>
        <v>0</v>
      </c>
      <c r="M10" s="109">
        <f t="shared" si="0"/>
        <v>0</v>
      </c>
      <c r="N10" s="109">
        <f t="shared" si="0"/>
        <v>0</v>
      </c>
      <c r="O10" s="109">
        <f t="shared" si="1"/>
        <v>0</v>
      </c>
      <c r="P10" s="109">
        <f t="shared" si="1"/>
        <v>0</v>
      </c>
      <c r="Q10" s="109">
        <f t="shared" si="1"/>
        <v>0</v>
      </c>
      <c r="R10" s="109">
        <f t="shared" si="1"/>
        <v>0</v>
      </c>
      <c r="S10" s="109">
        <f t="shared" si="1"/>
        <v>0</v>
      </c>
      <c r="T10" s="109">
        <f t="shared" si="1"/>
        <v>0</v>
      </c>
      <c r="U10" s="109">
        <f t="shared" si="1"/>
        <v>0</v>
      </c>
      <c r="V10" s="109">
        <f t="shared" si="1"/>
        <v>0</v>
      </c>
      <c r="W10" s="109">
        <f t="shared" si="1"/>
        <v>0</v>
      </c>
      <c r="X10" s="109">
        <f t="shared" si="1"/>
        <v>0</v>
      </c>
      <c r="Y10" s="109">
        <f t="shared" si="1"/>
        <v>0</v>
      </c>
      <c r="Z10" s="109">
        <f t="shared" si="1"/>
        <v>0</v>
      </c>
      <c r="AA10" s="172">
        <f t="shared" si="2"/>
        <v>23</v>
      </c>
      <c r="AB10" s="108" t="str">
        <f t="shared" si="3"/>
        <v>Buchmann</v>
      </c>
    </row>
    <row r="11" spans="2:28">
      <c r="B11" s="196" t="s">
        <v>240</v>
      </c>
      <c r="C11" s="190" t="s">
        <v>204</v>
      </c>
      <c r="D11" s="259" t="s">
        <v>177</v>
      </c>
      <c r="E11" s="109">
        <f t="shared" si="0"/>
        <v>0</v>
      </c>
      <c r="F11" s="109">
        <f t="shared" si="0"/>
        <v>10</v>
      </c>
      <c r="G11" s="109">
        <f t="shared" si="0"/>
        <v>0</v>
      </c>
      <c r="H11" s="109">
        <f t="shared" si="0"/>
        <v>21</v>
      </c>
      <c r="I11" s="109">
        <f t="shared" si="0"/>
        <v>9</v>
      </c>
      <c r="J11" s="109">
        <f t="shared" si="0"/>
        <v>1</v>
      </c>
      <c r="K11" s="109">
        <f t="shared" si="0"/>
        <v>3</v>
      </c>
      <c r="L11" s="109">
        <f t="shared" si="0"/>
        <v>19</v>
      </c>
      <c r="M11" s="109">
        <f t="shared" si="0"/>
        <v>12</v>
      </c>
      <c r="N11" s="109">
        <f t="shared" si="0"/>
        <v>2</v>
      </c>
      <c r="O11" s="109">
        <f t="shared" si="1"/>
        <v>2</v>
      </c>
      <c r="P11" s="109">
        <f t="shared" si="1"/>
        <v>2</v>
      </c>
      <c r="Q11" s="109">
        <f t="shared" si="1"/>
        <v>15</v>
      </c>
      <c r="R11" s="109">
        <f t="shared" si="1"/>
        <v>5</v>
      </c>
      <c r="S11" s="109">
        <f t="shared" si="1"/>
        <v>31</v>
      </c>
      <c r="T11" s="109">
        <f t="shared" si="1"/>
        <v>13</v>
      </c>
      <c r="U11" s="109">
        <f t="shared" si="1"/>
        <v>46</v>
      </c>
      <c r="V11" s="109">
        <f t="shared" si="1"/>
        <v>23</v>
      </c>
      <c r="W11" s="109">
        <f t="shared" si="1"/>
        <v>9</v>
      </c>
      <c r="X11" s="109">
        <f t="shared" si="1"/>
        <v>6</v>
      </c>
      <c r="Y11" s="109">
        <f t="shared" si="1"/>
        <v>6</v>
      </c>
      <c r="Z11" s="109">
        <f t="shared" si="1"/>
        <v>41</v>
      </c>
      <c r="AA11" s="172">
        <f t="shared" si="2"/>
        <v>276</v>
      </c>
      <c r="AB11" s="108" t="str">
        <f t="shared" si="3"/>
        <v>Lopez</v>
      </c>
    </row>
    <row r="12" spans="2:28">
      <c r="B12" s="196"/>
      <c r="C12" s="190" t="s">
        <v>176</v>
      </c>
      <c r="D12" s="259" t="s">
        <v>177</v>
      </c>
      <c r="E12" s="109">
        <f t="shared" si="0"/>
        <v>0</v>
      </c>
      <c r="F12" s="109">
        <f t="shared" si="0"/>
        <v>0</v>
      </c>
      <c r="G12" s="109">
        <f t="shared" si="0"/>
        <v>0</v>
      </c>
      <c r="H12" s="109">
        <f t="shared" si="0"/>
        <v>0</v>
      </c>
      <c r="I12" s="109">
        <f t="shared" si="0"/>
        <v>0</v>
      </c>
      <c r="J12" s="109">
        <f t="shared" si="0"/>
        <v>0</v>
      </c>
      <c r="K12" s="109">
        <f t="shared" si="0"/>
        <v>0</v>
      </c>
      <c r="L12" s="109">
        <f t="shared" si="0"/>
        <v>0</v>
      </c>
      <c r="M12" s="109">
        <f t="shared" si="0"/>
        <v>0</v>
      </c>
      <c r="N12" s="109">
        <f t="shared" si="0"/>
        <v>0</v>
      </c>
      <c r="O12" s="109">
        <f t="shared" si="1"/>
        <v>0</v>
      </c>
      <c r="P12" s="109">
        <f t="shared" si="1"/>
        <v>0</v>
      </c>
      <c r="Q12" s="109">
        <f t="shared" si="1"/>
        <v>0</v>
      </c>
      <c r="R12" s="109">
        <f t="shared" si="1"/>
        <v>0</v>
      </c>
      <c r="S12" s="109">
        <f t="shared" si="1"/>
        <v>0</v>
      </c>
      <c r="T12" s="109">
        <f t="shared" si="1"/>
        <v>0</v>
      </c>
      <c r="U12" s="109">
        <f t="shared" si="1"/>
        <v>0</v>
      </c>
      <c r="V12" s="109">
        <f t="shared" si="1"/>
        <v>0</v>
      </c>
      <c r="W12" s="109">
        <f t="shared" si="1"/>
        <v>0</v>
      </c>
      <c r="X12" s="109">
        <f t="shared" si="1"/>
        <v>0</v>
      </c>
      <c r="Y12" s="109">
        <f t="shared" si="1"/>
        <v>0</v>
      </c>
      <c r="Z12" s="109">
        <f t="shared" si="1"/>
        <v>0</v>
      </c>
      <c r="AA12" s="172">
        <f t="shared" si="2"/>
        <v>0</v>
      </c>
      <c r="AB12" s="108" t="str">
        <f t="shared" si="3"/>
        <v>Poels</v>
      </c>
    </row>
    <row r="13" spans="2:28">
      <c r="B13" s="196" t="s">
        <v>138</v>
      </c>
      <c r="C13" s="190" t="s">
        <v>108</v>
      </c>
      <c r="D13" s="259" t="s">
        <v>177</v>
      </c>
      <c r="E13" s="109">
        <f t="shared" si="0"/>
        <v>0</v>
      </c>
      <c r="F13" s="109">
        <f t="shared" si="0"/>
        <v>0</v>
      </c>
      <c r="G13" s="109">
        <f t="shared" si="0"/>
        <v>0</v>
      </c>
      <c r="H13" s="109">
        <f t="shared" si="0"/>
        <v>10</v>
      </c>
      <c r="I13" s="109">
        <f t="shared" si="0"/>
        <v>1</v>
      </c>
      <c r="J13" s="109">
        <f t="shared" si="0"/>
        <v>10</v>
      </c>
      <c r="K13" s="109">
        <f t="shared" si="0"/>
        <v>14</v>
      </c>
      <c r="L13" s="109">
        <f t="shared" si="0"/>
        <v>23</v>
      </c>
      <c r="M13" s="109">
        <f t="shared" si="0"/>
        <v>25</v>
      </c>
      <c r="N13" s="109">
        <f t="shared" si="0"/>
        <v>7</v>
      </c>
      <c r="O13" s="109">
        <f t="shared" si="1"/>
        <v>7</v>
      </c>
      <c r="P13" s="109">
        <f t="shared" si="1"/>
        <v>7</v>
      </c>
      <c r="Q13" s="109">
        <f t="shared" si="1"/>
        <v>0</v>
      </c>
      <c r="R13" s="109">
        <f t="shared" si="1"/>
        <v>0</v>
      </c>
      <c r="S13" s="109">
        <f t="shared" si="1"/>
        <v>0</v>
      </c>
      <c r="T13" s="109">
        <f t="shared" si="1"/>
        <v>0</v>
      </c>
      <c r="U13" s="109">
        <f t="shared" si="1"/>
        <v>0</v>
      </c>
      <c r="V13" s="109">
        <f t="shared" si="1"/>
        <v>0</v>
      </c>
      <c r="W13" s="109">
        <f t="shared" si="1"/>
        <v>0</v>
      </c>
      <c r="X13" s="350">
        <f t="shared" si="1"/>
        <v>0</v>
      </c>
      <c r="Y13" s="350">
        <f t="shared" si="1"/>
        <v>0</v>
      </c>
      <c r="Z13" s="350">
        <f t="shared" si="1"/>
        <v>0</v>
      </c>
      <c r="AA13" s="172">
        <f t="shared" si="2"/>
        <v>104</v>
      </c>
      <c r="AB13" s="108" t="str">
        <f t="shared" si="3"/>
        <v>Bardet</v>
      </c>
    </row>
    <row r="14" spans="2:28">
      <c r="B14" s="196" t="s">
        <v>77</v>
      </c>
      <c r="C14" s="190" t="s">
        <v>234</v>
      </c>
      <c r="D14" s="259" t="s">
        <v>109</v>
      </c>
      <c r="E14" s="109">
        <f t="shared" ref="E14:N20" si="4">INDEX(scorematrix,MATCH($C14,renners,0),MATCH(E$3,etappes,0))</f>
        <v>0</v>
      </c>
      <c r="F14" s="109">
        <f t="shared" si="4"/>
        <v>0</v>
      </c>
      <c r="G14" s="109">
        <f t="shared" si="4"/>
        <v>0</v>
      </c>
      <c r="H14" s="109">
        <f t="shared" si="4"/>
        <v>0</v>
      </c>
      <c r="I14" s="109">
        <f t="shared" si="4"/>
        <v>0</v>
      </c>
      <c r="J14" s="109">
        <f t="shared" si="4"/>
        <v>0</v>
      </c>
      <c r="K14" s="109">
        <f t="shared" si="4"/>
        <v>0</v>
      </c>
      <c r="L14" s="109">
        <f t="shared" si="4"/>
        <v>0</v>
      </c>
      <c r="M14" s="109">
        <f t="shared" si="4"/>
        <v>0</v>
      </c>
      <c r="N14" s="109">
        <f t="shared" si="4"/>
        <v>0</v>
      </c>
      <c r="O14" s="109">
        <f t="shared" ref="O14:Z20" si="5">INDEX(scorematrix,MATCH($C14,renners,0),MATCH(O$3,etappes,0))</f>
        <v>0</v>
      </c>
      <c r="P14" s="109">
        <f t="shared" si="5"/>
        <v>0</v>
      </c>
      <c r="Q14" s="109">
        <f t="shared" si="5"/>
        <v>0</v>
      </c>
      <c r="R14" s="109">
        <f t="shared" si="5"/>
        <v>0</v>
      </c>
      <c r="S14" s="109">
        <f t="shared" si="5"/>
        <v>0</v>
      </c>
      <c r="T14" s="109">
        <f t="shared" si="5"/>
        <v>0</v>
      </c>
      <c r="U14" s="109">
        <f t="shared" si="5"/>
        <v>0</v>
      </c>
      <c r="V14" s="109">
        <f t="shared" si="5"/>
        <v>0</v>
      </c>
      <c r="W14" s="109">
        <f t="shared" si="5"/>
        <v>0</v>
      </c>
      <c r="X14" s="109">
        <f t="shared" si="5"/>
        <v>0</v>
      </c>
      <c r="Y14" s="109">
        <f t="shared" si="5"/>
        <v>0</v>
      </c>
      <c r="Z14" s="109">
        <f t="shared" si="5"/>
        <v>0</v>
      </c>
      <c r="AA14" s="172">
        <f t="shared" si="2"/>
        <v>0</v>
      </c>
      <c r="AB14" s="108" t="str">
        <f t="shared" si="3"/>
        <v>de Gendt</v>
      </c>
    </row>
    <row r="15" spans="2:28">
      <c r="B15" s="196" t="s">
        <v>141</v>
      </c>
      <c r="C15" s="190" t="s">
        <v>93</v>
      </c>
      <c r="D15" s="259" t="s">
        <v>10</v>
      </c>
      <c r="E15" s="109">
        <f t="shared" si="4"/>
        <v>50</v>
      </c>
      <c r="F15" s="109">
        <f t="shared" si="4"/>
        <v>5</v>
      </c>
      <c r="G15" s="109">
        <f t="shared" si="4"/>
        <v>15</v>
      </c>
      <c r="H15" s="109">
        <f t="shared" si="4"/>
        <v>3</v>
      </c>
      <c r="I15" s="109">
        <f t="shared" si="4"/>
        <v>15</v>
      </c>
      <c r="J15" s="109">
        <f t="shared" si="4"/>
        <v>3</v>
      </c>
      <c r="K15" s="109">
        <f t="shared" si="4"/>
        <v>1</v>
      </c>
      <c r="L15" s="109">
        <f t="shared" si="4"/>
        <v>1</v>
      </c>
      <c r="M15" s="109">
        <f t="shared" si="4"/>
        <v>0</v>
      </c>
      <c r="N15" s="109">
        <f t="shared" si="4"/>
        <v>11</v>
      </c>
      <c r="O15" s="109">
        <f t="shared" si="5"/>
        <v>14</v>
      </c>
      <c r="P15" s="109">
        <f t="shared" si="5"/>
        <v>0</v>
      </c>
      <c r="Q15" s="109">
        <f t="shared" si="5"/>
        <v>0</v>
      </c>
      <c r="R15" s="109">
        <f t="shared" si="5"/>
        <v>0</v>
      </c>
      <c r="S15" s="109">
        <f t="shared" si="5"/>
        <v>0</v>
      </c>
      <c r="T15" s="109">
        <f t="shared" si="5"/>
        <v>0</v>
      </c>
      <c r="U15" s="109">
        <f t="shared" si="5"/>
        <v>0</v>
      </c>
      <c r="V15" s="109">
        <f t="shared" si="5"/>
        <v>0</v>
      </c>
      <c r="W15" s="109">
        <f t="shared" si="5"/>
        <v>0</v>
      </c>
      <c r="X15" s="109">
        <f t="shared" si="5"/>
        <v>0</v>
      </c>
      <c r="Y15" s="109">
        <f t="shared" si="5"/>
        <v>24</v>
      </c>
      <c r="Z15" s="109">
        <f t="shared" si="5"/>
        <v>0</v>
      </c>
      <c r="AA15" s="172">
        <f t="shared" si="2"/>
        <v>142</v>
      </c>
      <c r="AB15" s="108" t="str">
        <f t="shared" si="3"/>
        <v>Kristoff</v>
      </c>
    </row>
    <row r="16" spans="2:28">
      <c r="B16" s="196" t="s">
        <v>140</v>
      </c>
      <c r="C16" s="190" t="s">
        <v>72</v>
      </c>
      <c r="D16" s="259" t="s">
        <v>109</v>
      </c>
      <c r="E16" s="109">
        <f t="shared" si="4"/>
        <v>31</v>
      </c>
      <c r="F16" s="109">
        <f t="shared" si="4"/>
        <v>4</v>
      </c>
      <c r="G16" s="109">
        <f t="shared" si="4"/>
        <v>25</v>
      </c>
      <c r="H16" s="109">
        <f t="shared" si="4"/>
        <v>5</v>
      </c>
      <c r="I16" s="109">
        <f t="shared" si="4"/>
        <v>28</v>
      </c>
      <c r="J16" s="109">
        <f t="shared" si="4"/>
        <v>4</v>
      </c>
      <c r="K16" s="109">
        <f t="shared" si="4"/>
        <v>18</v>
      </c>
      <c r="L16" s="109">
        <f t="shared" si="4"/>
        <v>5</v>
      </c>
      <c r="M16" s="109">
        <f t="shared" si="4"/>
        <v>5</v>
      </c>
      <c r="N16" s="109">
        <f t="shared" si="4"/>
        <v>30</v>
      </c>
      <c r="O16" s="109">
        <f t="shared" si="5"/>
        <v>4</v>
      </c>
      <c r="P16" s="109">
        <f t="shared" si="5"/>
        <v>17</v>
      </c>
      <c r="Q16" s="109">
        <f t="shared" si="5"/>
        <v>4</v>
      </c>
      <c r="R16" s="109">
        <f t="shared" si="5"/>
        <v>28</v>
      </c>
      <c r="S16" s="109">
        <f t="shared" si="5"/>
        <v>4</v>
      </c>
      <c r="T16" s="109">
        <f t="shared" si="5"/>
        <v>4</v>
      </c>
      <c r="U16" s="109">
        <f t="shared" si="5"/>
        <v>4</v>
      </c>
      <c r="V16" s="109">
        <f t="shared" si="5"/>
        <v>4</v>
      </c>
      <c r="W16" s="109">
        <f t="shared" si="5"/>
        <v>21</v>
      </c>
      <c r="X16" s="109">
        <f t="shared" si="5"/>
        <v>4</v>
      </c>
      <c r="Y16" s="109">
        <f t="shared" si="5"/>
        <v>30</v>
      </c>
      <c r="Z16" s="109">
        <f t="shared" si="5"/>
        <v>7</v>
      </c>
      <c r="AA16" s="172">
        <f t="shared" si="2"/>
        <v>286</v>
      </c>
      <c r="AB16" s="108" t="str">
        <f t="shared" si="3"/>
        <v>Sagan</v>
      </c>
    </row>
    <row r="17" spans="2:28">
      <c r="B17" s="196" t="s">
        <v>175</v>
      </c>
      <c r="C17" s="190" t="s">
        <v>172</v>
      </c>
      <c r="D17" s="259" t="s">
        <v>109</v>
      </c>
      <c r="E17" s="109">
        <f t="shared" si="4"/>
        <v>0</v>
      </c>
      <c r="F17" s="109">
        <f t="shared" si="4"/>
        <v>0</v>
      </c>
      <c r="G17" s="109">
        <f t="shared" si="4"/>
        <v>0</v>
      </c>
      <c r="H17" s="109">
        <f t="shared" si="4"/>
        <v>0</v>
      </c>
      <c r="I17" s="109">
        <f t="shared" si="4"/>
        <v>35</v>
      </c>
      <c r="J17" s="109">
        <f t="shared" si="4"/>
        <v>0</v>
      </c>
      <c r="K17" s="109">
        <f t="shared" si="4"/>
        <v>38</v>
      </c>
      <c r="L17" s="109">
        <f t="shared" si="4"/>
        <v>3</v>
      </c>
      <c r="M17" s="109">
        <f t="shared" si="4"/>
        <v>3</v>
      </c>
      <c r="N17" s="109">
        <f t="shared" si="4"/>
        <v>1</v>
      </c>
      <c r="O17" s="109">
        <f t="shared" si="5"/>
        <v>26</v>
      </c>
      <c r="P17" s="109">
        <f t="shared" si="5"/>
        <v>7</v>
      </c>
      <c r="Q17" s="109">
        <f t="shared" si="5"/>
        <v>0</v>
      </c>
      <c r="R17" s="109">
        <f t="shared" si="5"/>
        <v>0</v>
      </c>
      <c r="S17" s="109">
        <f t="shared" si="5"/>
        <v>0</v>
      </c>
      <c r="T17" s="109">
        <f t="shared" si="5"/>
        <v>0</v>
      </c>
      <c r="U17" s="109">
        <f t="shared" si="5"/>
        <v>7</v>
      </c>
      <c r="V17" s="109">
        <f t="shared" si="5"/>
        <v>26</v>
      </c>
      <c r="W17" s="109">
        <f t="shared" si="5"/>
        <v>0</v>
      </c>
      <c r="X17" s="109">
        <f t="shared" si="5"/>
        <v>25</v>
      </c>
      <c r="Y17" s="109">
        <f t="shared" si="5"/>
        <v>21</v>
      </c>
      <c r="Z17" s="109">
        <f t="shared" si="5"/>
        <v>13</v>
      </c>
      <c r="AA17" s="172">
        <f t="shared" si="2"/>
        <v>205</v>
      </c>
      <c r="AB17" s="108" t="str">
        <f t="shared" si="3"/>
        <v>van Aert</v>
      </c>
    </row>
    <row r="18" spans="2:28">
      <c r="B18" s="196" t="s">
        <v>164</v>
      </c>
      <c r="C18" s="190" t="s">
        <v>165</v>
      </c>
      <c r="D18" s="259" t="s">
        <v>10</v>
      </c>
      <c r="E18" s="109">
        <f t="shared" si="4"/>
        <v>7</v>
      </c>
      <c r="F18" s="109">
        <f t="shared" si="4"/>
        <v>0</v>
      </c>
      <c r="G18" s="109">
        <f t="shared" si="4"/>
        <v>36</v>
      </c>
      <c r="H18" s="109">
        <f t="shared" si="4"/>
        <v>0</v>
      </c>
      <c r="I18" s="109">
        <f t="shared" si="4"/>
        <v>20</v>
      </c>
      <c r="J18" s="109">
        <f t="shared" si="4"/>
        <v>2</v>
      </c>
      <c r="K18" s="109">
        <f t="shared" si="4"/>
        <v>0</v>
      </c>
      <c r="L18" s="109">
        <f t="shared" si="4"/>
        <v>0</v>
      </c>
      <c r="M18" s="109">
        <f t="shared" si="4"/>
        <v>0</v>
      </c>
      <c r="N18" s="109">
        <f t="shared" si="4"/>
        <v>30</v>
      </c>
      <c r="O18" s="109">
        <f t="shared" si="5"/>
        <v>37</v>
      </c>
      <c r="P18" s="109">
        <f t="shared" si="5"/>
        <v>2</v>
      </c>
      <c r="Q18" s="109">
        <f t="shared" si="5"/>
        <v>2</v>
      </c>
      <c r="R18" s="109">
        <f t="shared" si="5"/>
        <v>1</v>
      </c>
      <c r="S18" s="109">
        <f t="shared" si="5"/>
        <v>1</v>
      </c>
      <c r="T18" s="109">
        <f t="shared" si="5"/>
        <v>1</v>
      </c>
      <c r="U18" s="109">
        <f t="shared" si="5"/>
        <v>1</v>
      </c>
      <c r="V18" s="109">
        <f t="shared" si="5"/>
        <v>1</v>
      </c>
      <c r="W18" s="109">
        <f t="shared" si="5"/>
        <v>1</v>
      </c>
      <c r="X18" s="109">
        <f t="shared" si="5"/>
        <v>0</v>
      </c>
      <c r="Y18" s="109">
        <f t="shared" si="5"/>
        <v>19</v>
      </c>
      <c r="Z18" s="109">
        <f t="shared" si="5"/>
        <v>0</v>
      </c>
      <c r="AA18" s="172">
        <f t="shared" si="2"/>
        <v>161</v>
      </c>
      <c r="AB18" s="108" t="str">
        <f t="shared" si="3"/>
        <v>Ewan</v>
      </c>
    </row>
    <row r="19" spans="2:28">
      <c r="B19" s="196" t="s">
        <v>153</v>
      </c>
      <c r="C19" s="190" t="s">
        <v>154</v>
      </c>
      <c r="D19" s="259" t="s">
        <v>109</v>
      </c>
      <c r="E19" s="109">
        <f t="shared" si="4"/>
        <v>0</v>
      </c>
      <c r="F19" s="109">
        <f t="shared" si="4"/>
        <v>46</v>
      </c>
      <c r="G19" s="109">
        <f t="shared" si="4"/>
        <v>10</v>
      </c>
      <c r="H19" s="109">
        <f t="shared" si="4"/>
        <v>32</v>
      </c>
      <c r="I19" s="109">
        <f t="shared" si="4"/>
        <v>10</v>
      </c>
      <c r="J19" s="109">
        <f t="shared" si="4"/>
        <v>22</v>
      </c>
      <c r="K19" s="109">
        <f t="shared" si="4"/>
        <v>14</v>
      </c>
      <c r="L19" s="109">
        <f t="shared" si="4"/>
        <v>0</v>
      </c>
      <c r="M19" s="109">
        <f t="shared" si="4"/>
        <v>0</v>
      </c>
      <c r="N19" s="109">
        <f t="shared" si="4"/>
        <v>0</v>
      </c>
      <c r="O19" s="109">
        <f t="shared" si="5"/>
        <v>0</v>
      </c>
      <c r="P19" s="109">
        <f t="shared" si="5"/>
        <v>15</v>
      </c>
      <c r="Q19" s="109">
        <f t="shared" si="5"/>
        <v>0</v>
      </c>
      <c r="R19" s="109">
        <f t="shared" si="5"/>
        <v>0</v>
      </c>
      <c r="S19" s="109">
        <f t="shared" si="5"/>
        <v>0</v>
      </c>
      <c r="T19" s="109">
        <f t="shared" si="5"/>
        <v>16</v>
      </c>
      <c r="U19" s="109">
        <f t="shared" si="5"/>
        <v>0</v>
      </c>
      <c r="V19" s="109">
        <f t="shared" si="5"/>
        <v>0</v>
      </c>
      <c r="W19" s="109">
        <f t="shared" si="5"/>
        <v>0</v>
      </c>
      <c r="X19" s="109">
        <f t="shared" si="5"/>
        <v>0</v>
      </c>
      <c r="Y19" s="109">
        <f t="shared" si="5"/>
        <v>0</v>
      </c>
      <c r="Z19" s="109">
        <f t="shared" si="5"/>
        <v>0</v>
      </c>
      <c r="AA19" s="172">
        <f t="shared" si="2"/>
        <v>165</v>
      </c>
      <c r="AB19" s="108" t="str">
        <f>C19</f>
        <v>Alaphilippe</v>
      </c>
    </row>
    <row r="20" spans="2:28" s="157" customFormat="1" ht="13.5" thickBot="1">
      <c r="B20" s="196" t="s">
        <v>190</v>
      </c>
      <c r="C20" s="190" t="s">
        <v>191</v>
      </c>
      <c r="D20" s="259" t="s">
        <v>10</v>
      </c>
      <c r="E20" s="109">
        <f t="shared" si="4"/>
        <v>33</v>
      </c>
      <c r="F20" s="109">
        <f t="shared" si="4"/>
        <v>2</v>
      </c>
      <c r="G20" s="109">
        <f t="shared" si="4"/>
        <v>33</v>
      </c>
      <c r="H20" s="109">
        <f t="shared" si="4"/>
        <v>4</v>
      </c>
      <c r="I20" s="109">
        <f t="shared" si="4"/>
        <v>31</v>
      </c>
      <c r="J20" s="109">
        <f t="shared" si="4"/>
        <v>5</v>
      </c>
      <c r="K20" s="109">
        <f t="shared" si="4"/>
        <v>4</v>
      </c>
      <c r="L20" s="109">
        <f t="shared" si="4"/>
        <v>4</v>
      </c>
      <c r="M20" s="109">
        <f t="shared" si="4"/>
        <v>4</v>
      </c>
      <c r="N20" s="109">
        <f t="shared" si="4"/>
        <v>40</v>
      </c>
      <c r="O20" s="109">
        <f t="shared" si="5"/>
        <v>35</v>
      </c>
      <c r="P20" s="109">
        <f t="shared" si="5"/>
        <v>5</v>
      </c>
      <c r="Q20" s="109">
        <f t="shared" si="5"/>
        <v>5</v>
      </c>
      <c r="R20" s="109">
        <f t="shared" si="5"/>
        <v>5</v>
      </c>
      <c r="S20" s="109">
        <f t="shared" si="5"/>
        <v>5</v>
      </c>
      <c r="T20" s="109">
        <f t="shared" si="5"/>
        <v>5</v>
      </c>
      <c r="U20" s="109">
        <f t="shared" si="5"/>
        <v>5</v>
      </c>
      <c r="V20" s="109">
        <f t="shared" si="5"/>
        <v>5</v>
      </c>
      <c r="W20" s="109">
        <f t="shared" si="5"/>
        <v>23</v>
      </c>
      <c r="X20" s="109">
        <f t="shared" si="5"/>
        <v>5</v>
      </c>
      <c r="Y20" s="109">
        <f t="shared" si="5"/>
        <v>40</v>
      </c>
      <c r="Z20" s="109">
        <f t="shared" si="5"/>
        <v>10</v>
      </c>
      <c r="AA20" s="172">
        <f t="shared" si="2"/>
        <v>308</v>
      </c>
      <c r="AB20" s="108" t="str">
        <f>C20</f>
        <v>Bennett</v>
      </c>
    </row>
    <row r="21" spans="2:28" s="158" customFormat="1">
      <c r="B21" s="197"/>
      <c r="C21" s="191"/>
      <c r="D21" s="254"/>
      <c r="E21" s="167"/>
      <c r="F21" s="167"/>
      <c r="G21" s="167"/>
      <c r="H21" s="167"/>
      <c r="I21" s="167"/>
      <c r="J21" s="167"/>
      <c r="K21" s="167"/>
      <c r="L21" s="167"/>
      <c r="M21" s="167"/>
      <c r="N21" s="167"/>
      <c r="O21" s="167"/>
      <c r="P21" s="167"/>
      <c r="Q21" s="167"/>
      <c r="R21" s="167"/>
      <c r="S21" s="167"/>
      <c r="T21" s="167"/>
      <c r="U21" s="167"/>
      <c r="V21" s="167"/>
      <c r="W21" s="167"/>
      <c r="X21" s="167">
        <f>X24+X26</f>
        <v>0</v>
      </c>
      <c r="Y21" s="167">
        <f t="shared" ref="Y21:Z21" si="6">Y24+Y26</f>
        <v>0</v>
      </c>
      <c r="Z21" s="167">
        <f t="shared" si="6"/>
        <v>0</v>
      </c>
      <c r="AA21" s="225">
        <f t="shared" si="2"/>
        <v>0</v>
      </c>
    </row>
    <row r="22" spans="2:28" s="112" customFormat="1">
      <c r="B22" s="198"/>
      <c r="C22" s="192"/>
      <c r="D22" s="192"/>
      <c r="E22" s="159">
        <f t="shared" ref="E22:Z22" si="7">SUM(E4:E21)</f>
        <v>132</v>
      </c>
      <c r="F22" s="159">
        <f t="shared" si="7"/>
        <v>109</v>
      </c>
      <c r="G22" s="159">
        <f>SUM(G4:G21)</f>
        <v>142</v>
      </c>
      <c r="H22" s="159">
        <f t="shared" si="7"/>
        <v>256</v>
      </c>
      <c r="I22" s="159">
        <f t="shared" si="7"/>
        <v>199</v>
      </c>
      <c r="J22" s="159">
        <f t="shared" si="7"/>
        <v>149</v>
      </c>
      <c r="K22" s="159">
        <f t="shared" si="7"/>
        <v>158</v>
      </c>
      <c r="L22" s="159">
        <f t="shared" si="7"/>
        <v>133</v>
      </c>
      <c r="M22" s="159">
        <f t="shared" si="7"/>
        <v>202</v>
      </c>
      <c r="N22" s="159">
        <f t="shared" si="7"/>
        <v>154</v>
      </c>
      <c r="O22" s="159">
        <f t="shared" si="7"/>
        <v>158</v>
      </c>
      <c r="P22" s="159">
        <f t="shared" si="7"/>
        <v>88</v>
      </c>
      <c r="Q22" s="159">
        <f t="shared" si="7"/>
        <v>111</v>
      </c>
      <c r="R22" s="159">
        <f t="shared" si="7"/>
        <v>92</v>
      </c>
      <c r="S22" s="159">
        <f t="shared" si="7"/>
        <v>178</v>
      </c>
      <c r="T22" s="159">
        <f t="shared" si="7"/>
        <v>77</v>
      </c>
      <c r="U22" s="159">
        <f t="shared" si="7"/>
        <v>193</v>
      </c>
      <c r="V22" s="159">
        <f t="shared" si="7"/>
        <v>178</v>
      </c>
      <c r="W22" s="159">
        <f t="shared" si="7"/>
        <v>93</v>
      </c>
      <c r="X22" s="159">
        <f t="shared" si="7"/>
        <v>189</v>
      </c>
      <c r="Y22" s="159">
        <f t="shared" si="7"/>
        <v>183</v>
      </c>
      <c r="Z22" s="159">
        <f t="shared" si="7"/>
        <v>312</v>
      </c>
      <c r="AA22" s="222">
        <f>SUM(AA4:AA21)</f>
        <v>3486</v>
      </c>
    </row>
    <row r="23" spans="2:28" s="160" customFormat="1">
      <c r="B23" s="199"/>
      <c r="C23" s="193"/>
      <c r="D23" s="19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2:28" s="162" customFormat="1">
      <c r="B24" s="196"/>
      <c r="C24" s="194" t="s">
        <v>178</v>
      </c>
      <c r="D24" s="345" t="s">
        <v>109</v>
      </c>
      <c r="E24" s="179">
        <f t="shared" ref="E24:Z26" si="8">INDEX(scorematrix,MATCH($C24,renners,0),MATCH(E$3,etappes,0))</f>
        <v>0</v>
      </c>
      <c r="F24" s="179">
        <f t="shared" si="8"/>
        <v>24</v>
      </c>
      <c r="G24" s="179">
        <f t="shared" si="8"/>
        <v>0</v>
      </c>
      <c r="H24" s="179">
        <f t="shared" si="8"/>
        <v>0</v>
      </c>
      <c r="I24" s="179">
        <f t="shared" si="8"/>
        <v>6</v>
      </c>
      <c r="J24" s="179">
        <f t="shared" si="8"/>
        <v>26</v>
      </c>
      <c r="K24" s="179">
        <f t="shared" si="8"/>
        <v>0</v>
      </c>
      <c r="L24" s="179">
        <f t="shared" si="8"/>
        <v>0</v>
      </c>
      <c r="M24" s="179">
        <f t="shared" si="8"/>
        <v>0</v>
      </c>
      <c r="N24" s="179">
        <f t="shared" si="8"/>
        <v>0</v>
      </c>
      <c r="O24" s="179">
        <f t="shared" si="8"/>
        <v>0</v>
      </c>
      <c r="P24" s="179">
        <f t="shared" si="8"/>
        <v>12</v>
      </c>
      <c r="Q24" s="179">
        <f t="shared" si="8"/>
        <v>0</v>
      </c>
      <c r="R24" s="179">
        <f t="shared" si="8"/>
        <v>0</v>
      </c>
      <c r="S24" s="179">
        <f t="shared" si="8"/>
        <v>0</v>
      </c>
      <c r="T24" s="179">
        <f t="shared" si="8"/>
        <v>0</v>
      </c>
      <c r="U24" s="179">
        <f t="shared" si="8"/>
        <v>0</v>
      </c>
      <c r="V24" s="179">
        <f t="shared" si="8"/>
        <v>0</v>
      </c>
      <c r="W24" s="179">
        <f t="shared" si="8"/>
        <v>24</v>
      </c>
      <c r="X24" s="349">
        <f t="shared" si="8"/>
        <v>0</v>
      </c>
      <c r="Y24" s="349">
        <f t="shared" si="8"/>
        <v>0</v>
      </c>
      <c r="Z24" s="349">
        <f t="shared" si="8"/>
        <v>0</v>
      </c>
      <c r="AA24" s="224">
        <f>SUM(E24:Z24)</f>
        <v>92</v>
      </c>
    </row>
    <row r="25" spans="2:28" s="162" customFormat="1">
      <c r="B25" s="196"/>
      <c r="C25" s="194" t="s">
        <v>176</v>
      </c>
      <c r="D25" s="345" t="s">
        <v>177</v>
      </c>
      <c r="E25" s="179">
        <f t="shared" si="8"/>
        <v>0</v>
      </c>
      <c r="F25" s="179">
        <f t="shared" si="8"/>
        <v>0</v>
      </c>
      <c r="G25" s="179">
        <f t="shared" si="8"/>
        <v>0</v>
      </c>
      <c r="H25" s="179">
        <f t="shared" si="8"/>
        <v>0</v>
      </c>
      <c r="I25" s="179">
        <f t="shared" si="8"/>
        <v>0</v>
      </c>
      <c r="J25" s="179">
        <f t="shared" si="8"/>
        <v>0</v>
      </c>
      <c r="K25" s="179">
        <f t="shared" si="8"/>
        <v>0</v>
      </c>
      <c r="L25" s="179">
        <f t="shared" si="8"/>
        <v>0</v>
      </c>
      <c r="M25" s="179">
        <f t="shared" si="8"/>
        <v>0</v>
      </c>
      <c r="N25" s="179">
        <f t="shared" si="8"/>
        <v>0</v>
      </c>
      <c r="O25" s="179">
        <f t="shared" si="8"/>
        <v>0</v>
      </c>
      <c r="P25" s="179">
        <f t="shared" si="8"/>
        <v>0</v>
      </c>
      <c r="Q25" s="179">
        <f t="shared" si="8"/>
        <v>0</v>
      </c>
      <c r="R25" s="179">
        <f t="shared" si="8"/>
        <v>0</v>
      </c>
      <c r="S25" s="179">
        <f t="shared" si="8"/>
        <v>0</v>
      </c>
      <c r="T25" s="179">
        <f t="shared" si="8"/>
        <v>0</v>
      </c>
      <c r="U25" s="179">
        <f t="shared" si="8"/>
        <v>0</v>
      </c>
      <c r="V25" s="179">
        <f t="shared" si="8"/>
        <v>0</v>
      </c>
      <c r="W25" s="179">
        <f t="shared" si="8"/>
        <v>0</v>
      </c>
      <c r="X25" s="179">
        <f t="shared" si="8"/>
        <v>0</v>
      </c>
      <c r="Y25" s="179">
        <f t="shared" si="8"/>
        <v>0</v>
      </c>
      <c r="Z25" s="179">
        <f t="shared" si="8"/>
        <v>0</v>
      </c>
      <c r="AA25" s="224">
        <f>SUM(E25:Z25)</f>
        <v>0</v>
      </c>
    </row>
    <row r="26" spans="2:28" s="162" customFormat="1">
      <c r="B26" s="196"/>
      <c r="C26" s="194" t="s">
        <v>103</v>
      </c>
      <c r="D26" s="345" t="s">
        <v>109</v>
      </c>
      <c r="E26" s="179">
        <f t="shared" si="8"/>
        <v>0</v>
      </c>
      <c r="F26" s="179">
        <f t="shared" si="8"/>
        <v>0</v>
      </c>
      <c r="G26" s="179">
        <f t="shared" si="8"/>
        <v>0</v>
      </c>
      <c r="H26" s="179">
        <f t="shared" si="8"/>
        <v>0</v>
      </c>
      <c r="I26" s="179">
        <f t="shared" si="8"/>
        <v>0</v>
      </c>
      <c r="J26" s="179">
        <f t="shared" si="8"/>
        <v>0</v>
      </c>
      <c r="K26" s="179">
        <f t="shared" si="8"/>
        <v>0</v>
      </c>
      <c r="L26" s="179">
        <f t="shared" si="8"/>
        <v>0</v>
      </c>
      <c r="M26" s="179">
        <f t="shared" si="8"/>
        <v>0</v>
      </c>
      <c r="N26" s="179">
        <f t="shared" si="8"/>
        <v>0</v>
      </c>
      <c r="O26" s="179">
        <f t="shared" si="8"/>
        <v>0</v>
      </c>
      <c r="P26" s="179">
        <f t="shared" si="8"/>
        <v>0</v>
      </c>
      <c r="Q26" s="179">
        <f t="shared" si="8"/>
        <v>0</v>
      </c>
      <c r="R26" s="179">
        <f t="shared" si="8"/>
        <v>0</v>
      </c>
      <c r="S26" s="179">
        <f t="shared" si="8"/>
        <v>0</v>
      </c>
      <c r="T26" s="179">
        <f t="shared" si="8"/>
        <v>0</v>
      </c>
      <c r="U26" s="179">
        <f t="shared" si="8"/>
        <v>0</v>
      </c>
      <c r="V26" s="179">
        <f t="shared" si="8"/>
        <v>35</v>
      </c>
      <c r="W26" s="179">
        <f t="shared" si="8"/>
        <v>0</v>
      </c>
      <c r="X26" s="349">
        <f t="shared" si="8"/>
        <v>0</v>
      </c>
      <c r="Y26" s="349">
        <f t="shared" si="8"/>
        <v>0</v>
      </c>
      <c r="Z26" s="349">
        <f t="shared" si="8"/>
        <v>0</v>
      </c>
      <c r="AA26" s="224">
        <f>SUM(E26:Z26)</f>
        <v>35</v>
      </c>
    </row>
    <row r="28" spans="2:28">
      <c r="C28" s="273" t="s">
        <v>121</v>
      </c>
      <c r="D28" s="274">
        <f>COUNTIF($D$4:$D$21,C28)</f>
        <v>0</v>
      </c>
    </row>
    <row r="29" spans="2:28">
      <c r="C29" s="275" t="s">
        <v>10</v>
      </c>
      <c r="D29" s="274">
        <f>COUNTIF($D$4:$D$21,C29)</f>
        <v>3</v>
      </c>
    </row>
    <row r="30" spans="2:28">
      <c r="C30" s="275" t="s">
        <v>109</v>
      </c>
      <c r="D30" s="274">
        <f>COUNTIF($D$4:$D$21,C30)</f>
        <v>4</v>
      </c>
    </row>
  </sheetData>
  <sheetProtection selectLockedCells="1"/>
  <sortState ref="C4:D20">
    <sortCondition ref="D4:D20"/>
    <sortCondition ref="C4:C20"/>
  </sortState>
  <dataValidations count="1">
    <dataValidation type="list" allowBlank="1" showInputMessage="1" showErrorMessage="1" prompt="selecteer type renner:" sqref="D4:D20">
      <formula1>type_renner</formula1>
    </dataValidation>
  </dataValidation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sheetPr codeName="Blad15">
    <tabColor indexed="39"/>
  </sheetPr>
  <dimension ref="B1:AB29"/>
  <sheetViews>
    <sheetView showZeros="0" workbookViewId="0">
      <selection activeCell="Y31" sqref="Y31"/>
    </sheetView>
  </sheetViews>
  <sheetFormatPr defaultColWidth="9.140625" defaultRowHeight="12.75"/>
  <cols>
    <col min="1" max="1" width="2.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B1" s="193"/>
      <c r="C1" s="187" t="s">
        <v>97</v>
      </c>
      <c r="D1" s="187"/>
      <c r="E1" s="128"/>
    </row>
    <row r="2" spans="2:28">
      <c r="B2" s="193"/>
      <c r="C2" s="188"/>
      <c r="D2" s="188"/>
      <c r="H2" s="128"/>
    </row>
    <row r="3" spans="2:28" s="126" customFormat="1" ht="13.5" thickBot="1">
      <c r="B3" s="195"/>
      <c r="C3" s="200" t="s">
        <v>76</v>
      </c>
      <c r="D3" s="200"/>
      <c r="E3" s="111">
        <v>1</v>
      </c>
      <c r="F3" s="111">
        <v>2</v>
      </c>
      <c r="G3" s="111">
        <v>3</v>
      </c>
      <c r="H3" s="111">
        <v>4</v>
      </c>
      <c r="I3" s="111">
        <v>5</v>
      </c>
      <c r="J3" s="111">
        <v>6</v>
      </c>
      <c r="K3" s="111">
        <v>7</v>
      </c>
      <c r="L3" s="111">
        <v>8</v>
      </c>
      <c r="M3" s="111">
        <v>9</v>
      </c>
      <c r="N3" s="111">
        <v>10</v>
      </c>
      <c r="O3" s="111">
        <v>11</v>
      </c>
      <c r="P3" s="111">
        <v>12</v>
      </c>
      <c r="Q3" s="111">
        <v>13</v>
      </c>
      <c r="R3" s="111">
        <v>14</v>
      </c>
      <c r="S3" s="111">
        <v>15</v>
      </c>
      <c r="T3" s="111">
        <v>16</v>
      </c>
      <c r="U3" s="111">
        <v>17</v>
      </c>
      <c r="V3" s="111">
        <v>18</v>
      </c>
      <c r="W3" s="111">
        <v>19</v>
      </c>
      <c r="X3" s="111">
        <v>20</v>
      </c>
      <c r="Y3" s="111">
        <v>21</v>
      </c>
      <c r="Z3" s="111" t="s">
        <v>1</v>
      </c>
      <c r="AA3" s="146"/>
    </row>
    <row r="4" spans="2:28">
      <c r="B4" s="196"/>
      <c r="C4" s="189"/>
      <c r="D4" s="253"/>
      <c r="E4" s="109" t="e">
        <f t="shared" ref="E4:N13" si="0">INDEX(scorematrix,MATCH($C4,renners,0),MATCH(E$3,etappes,0))</f>
        <v>#N/A</v>
      </c>
      <c r="F4" s="109" t="e">
        <f t="shared" si="0"/>
        <v>#N/A</v>
      </c>
      <c r="G4" s="109" t="e">
        <f t="shared" si="0"/>
        <v>#N/A</v>
      </c>
      <c r="H4" s="109" t="e">
        <f t="shared" si="0"/>
        <v>#N/A</v>
      </c>
      <c r="I4" s="109" t="e">
        <f t="shared" si="0"/>
        <v>#N/A</v>
      </c>
      <c r="J4" s="109" t="e">
        <f t="shared" si="0"/>
        <v>#N/A</v>
      </c>
      <c r="K4" s="109" t="e">
        <f t="shared" si="0"/>
        <v>#N/A</v>
      </c>
      <c r="L4" s="109" t="e">
        <f t="shared" si="0"/>
        <v>#N/A</v>
      </c>
      <c r="M4" s="109" t="e">
        <f t="shared" si="0"/>
        <v>#N/A</v>
      </c>
      <c r="N4" s="109" t="e">
        <f t="shared" si="0"/>
        <v>#N/A</v>
      </c>
      <c r="O4" s="109" t="e">
        <f t="shared" ref="O4:Z13" si="1">INDEX(scorematrix,MATCH($C4,renners,0),MATCH(O$3,etappes,0))</f>
        <v>#N/A</v>
      </c>
      <c r="P4" s="109" t="e">
        <f t="shared" si="1"/>
        <v>#N/A</v>
      </c>
      <c r="Q4" s="109" t="e">
        <f t="shared" si="1"/>
        <v>#N/A</v>
      </c>
      <c r="R4" s="109" t="e">
        <f t="shared" si="1"/>
        <v>#N/A</v>
      </c>
      <c r="S4" s="109" t="e">
        <f t="shared" si="1"/>
        <v>#N/A</v>
      </c>
      <c r="T4" s="109" t="e">
        <f t="shared" si="1"/>
        <v>#N/A</v>
      </c>
      <c r="U4" s="109" t="e">
        <f t="shared" si="1"/>
        <v>#N/A</v>
      </c>
      <c r="V4" s="109" t="e">
        <f t="shared" si="1"/>
        <v>#N/A</v>
      </c>
      <c r="W4" s="109" t="e">
        <f t="shared" si="1"/>
        <v>#N/A</v>
      </c>
      <c r="X4" s="109" t="e">
        <f t="shared" si="1"/>
        <v>#N/A</v>
      </c>
      <c r="Y4" s="109" t="e">
        <f t="shared" si="1"/>
        <v>#N/A</v>
      </c>
      <c r="Z4" s="109" t="e">
        <f t="shared" si="1"/>
        <v>#N/A</v>
      </c>
      <c r="AA4" s="172" t="e">
        <f t="shared" ref="AA4:AA21" si="2">SUM(E4:Z4)</f>
        <v>#N/A</v>
      </c>
      <c r="AB4" s="108">
        <f t="shared" ref="AB4:AB18" si="3">C4</f>
        <v>0</v>
      </c>
    </row>
    <row r="5" spans="2:28">
      <c r="B5" s="196"/>
      <c r="C5" s="190"/>
      <c r="D5" s="253"/>
      <c r="E5" s="109" t="e">
        <f t="shared" si="0"/>
        <v>#N/A</v>
      </c>
      <c r="F5" s="109" t="e">
        <f t="shared" si="0"/>
        <v>#N/A</v>
      </c>
      <c r="G5" s="109" t="e">
        <f t="shared" si="0"/>
        <v>#N/A</v>
      </c>
      <c r="H5" s="109" t="e">
        <f t="shared" si="0"/>
        <v>#N/A</v>
      </c>
      <c r="I5" s="109" t="e">
        <f t="shared" si="0"/>
        <v>#N/A</v>
      </c>
      <c r="J5" s="109" t="e">
        <f t="shared" si="0"/>
        <v>#N/A</v>
      </c>
      <c r="K5" s="109" t="e">
        <f t="shared" si="0"/>
        <v>#N/A</v>
      </c>
      <c r="L5" s="109" t="e">
        <f t="shared" si="0"/>
        <v>#N/A</v>
      </c>
      <c r="M5" s="109" t="e">
        <f t="shared" si="0"/>
        <v>#N/A</v>
      </c>
      <c r="N5" s="109" t="e">
        <f t="shared" si="0"/>
        <v>#N/A</v>
      </c>
      <c r="O5" s="109" t="e">
        <f t="shared" si="1"/>
        <v>#N/A</v>
      </c>
      <c r="P5" s="109" t="e">
        <f t="shared" si="1"/>
        <v>#N/A</v>
      </c>
      <c r="Q5" s="109" t="e">
        <f t="shared" si="1"/>
        <v>#N/A</v>
      </c>
      <c r="R5" s="109" t="e">
        <f t="shared" si="1"/>
        <v>#N/A</v>
      </c>
      <c r="S5" s="109" t="e">
        <f t="shared" si="1"/>
        <v>#N/A</v>
      </c>
      <c r="T5" s="109" t="e">
        <f t="shared" si="1"/>
        <v>#N/A</v>
      </c>
      <c r="U5" s="109" t="e">
        <f t="shared" si="1"/>
        <v>#N/A</v>
      </c>
      <c r="V5" s="109" t="e">
        <f t="shared" si="1"/>
        <v>#N/A</v>
      </c>
      <c r="W5" s="109" t="e">
        <f t="shared" si="1"/>
        <v>#N/A</v>
      </c>
      <c r="X5" s="109" t="e">
        <f t="shared" si="1"/>
        <v>#N/A</v>
      </c>
      <c r="Y5" s="109" t="e">
        <f t="shared" si="1"/>
        <v>#N/A</v>
      </c>
      <c r="Z5" s="109" t="e">
        <f t="shared" si="1"/>
        <v>#N/A</v>
      </c>
      <c r="AA5" s="172" t="e">
        <f t="shared" si="2"/>
        <v>#N/A</v>
      </c>
      <c r="AB5" s="108">
        <f t="shared" si="3"/>
        <v>0</v>
      </c>
    </row>
    <row r="6" spans="2:28">
      <c r="B6" s="196"/>
      <c r="C6" s="190"/>
      <c r="D6" s="253"/>
      <c r="E6" s="109" t="e">
        <f t="shared" si="0"/>
        <v>#N/A</v>
      </c>
      <c r="F6" s="109" t="e">
        <f t="shared" si="0"/>
        <v>#N/A</v>
      </c>
      <c r="G6" s="109" t="e">
        <f t="shared" si="0"/>
        <v>#N/A</v>
      </c>
      <c r="H6" s="109" t="e">
        <f t="shared" si="0"/>
        <v>#N/A</v>
      </c>
      <c r="I6" s="109" t="e">
        <f t="shared" si="0"/>
        <v>#N/A</v>
      </c>
      <c r="J6" s="109" t="e">
        <f t="shared" si="0"/>
        <v>#N/A</v>
      </c>
      <c r="K6" s="109" t="e">
        <f t="shared" si="0"/>
        <v>#N/A</v>
      </c>
      <c r="L6" s="109" t="e">
        <f t="shared" si="0"/>
        <v>#N/A</v>
      </c>
      <c r="M6" s="109" t="e">
        <f t="shared" si="0"/>
        <v>#N/A</v>
      </c>
      <c r="N6" s="109" t="e">
        <f t="shared" si="0"/>
        <v>#N/A</v>
      </c>
      <c r="O6" s="109" t="e">
        <f t="shared" si="1"/>
        <v>#N/A</v>
      </c>
      <c r="P6" s="109" t="e">
        <f t="shared" si="1"/>
        <v>#N/A</v>
      </c>
      <c r="Q6" s="109" t="e">
        <f t="shared" si="1"/>
        <v>#N/A</v>
      </c>
      <c r="R6" s="109" t="e">
        <f t="shared" si="1"/>
        <v>#N/A</v>
      </c>
      <c r="S6" s="109" t="e">
        <f t="shared" si="1"/>
        <v>#N/A</v>
      </c>
      <c r="T6" s="109" t="e">
        <f t="shared" si="1"/>
        <v>#N/A</v>
      </c>
      <c r="U6" s="109" t="e">
        <f t="shared" si="1"/>
        <v>#N/A</v>
      </c>
      <c r="V6" s="109" t="e">
        <f t="shared" si="1"/>
        <v>#N/A</v>
      </c>
      <c r="W6" s="109" t="e">
        <f t="shared" si="1"/>
        <v>#N/A</v>
      </c>
      <c r="X6" s="109" t="e">
        <f t="shared" si="1"/>
        <v>#N/A</v>
      </c>
      <c r="Y6" s="109" t="e">
        <f t="shared" si="1"/>
        <v>#N/A</v>
      </c>
      <c r="Z6" s="109" t="e">
        <f t="shared" si="1"/>
        <v>#N/A</v>
      </c>
      <c r="AA6" s="172" t="e">
        <f t="shared" si="2"/>
        <v>#N/A</v>
      </c>
      <c r="AB6" s="108">
        <f t="shared" si="3"/>
        <v>0</v>
      </c>
    </row>
    <row r="7" spans="2:28">
      <c r="B7" s="196"/>
      <c r="C7" s="190"/>
      <c r="D7" s="253"/>
      <c r="E7" s="109" t="e">
        <f t="shared" si="0"/>
        <v>#N/A</v>
      </c>
      <c r="F7" s="109" t="e">
        <f t="shared" si="0"/>
        <v>#N/A</v>
      </c>
      <c r="G7" s="109" t="e">
        <f t="shared" si="0"/>
        <v>#N/A</v>
      </c>
      <c r="H7" s="109" t="e">
        <f t="shared" si="0"/>
        <v>#N/A</v>
      </c>
      <c r="I7" s="109" t="e">
        <f t="shared" si="0"/>
        <v>#N/A</v>
      </c>
      <c r="J7" s="109" t="e">
        <f t="shared" si="0"/>
        <v>#N/A</v>
      </c>
      <c r="K7" s="109" t="e">
        <f t="shared" si="0"/>
        <v>#N/A</v>
      </c>
      <c r="L7" s="109" t="e">
        <f t="shared" si="0"/>
        <v>#N/A</v>
      </c>
      <c r="M7" s="109" t="e">
        <f t="shared" si="0"/>
        <v>#N/A</v>
      </c>
      <c r="N7" s="109" t="e">
        <f t="shared" si="0"/>
        <v>#N/A</v>
      </c>
      <c r="O7" s="109" t="e">
        <f t="shared" si="1"/>
        <v>#N/A</v>
      </c>
      <c r="P7" s="109" t="e">
        <f t="shared" si="1"/>
        <v>#N/A</v>
      </c>
      <c r="Q7" s="109" t="e">
        <f t="shared" si="1"/>
        <v>#N/A</v>
      </c>
      <c r="R7" s="109" t="e">
        <f t="shared" si="1"/>
        <v>#N/A</v>
      </c>
      <c r="S7" s="109" t="e">
        <f t="shared" si="1"/>
        <v>#N/A</v>
      </c>
      <c r="T7" s="109" t="e">
        <f t="shared" si="1"/>
        <v>#N/A</v>
      </c>
      <c r="U7" s="109" t="e">
        <f t="shared" si="1"/>
        <v>#N/A</v>
      </c>
      <c r="V7" s="109" t="e">
        <f t="shared" si="1"/>
        <v>#N/A</v>
      </c>
      <c r="W7" s="109" t="e">
        <f t="shared" si="1"/>
        <v>#N/A</v>
      </c>
      <c r="X7" s="109" t="e">
        <f t="shared" si="1"/>
        <v>#N/A</v>
      </c>
      <c r="Y7" s="109" t="e">
        <f t="shared" si="1"/>
        <v>#N/A</v>
      </c>
      <c r="Z7" s="109" t="e">
        <f t="shared" si="1"/>
        <v>#N/A</v>
      </c>
      <c r="AA7" s="172" t="e">
        <f t="shared" si="2"/>
        <v>#N/A</v>
      </c>
      <c r="AB7" s="108">
        <f t="shared" si="3"/>
        <v>0</v>
      </c>
    </row>
    <row r="8" spans="2:28">
      <c r="B8" s="196"/>
      <c r="C8" s="190"/>
      <c r="D8" s="253"/>
      <c r="E8" s="109" t="e">
        <f t="shared" si="0"/>
        <v>#N/A</v>
      </c>
      <c r="F8" s="109" t="e">
        <f t="shared" si="0"/>
        <v>#N/A</v>
      </c>
      <c r="G8" s="109" t="e">
        <f t="shared" si="0"/>
        <v>#N/A</v>
      </c>
      <c r="H8" s="109" t="e">
        <f t="shared" si="0"/>
        <v>#N/A</v>
      </c>
      <c r="I8" s="109" t="e">
        <f t="shared" si="0"/>
        <v>#N/A</v>
      </c>
      <c r="J8" s="109" t="e">
        <f t="shared" si="0"/>
        <v>#N/A</v>
      </c>
      <c r="K8" s="109" t="e">
        <f t="shared" si="0"/>
        <v>#N/A</v>
      </c>
      <c r="L8" s="109" t="e">
        <f t="shared" si="0"/>
        <v>#N/A</v>
      </c>
      <c r="M8" s="109" t="e">
        <f t="shared" si="0"/>
        <v>#N/A</v>
      </c>
      <c r="N8" s="109" t="e">
        <f t="shared" si="0"/>
        <v>#N/A</v>
      </c>
      <c r="O8" s="109" t="e">
        <f t="shared" si="1"/>
        <v>#N/A</v>
      </c>
      <c r="P8" s="109" t="e">
        <f t="shared" si="1"/>
        <v>#N/A</v>
      </c>
      <c r="Q8" s="109" t="e">
        <f t="shared" si="1"/>
        <v>#N/A</v>
      </c>
      <c r="R8" s="109" t="e">
        <f t="shared" si="1"/>
        <v>#N/A</v>
      </c>
      <c r="S8" s="109" t="e">
        <f t="shared" si="1"/>
        <v>#N/A</v>
      </c>
      <c r="T8" s="109" t="e">
        <f t="shared" si="1"/>
        <v>#N/A</v>
      </c>
      <c r="U8" s="109" t="e">
        <f t="shared" si="1"/>
        <v>#N/A</v>
      </c>
      <c r="V8" s="109" t="e">
        <f t="shared" si="1"/>
        <v>#N/A</v>
      </c>
      <c r="W8" s="109" t="e">
        <f t="shared" si="1"/>
        <v>#N/A</v>
      </c>
      <c r="X8" s="109" t="e">
        <f t="shared" si="1"/>
        <v>#N/A</v>
      </c>
      <c r="Y8" s="109" t="e">
        <f t="shared" si="1"/>
        <v>#N/A</v>
      </c>
      <c r="Z8" s="109" t="e">
        <f t="shared" si="1"/>
        <v>#N/A</v>
      </c>
      <c r="AA8" s="172" t="e">
        <f t="shared" si="2"/>
        <v>#N/A</v>
      </c>
      <c r="AB8" s="108">
        <f t="shared" si="3"/>
        <v>0</v>
      </c>
    </row>
    <row r="9" spans="2:28">
      <c r="B9" s="196"/>
      <c r="C9" s="190"/>
      <c r="D9" s="253"/>
      <c r="E9" s="109" t="e">
        <f t="shared" si="0"/>
        <v>#N/A</v>
      </c>
      <c r="F9" s="109" t="e">
        <f t="shared" si="0"/>
        <v>#N/A</v>
      </c>
      <c r="G9" s="109" t="e">
        <f t="shared" si="0"/>
        <v>#N/A</v>
      </c>
      <c r="H9" s="109" t="e">
        <f t="shared" si="0"/>
        <v>#N/A</v>
      </c>
      <c r="I9" s="109" t="e">
        <f t="shared" si="0"/>
        <v>#N/A</v>
      </c>
      <c r="J9" s="109" t="e">
        <f t="shared" si="0"/>
        <v>#N/A</v>
      </c>
      <c r="K9" s="109" t="e">
        <f t="shared" si="0"/>
        <v>#N/A</v>
      </c>
      <c r="L9" s="109" t="e">
        <f t="shared" si="0"/>
        <v>#N/A</v>
      </c>
      <c r="M9" s="109" t="e">
        <f t="shared" si="0"/>
        <v>#N/A</v>
      </c>
      <c r="N9" s="109" t="e">
        <f t="shared" si="0"/>
        <v>#N/A</v>
      </c>
      <c r="O9" s="109" t="e">
        <f t="shared" si="1"/>
        <v>#N/A</v>
      </c>
      <c r="P9" s="109" t="e">
        <f t="shared" si="1"/>
        <v>#N/A</v>
      </c>
      <c r="Q9" s="109" t="e">
        <f t="shared" si="1"/>
        <v>#N/A</v>
      </c>
      <c r="R9" s="109" t="e">
        <f t="shared" si="1"/>
        <v>#N/A</v>
      </c>
      <c r="S9" s="109" t="e">
        <f t="shared" si="1"/>
        <v>#N/A</v>
      </c>
      <c r="T9" s="109" t="e">
        <f t="shared" si="1"/>
        <v>#N/A</v>
      </c>
      <c r="U9" s="109" t="e">
        <f t="shared" si="1"/>
        <v>#N/A</v>
      </c>
      <c r="V9" s="109" t="e">
        <f t="shared" si="1"/>
        <v>#N/A</v>
      </c>
      <c r="W9" s="109" t="e">
        <f t="shared" si="1"/>
        <v>#N/A</v>
      </c>
      <c r="X9" s="109" t="e">
        <f t="shared" si="1"/>
        <v>#N/A</v>
      </c>
      <c r="Y9" s="109" t="e">
        <f t="shared" si="1"/>
        <v>#N/A</v>
      </c>
      <c r="Z9" s="109" t="e">
        <f t="shared" si="1"/>
        <v>#N/A</v>
      </c>
      <c r="AA9" s="172" t="e">
        <f t="shared" si="2"/>
        <v>#N/A</v>
      </c>
      <c r="AB9" s="108">
        <f t="shared" si="3"/>
        <v>0</v>
      </c>
    </row>
    <row r="10" spans="2:28">
      <c r="B10" s="196"/>
      <c r="C10" s="190"/>
      <c r="D10" s="253"/>
      <c r="E10" s="109" t="e">
        <f t="shared" si="0"/>
        <v>#N/A</v>
      </c>
      <c r="F10" s="109" t="e">
        <f t="shared" si="0"/>
        <v>#N/A</v>
      </c>
      <c r="G10" s="109" t="e">
        <f t="shared" si="0"/>
        <v>#N/A</v>
      </c>
      <c r="H10" s="109" t="e">
        <f t="shared" si="0"/>
        <v>#N/A</v>
      </c>
      <c r="I10" s="109" t="e">
        <f t="shared" si="0"/>
        <v>#N/A</v>
      </c>
      <c r="J10" s="109" t="e">
        <f t="shared" si="0"/>
        <v>#N/A</v>
      </c>
      <c r="K10" s="109" t="e">
        <f t="shared" si="0"/>
        <v>#N/A</v>
      </c>
      <c r="L10" s="109" t="e">
        <f t="shared" si="0"/>
        <v>#N/A</v>
      </c>
      <c r="M10" s="109" t="e">
        <f t="shared" si="0"/>
        <v>#N/A</v>
      </c>
      <c r="N10" s="109" t="e">
        <f t="shared" si="0"/>
        <v>#N/A</v>
      </c>
      <c r="O10" s="109" t="e">
        <f t="shared" si="1"/>
        <v>#N/A</v>
      </c>
      <c r="P10" s="109" t="e">
        <f t="shared" si="1"/>
        <v>#N/A</v>
      </c>
      <c r="Q10" s="109" t="e">
        <f t="shared" si="1"/>
        <v>#N/A</v>
      </c>
      <c r="R10" s="109" t="e">
        <f t="shared" si="1"/>
        <v>#N/A</v>
      </c>
      <c r="S10" s="109" t="e">
        <f t="shared" si="1"/>
        <v>#N/A</v>
      </c>
      <c r="T10" s="109" t="e">
        <f t="shared" si="1"/>
        <v>#N/A</v>
      </c>
      <c r="U10" s="109" t="e">
        <f t="shared" si="1"/>
        <v>#N/A</v>
      </c>
      <c r="V10" s="109" t="e">
        <f t="shared" si="1"/>
        <v>#N/A</v>
      </c>
      <c r="W10" s="109" t="e">
        <f t="shared" si="1"/>
        <v>#N/A</v>
      </c>
      <c r="X10" s="109" t="e">
        <f t="shared" si="1"/>
        <v>#N/A</v>
      </c>
      <c r="Y10" s="109" t="e">
        <f t="shared" si="1"/>
        <v>#N/A</v>
      </c>
      <c r="Z10" s="109" t="e">
        <f t="shared" si="1"/>
        <v>#N/A</v>
      </c>
      <c r="AA10" s="172" t="e">
        <f t="shared" si="2"/>
        <v>#N/A</v>
      </c>
      <c r="AB10" s="108">
        <f t="shared" si="3"/>
        <v>0</v>
      </c>
    </row>
    <row r="11" spans="2:28">
      <c r="B11" s="196"/>
      <c r="C11" s="190"/>
      <c r="D11" s="253"/>
      <c r="E11" s="109" t="e">
        <f t="shared" si="0"/>
        <v>#N/A</v>
      </c>
      <c r="F11" s="109" t="e">
        <f t="shared" si="0"/>
        <v>#N/A</v>
      </c>
      <c r="G11" s="109" t="e">
        <f t="shared" si="0"/>
        <v>#N/A</v>
      </c>
      <c r="H11" s="109" t="e">
        <f t="shared" si="0"/>
        <v>#N/A</v>
      </c>
      <c r="I11" s="109" t="e">
        <f t="shared" si="0"/>
        <v>#N/A</v>
      </c>
      <c r="J11" s="109" t="e">
        <f t="shared" si="0"/>
        <v>#N/A</v>
      </c>
      <c r="K11" s="109" t="e">
        <f t="shared" si="0"/>
        <v>#N/A</v>
      </c>
      <c r="L11" s="109" t="e">
        <f t="shared" si="0"/>
        <v>#N/A</v>
      </c>
      <c r="M11" s="109" t="e">
        <f t="shared" si="0"/>
        <v>#N/A</v>
      </c>
      <c r="N11" s="109" t="e">
        <f t="shared" si="0"/>
        <v>#N/A</v>
      </c>
      <c r="O11" s="109" t="e">
        <f t="shared" si="1"/>
        <v>#N/A</v>
      </c>
      <c r="P11" s="109" t="e">
        <f t="shared" si="1"/>
        <v>#N/A</v>
      </c>
      <c r="Q11" s="109" t="e">
        <f t="shared" si="1"/>
        <v>#N/A</v>
      </c>
      <c r="R11" s="109" t="e">
        <f t="shared" si="1"/>
        <v>#N/A</v>
      </c>
      <c r="S11" s="109" t="e">
        <f t="shared" si="1"/>
        <v>#N/A</v>
      </c>
      <c r="T11" s="109" t="e">
        <f t="shared" si="1"/>
        <v>#N/A</v>
      </c>
      <c r="U11" s="109" t="e">
        <f t="shared" si="1"/>
        <v>#N/A</v>
      </c>
      <c r="V11" s="109" t="e">
        <f t="shared" si="1"/>
        <v>#N/A</v>
      </c>
      <c r="W11" s="109" t="e">
        <f t="shared" si="1"/>
        <v>#N/A</v>
      </c>
      <c r="X11" s="109" t="e">
        <f t="shared" si="1"/>
        <v>#N/A</v>
      </c>
      <c r="Y11" s="109" t="e">
        <f t="shared" si="1"/>
        <v>#N/A</v>
      </c>
      <c r="Z11" s="109" t="e">
        <f t="shared" si="1"/>
        <v>#N/A</v>
      </c>
      <c r="AA11" s="172" t="e">
        <f t="shared" si="2"/>
        <v>#N/A</v>
      </c>
      <c r="AB11" s="108">
        <f t="shared" si="3"/>
        <v>0</v>
      </c>
    </row>
    <row r="12" spans="2:28">
      <c r="B12" s="196"/>
      <c r="C12" s="190"/>
      <c r="D12" s="253"/>
      <c r="E12" s="109" t="e">
        <f t="shared" si="0"/>
        <v>#N/A</v>
      </c>
      <c r="F12" s="109" t="e">
        <f t="shared" si="0"/>
        <v>#N/A</v>
      </c>
      <c r="G12" s="109" t="e">
        <f t="shared" si="0"/>
        <v>#N/A</v>
      </c>
      <c r="H12" s="109" t="e">
        <f t="shared" si="0"/>
        <v>#N/A</v>
      </c>
      <c r="I12" s="109" t="e">
        <f t="shared" si="0"/>
        <v>#N/A</v>
      </c>
      <c r="J12" s="109" t="e">
        <f t="shared" si="0"/>
        <v>#N/A</v>
      </c>
      <c r="K12" s="109" t="e">
        <f t="shared" si="0"/>
        <v>#N/A</v>
      </c>
      <c r="L12" s="109" t="e">
        <f t="shared" si="0"/>
        <v>#N/A</v>
      </c>
      <c r="M12" s="109" t="e">
        <f t="shared" si="0"/>
        <v>#N/A</v>
      </c>
      <c r="N12" s="109" t="e">
        <f t="shared" si="0"/>
        <v>#N/A</v>
      </c>
      <c r="O12" s="109" t="e">
        <f t="shared" si="1"/>
        <v>#N/A</v>
      </c>
      <c r="P12" s="109" t="e">
        <f t="shared" si="1"/>
        <v>#N/A</v>
      </c>
      <c r="Q12" s="109" t="e">
        <f t="shared" si="1"/>
        <v>#N/A</v>
      </c>
      <c r="R12" s="109" t="e">
        <f t="shared" si="1"/>
        <v>#N/A</v>
      </c>
      <c r="S12" s="109" t="e">
        <f t="shared" si="1"/>
        <v>#N/A</v>
      </c>
      <c r="T12" s="109" t="e">
        <f t="shared" si="1"/>
        <v>#N/A</v>
      </c>
      <c r="U12" s="109" t="e">
        <f t="shared" si="1"/>
        <v>#N/A</v>
      </c>
      <c r="V12" s="109" t="e">
        <f t="shared" si="1"/>
        <v>#N/A</v>
      </c>
      <c r="W12" s="109" t="e">
        <f t="shared" si="1"/>
        <v>#N/A</v>
      </c>
      <c r="X12" s="109" t="e">
        <f t="shared" si="1"/>
        <v>#N/A</v>
      </c>
      <c r="Y12" s="109" t="e">
        <f t="shared" si="1"/>
        <v>#N/A</v>
      </c>
      <c r="Z12" s="109" t="e">
        <f t="shared" si="1"/>
        <v>#N/A</v>
      </c>
      <c r="AA12" s="172" t="e">
        <f t="shared" si="2"/>
        <v>#N/A</v>
      </c>
      <c r="AB12" s="108">
        <f t="shared" si="3"/>
        <v>0</v>
      </c>
    </row>
    <row r="13" spans="2:28">
      <c r="B13" s="217"/>
      <c r="C13" s="190"/>
      <c r="D13" s="253"/>
      <c r="E13" s="109" t="e">
        <f t="shared" si="0"/>
        <v>#N/A</v>
      </c>
      <c r="F13" s="109" t="e">
        <f t="shared" si="0"/>
        <v>#N/A</v>
      </c>
      <c r="G13" s="109" t="e">
        <f t="shared" si="0"/>
        <v>#N/A</v>
      </c>
      <c r="H13" s="109" t="e">
        <f t="shared" si="0"/>
        <v>#N/A</v>
      </c>
      <c r="I13" s="109" t="e">
        <f t="shared" si="0"/>
        <v>#N/A</v>
      </c>
      <c r="J13" s="109" t="e">
        <f t="shared" si="0"/>
        <v>#N/A</v>
      </c>
      <c r="K13" s="109" t="e">
        <f t="shared" si="0"/>
        <v>#N/A</v>
      </c>
      <c r="L13" s="109" t="e">
        <f t="shared" si="0"/>
        <v>#N/A</v>
      </c>
      <c r="M13" s="109" t="e">
        <f t="shared" si="0"/>
        <v>#N/A</v>
      </c>
      <c r="N13" s="109" t="e">
        <f t="shared" si="0"/>
        <v>#N/A</v>
      </c>
      <c r="O13" s="109" t="e">
        <f t="shared" si="1"/>
        <v>#N/A</v>
      </c>
      <c r="P13" s="109" t="e">
        <f t="shared" si="1"/>
        <v>#N/A</v>
      </c>
      <c r="Q13" s="109" t="e">
        <f t="shared" si="1"/>
        <v>#N/A</v>
      </c>
      <c r="R13" s="109" t="e">
        <f t="shared" si="1"/>
        <v>#N/A</v>
      </c>
      <c r="S13" s="109" t="e">
        <f t="shared" si="1"/>
        <v>#N/A</v>
      </c>
      <c r="T13" s="109" t="e">
        <f t="shared" si="1"/>
        <v>#N/A</v>
      </c>
      <c r="U13" s="109" t="e">
        <f t="shared" si="1"/>
        <v>#N/A</v>
      </c>
      <c r="V13" s="109" t="e">
        <f t="shared" si="1"/>
        <v>#N/A</v>
      </c>
      <c r="W13" s="109" t="e">
        <f t="shared" si="1"/>
        <v>#N/A</v>
      </c>
      <c r="X13" s="109" t="e">
        <f t="shared" si="1"/>
        <v>#N/A</v>
      </c>
      <c r="Y13" s="109" t="e">
        <f t="shared" si="1"/>
        <v>#N/A</v>
      </c>
      <c r="Z13" s="109" t="e">
        <f t="shared" si="1"/>
        <v>#N/A</v>
      </c>
      <c r="AA13" s="172" t="e">
        <f t="shared" si="2"/>
        <v>#N/A</v>
      </c>
      <c r="AB13" s="108">
        <f t="shared" si="3"/>
        <v>0</v>
      </c>
    </row>
    <row r="14" spans="2:28">
      <c r="B14" s="196"/>
      <c r="C14" s="190"/>
      <c r="D14" s="253"/>
      <c r="E14" s="109" t="e">
        <f t="shared" ref="E14:N20" si="4">INDEX(scorematrix,MATCH($C14,renners,0),MATCH(E$3,etappes,0))</f>
        <v>#N/A</v>
      </c>
      <c r="F14" s="109" t="e">
        <f t="shared" si="4"/>
        <v>#N/A</v>
      </c>
      <c r="G14" s="109" t="e">
        <f t="shared" si="4"/>
        <v>#N/A</v>
      </c>
      <c r="H14" s="109" t="e">
        <f t="shared" si="4"/>
        <v>#N/A</v>
      </c>
      <c r="I14" s="109" t="e">
        <f t="shared" si="4"/>
        <v>#N/A</v>
      </c>
      <c r="J14" s="109" t="e">
        <f t="shared" si="4"/>
        <v>#N/A</v>
      </c>
      <c r="K14" s="109" t="e">
        <f t="shared" si="4"/>
        <v>#N/A</v>
      </c>
      <c r="L14" s="109" t="e">
        <f t="shared" si="4"/>
        <v>#N/A</v>
      </c>
      <c r="M14" s="109" t="e">
        <f t="shared" si="4"/>
        <v>#N/A</v>
      </c>
      <c r="N14" s="109" t="e">
        <f t="shared" si="4"/>
        <v>#N/A</v>
      </c>
      <c r="O14" s="109" t="e">
        <f t="shared" ref="O14:Z20" si="5">INDEX(scorematrix,MATCH($C14,renners,0),MATCH(O$3,etappes,0))</f>
        <v>#N/A</v>
      </c>
      <c r="P14" s="109" t="e">
        <f t="shared" si="5"/>
        <v>#N/A</v>
      </c>
      <c r="Q14" s="109" t="e">
        <f t="shared" si="5"/>
        <v>#N/A</v>
      </c>
      <c r="R14" s="109" t="e">
        <f t="shared" si="5"/>
        <v>#N/A</v>
      </c>
      <c r="S14" s="109" t="e">
        <f t="shared" si="5"/>
        <v>#N/A</v>
      </c>
      <c r="T14" s="109" t="e">
        <f t="shared" si="5"/>
        <v>#N/A</v>
      </c>
      <c r="U14" s="109" t="e">
        <f t="shared" si="5"/>
        <v>#N/A</v>
      </c>
      <c r="V14" s="109" t="e">
        <f t="shared" si="5"/>
        <v>#N/A</v>
      </c>
      <c r="W14" s="109" t="e">
        <f t="shared" si="5"/>
        <v>#N/A</v>
      </c>
      <c r="X14" s="109" t="e">
        <f t="shared" si="5"/>
        <v>#N/A</v>
      </c>
      <c r="Y14" s="109" t="e">
        <f t="shared" si="5"/>
        <v>#N/A</v>
      </c>
      <c r="Z14" s="109" t="e">
        <f t="shared" si="5"/>
        <v>#N/A</v>
      </c>
      <c r="AA14" s="172" t="e">
        <f t="shared" si="2"/>
        <v>#N/A</v>
      </c>
      <c r="AB14" s="108">
        <f t="shared" si="3"/>
        <v>0</v>
      </c>
    </row>
    <row r="15" spans="2:28">
      <c r="B15" s="196"/>
      <c r="C15" s="190"/>
      <c r="D15" s="253"/>
      <c r="E15" s="109" t="e">
        <f t="shared" si="4"/>
        <v>#N/A</v>
      </c>
      <c r="F15" s="109" t="e">
        <f t="shared" si="4"/>
        <v>#N/A</v>
      </c>
      <c r="G15" s="109" t="e">
        <f t="shared" si="4"/>
        <v>#N/A</v>
      </c>
      <c r="H15" s="109" t="e">
        <f t="shared" si="4"/>
        <v>#N/A</v>
      </c>
      <c r="I15" s="109" t="e">
        <f t="shared" si="4"/>
        <v>#N/A</v>
      </c>
      <c r="J15" s="109" t="e">
        <f t="shared" si="4"/>
        <v>#N/A</v>
      </c>
      <c r="K15" s="109" t="e">
        <f t="shared" si="4"/>
        <v>#N/A</v>
      </c>
      <c r="L15" s="109" t="e">
        <f t="shared" si="4"/>
        <v>#N/A</v>
      </c>
      <c r="M15" s="109" t="e">
        <f t="shared" si="4"/>
        <v>#N/A</v>
      </c>
      <c r="N15" s="109" t="e">
        <f t="shared" si="4"/>
        <v>#N/A</v>
      </c>
      <c r="O15" s="109" t="e">
        <f t="shared" si="5"/>
        <v>#N/A</v>
      </c>
      <c r="P15" s="109" t="e">
        <f t="shared" si="5"/>
        <v>#N/A</v>
      </c>
      <c r="Q15" s="109" t="e">
        <f t="shared" si="5"/>
        <v>#N/A</v>
      </c>
      <c r="R15" s="109" t="e">
        <f t="shared" si="5"/>
        <v>#N/A</v>
      </c>
      <c r="S15" s="109" t="e">
        <f t="shared" si="5"/>
        <v>#N/A</v>
      </c>
      <c r="T15" s="109" t="e">
        <f t="shared" si="5"/>
        <v>#N/A</v>
      </c>
      <c r="U15" s="109" t="e">
        <f t="shared" si="5"/>
        <v>#N/A</v>
      </c>
      <c r="V15" s="109" t="e">
        <f t="shared" si="5"/>
        <v>#N/A</v>
      </c>
      <c r="W15" s="109" t="e">
        <f t="shared" si="5"/>
        <v>#N/A</v>
      </c>
      <c r="X15" s="109" t="e">
        <f t="shared" si="5"/>
        <v>#N/A</v>
      </c>
      <c r="Y15" s="109" t="e">
        <f t="shared" si="5"/>
        <v>#N/A</v>
      </c>
      <c r="Z15" s="109" t="e">
        <f t="shared" si="5"/>
        <v>#N/A</v>
      </c>
      <c r="AA15" s="172" t="e">
        <f t="shared" si="2"/>
        <v>#N/A</v>
      </c>
      <c r="AB15" s="108">
        <f t="shared" si="3"/>
        <v>0</v>
      </c>
    </row>
    <row r="16" spans="2:28" s="157" customFormat="1">
      <c r="B16" s="196"/>
      <c r="C16" s="190"/>
      <c r="D16" s="253"/>
      <c r="E16" s="109" t="e">
        <f t="shared" si="4"/>
        <v>#N/A</v>
      </c>
      <c r="F16" s="109" t="e">
        <f t="shared" si="4"/>
        <v>#N/A</v>
      </c>
      <c r="G16" s="109" t="e">
        <f t="shared" si="4"/>
        <v>#N/A</v>
      </c>
      <c r="H16" s="109" t="e">
        <f t="shared" si="4"/>
        <v>#N/A</v>
      </c>
      <c r="I16" s="109" t="e">
        <f t="shared" si="4"/>
        <v>#N/A</v>
      </c>
      <c r="J16" s="109" t="e">
        <f t="shared" si="4"/>
        <v>#N/A</v>
      </c>
      <c r="K16" s="109" t="e">
        <f t="shared" si="4"/>
        <v>#N/A</v>
      </c>
      <c r="L16" s="109" t="e">
        <f t="shared" si="4"/>
        <v>#N/A</v>
      </c>
      <c r="M16" s="109" t="e">
        <f t="shared" si="4"/>
        <v>#N/A</v>
      </c>
      <c r="N16" s="109" t="e">
        <f t="shared" si="4"/>
        <v>#N/A</v>
      </c>
      <c r="O16" s="109" t="e">
        <f t="shared" si="5"/>
        <v>#N/A</v>
      </c>
      <c r="P16" s="109" t="e">
        <f t="shared" si="5"/>
        <v>#N/A</v>
      </c>
      <c r="Q16" s="109" t="e">
        <f t="shared" si="5"/>
        <v>#N/A</v>
      </c>
      <c r="R16" s="109" t="e">
        <f t="shared" si="5"/>
        <v>#N/A</v>
      </c>
      <c r="S16" s="109" t="e">
        <f t="shared" si="5"/>
        <v>#N/A</v>
      </c>
      <c r="T16" s="109" t="e">
        <f t="shared" si="5"/>
        <v>#N/A</v>
      </c>
      <c r="U16" s="109" t="e">
        <f t="shared" si="5"/>
        <v>#N/A</v>
      </c>
      <c r="V16" s="109" t="e">
        <f t="shared" si="5"/>
        <v>#N/A</v>
      </c>
      <c r="W16" s="109" t="e">
        <f t="shared" si="5"/>
        <v>#N/A</v>
      </c>
      <c r="X16" s="109" t="e">
        <f t="shared" si="5"/>
        <v>#N/A</v>
      </c>
      <c r="Y16" s="109" t="e">
        <f t="shared" si="5"/>
        <v>#N/A</v>
      </c>
      <c r="Z16" s="109" t="e">
        <f t="shared" si="5"/>
        <v>#N/A</v>
      </c>
      <c r="AA16" s="172" t="e">
        <f t="shared" si="2"/>
        <v>#N/A</v>
      </c>
      <c r="AB16" s="108">
        <f t="shared" si="3"/>
        <v>0</v>
      </c>
    </row>
    <row r="17" spans="2:28">
      <c r="B17" s="196"/>
      <c r="C17" s="190"/>
      <c r="D17" s="253"/>
      <c r="E17" s="109" t="e">
        <f t="shared" si="4"/>
        <v>#N/A</v>
      </c>
      <c r="F17" s="109" t="e">
        <f t="shared" si="4"/>
        <v>#N/A</v>
      </c>
      <c r="G17" s="109" t="e">
        <f t="shared" si="4"/>
        <v>#N/A</v>
      </c>
      <c r="H17" s="109" t="e">
        <f t="shared" si="4"/>
        <v>#N/A</v>
      </c>
      <c r="I17" s="109" t="e">
        <f t="shared" si="4"/>
        <v>#N/A</v>
      </c>
      <c r="J17" s="109" t="e">
        <f t="shared" si="4"/>
        <v>#N/A</v>
      </c>
      <c r="K17" s="109" t="e">
        <f t="shared" si="4"/>
        <v>#N/A</v>
      </c>
      <c r="L17" s="109" t="e">
        <f t="shared" si="4"/>
        <v>#N/A</v>
      </c>
      <c r="M17" s="109" t="e">
        <f t="shared" si="4"/>
        <v>#N/A</v>
      </c>
      <c r="N17" s="109" t="e">
        <f t="shared" si="4"/>
        <v>#N/A</v>
      </c>
      <c r="O17" s="109" t="e">
        <f t="shared" si="5"/>
        <v>#N/A</v>
      </c>
      <c r="P17" s="109" t="e">
        <f t="shared" si="5"/>
        <v>#N/A</v>
      </c>
      <c r="Q17" s="109" t="e">
        <f t="shared" si="5"/>
        <v>#N/A</v>
      </c>
      <c r="R17" s="109" t="e">
        <f t="shared" si="5"/>
        <v>#N/A</v>
      </c>
      <c r="S17" s="109" t="e">
        <f t="shared" si="5"/>
        <v>#N/A</v>
      </c>
      <c r="T17" s="109" t="e">
        <f t="shared" si="5"/>
        <v>#N/A</v>
      </c>
      <c r="U17" s="109" t="e">
        <f t="shared" si="5"/>
        <v>#N/A</v>
      </c>
      <c r="V17" s="109" t="e">
        <f t="shared" si="5"/>
        <v>#N/A</v>
      </c>
      <c r="W17" s="109" t="e">
        <f t="shared" si="5"/>
        <v>#N/A</v>
      </c>
      <c r="X17" s="109" t="e">
        <f t="shared" si="5"/>
        <v>#N/A</v>
      </c>
      <c r="Y17" s="109" t="e">
        <f t="shared" si="5"/>
        <v>#N/A</v>
      </c>
      <c r="Z17" s="109" t="e">
        <f t="shared" si="5"/>
        <v>#N/A</v>
      </c>
      <c r="AA17" s="172" t="e">
        <f t="shared" si="2"/>
        <v>#N/A</v>
      </c>
      <c r="AB17" s="108">
        <f t="shared" si="3"/>
        <v>0</v>
      </c>
    </row>
    <row r="18" spans="2:28">
      <c r="B18" s="196"/>
      <c r="C18" s="190"/>
      <c r="D18" s="253"/>
      <c r="E18" s="109" t="e">
        <f t="shared" si="4"/>
        <v>#N/A</v>
      </c>
      <c r="F18" s="109" t="e">
        <f t="shared" si="4"/>
        <v>#N/A</v>
      </c>
      <c r="G18" s="109" t="e">
        <f t="shared" si="4"/>
        <v>#N/A</v>
      </c>
      <c r="H18" s="109" t="e">
        <f t="shared" si="4"/>
        <v>#N/A</v>
      </c>
      <c r="I18" s="109" t="e">
        <f t="shared" si="4"/>
        <v>#N/A</v>
      </c>
      <c r="J18" s="109" t="e">
        <f t="shared" si="4"/>
        <v>#N/A</v>
      </c>
      <c r="K18" s="109" t="e">
        <f t="shared" si="4"/>
        <v>#N/A</v>
      </c>
      <c r="L18" s="109" t="e">
        <f t="shared" si="4"/>
        <v>#N/A</v>
      </c>
      <c r="M18" s="109" t="e">
        <f t="shared" si="4"/>
        <v>#N/A</v>
      </c>
      <c r="N18" s="109" t="e">
        <f t="shared" si="4"/>
        <v>#N/A</v>
      </c>
      <c r="O18" s="109" t="e">
        <f t="shared" si="5"/>
        <v>#N/A</v>
      </c>
      <c r="P18" s="109" t="e">
        <f t="shared" si="5"/>
        <v>#N/A</v>
      </c>
      <c r="Q18" s="109" t="e">
        <f t="shared" si="5"/>
        <v>#N/A</v>
      </c>
      <c r="R18" s="109" t="e">
        <f t="shared" si="5"/>
        <v>#N/A</v>
      </c>
      <c r="S18" s="109" t="e">
        <f t="shared" si="5"/>
        <v>#N/A</v>
      </c>
      <c r="T18" s="109" t="e">
        <f t="shared" si="5"/>
        <v>#N/A</v>
      </c>
      <c r="U18" s="109" t="e">
        <f t="shared" si="5"/>
        <v>#N/A</v>
      </c>
      <c r="V18" s="109" t="e">
        <f t="shared" si="5"/>
        <v>#N/A</v>
      </c>
      <c r="W18" s="109" t="e">
        <f t="shared" si="5"/>
        <v>#N/A</v>
      </c>
      <c r="X18" s="109" t="e">
        <f t="shared" si="5"/>
        <v>#N/A</v>
      </c>
      <c r="Y18" s="109" t="e">
        <f t="shared" si="5"/>
        <v>#N/A</v>
      </c>
      <c r="Z18" s="109" t="e">
        <f t="shared" si="5"/>
        <v>#N/A</v>
      </c>
      <c r="AA18" s="172" t="e">
        <f t="shared" si="2"/>
        <v>#N/A</v>
      </c>
      <c r="AB18" s="108">
        <f t="shared" si="3"/>
        <v>0</v>
      </c>
    </row>
    <row r="19" spans="2:28">
      <c r="B19" s="196"/>
      <c r="C19" s="190"/>
      <c r="D19" s="253"/>
      <c r="E19" s="109" t="e">
        <f t="shared" si="4"/>
        <v>#N/A</v>
      </c>
      <c r="F19" s="109" t="e">
        <f t="shared" si="4"/>
        <v>#N/A</v>
      </c>
      <c r="G19" s="109" t="e">
        <f t="shared" si="4"/>
        <v>#N/A</v>
      </c>
      <c r="H19" s="109" t="e">
        <f t="shared" si="4"/>
        <v>#N/A</v>
      </c>
      <c r="I19" s="109" t="e">
        <f t="shared" si="4"/>
        <v>#N/A</v>
      </c>
      <c r="J19" s="109" t="e">
        <f t="shared" si="4"/>
        <v>#N/A</v>
      </c>
      <c r="K19" s="109" t="e">
        <f t="shared" si="4"/>
        <v>#N/A</v>
      </c>
      <c r="L19" s="109" t="e">
        <f t="shared" si="4"/>
        <v>#N/A</v>
      </c>
      <c r="M19" s="109" t="e">
        <f t="shared" si="4"/>
        <v>#N/A</v>
      </c>
      <c r="N19" s="109" t="e">
        <f t="shared" si="4"/>
        <v>#N/A</v>
      </c>
      <c r="O19" s="109" t="e">
        <f t="shared" si="5"/>
        <v>#N/A</v>
      </c>
      <c r="P19" s="109" t="e">
        <f t="shared" si="5"/>
        <v>#N/A</v>
      </c>
      <c r="Q19" s="109" t="e">
        <f t="shared" si="5"/>
        <v>#N/A</v>
      </c>
      <c r="R19" s="109" t="e">
        <f t="shared" si="5"/>
        <v>#N/A</v>
      </c>
      <c r="S19" s="109" t="e">
        <f t="shared" si="5"/>
        <v>#N/A</v>
      </c>
      <c r="T19" s="109" t="e">
        <f t="shared" si="5"/>
        <v>#N/A</v>
      </c>
      <c r="U19" s="109" t="e">
        <f t="shared" si="5"/>
        <v>#N/A</v>
      </c>
      <c r="V19" s="109" t="e">
        <f t="shared" si="5"/>
        <v>#N/A</v>
      </c>
      <c r="W19" s="109" t="e">
        <f t="shared" si="5"/>
        <v>#N/A</v>
      </c>
      <c r="X19" s="109" t="e">
        <f t="shared" si="5"/>
        <v>#N/A</v>
      </c>
      <c r="Y19" s="109" t="e">
        <f t="shared" si="5"/>
        <v>#N/A</v>
      </c>
      <c r="Z19" s="109" t="e">
        <f t="shared" si="5"/>
        <v>#N/A</v>
      </c>
      <c r="AA19" s="172" t="e">
        <f t="shared" si="2"/>
        <v>#N/A</v>
      </c>
      <c r="AB19" s="108">
        <f>C19</f>
        <v>0</v>
      </c>
    </row>
    <row r="20" spans="2:28" ht="13.5" thickBot="1">
      <c r="B20" s="196"/>
      <c r="C20" s="190"/>
      <c r="D20" s="253"/>
      <c r="E20" s="109" t="e">
        <f t="shared" si="4"/>
        <v>#N/A</v>
      </c>
      <c r="F20" s="109" t="e">
        <f t="shared" si="4"/>
        <v>#N/A</v>
      </c>
      <c r="G20" s="109" t="e">
        <f t="shared" si="4"/>
        <v>#N/A</v>
      </c>
      <c r="H20" s="109" t="e">
        <f t="shared" si="4"/>
        <v>#N/A</v>
      </c>
      <c r="I20" s="109" t="e">
        <f t="shared" si="4"/>
        <v>#N/A</v>
      </c>
      <c r="J20" s="109" t="e">
        <f t="shared" si="4"/>
        <v>#N/A</v>
      </c>
      <c r="K20" s="109" t="e">
        <f t="shared" si="4"/>
        <v>#N/A</v>
      </c>
      <c r="L20" s="109" t="e">
        <f t="shared" si="4"/>
        <v>#N/A</v>
      </c>
      <c r="M20" s="109" t="e">
        <f t="shared" si="4"/>
        <v>#N/A</v>
      </c>
      <c r="N20" s="109" t="e">
        <f t="shared" si="4"/>
        <v>#N/A</v>
      </c>
      <c r="O20" s="109" t="e">
        <f t="shared" si="5"/>
        <v>#N/A</v>
      </c>
      <c r="P20" s="109" t="e">
        <f t="shared" si="5"/>
        <v>#N/A</v>
      </c>
      <c r="Q20" s="109" t="e">
        <f t="shared" si="5"/>
        <v>#N/A</v>
      </c>
      <c r="R20" s="109" t="e">
        <f t="shared" si="5"/>
        <v>#N/A</v>
      </c>
      <c r="S20" s="109" t="e">
        <f t="shared" si="5"/>
        <v>#N/A</v>
      </c>
      <c r="T20" s="109" t="e">
        <f t="shared" si="5"/>
        <v>#N/A</v>
      </c>
      <c r="U20" s="109" t="e">
        <f t="shared" si="5"/>
        <v>#N/A</v>
      </c>
      <c r="V20" s="109" t="e">
        <f t="shared" si="5"/>
        <v>#N/A</v>
      </c>
      <c r="W20" s="109" t="e">
        <f t="shared" si="5"/>
        <v>#N/A</v>
      </c>
      <c r="X20" s="109" t="e">
        <f t="shared" si="5"/>
        <v>#N/A</v>
      </c>
      <c r="Y20" s="109" t="e">
        <f t="shared" si="5"/>
        <v>#N/A</v>
      </c>
      <c r="Z20" s="109" t="e">
        <f t="shared" si="5"/>
        <v>#N/A</v>
      </c>
      <c r="AA20" s="172" t="e">
        <f t="shared" si="2"/>
        <v>#N/A</v>
      </c>
      <c r="AB20" s="108">
        <f>C20</f>
        <v>0</v>
      </c>
    </row>
    <row r="21" spans="2:28" s="158" customFormat="1">
      <c r="B21" s="197"/>
      <c r="C21" s="191"/>
      <c r="D21" s="254"/>
      <c r="E21" s="167"/>
      <c r="F21" s="167"/>
      <c r="G21" s="167"/>
      <c r="H21" s="167"/>
      <c r="I21" s="167"/>
      <c r="J21" s="167"/>
      <c r="K21" s="167"/>
      <c r="L21" s="167"/>
      <c r="M21" s="167"/>
      <c r="N21" s="167"/>
      <c r="O21" s="167"/>
      <c r="P21" s="167"/>
      <c r="Q21" s="167"/>
      <c r="R21" s="167"/>
      <c r="S21" s="167"/>
      <c r="T21" s="167"/>
      <c r="U21" s="167"/>
      <c r="V21" s="167"/>
      <c r="W21" s="167"/>
      <c r="X21" s="167"/>
      <c r="Y21" s="167"/>
      <c r="Z21" s="167"/>
      <c r="AA21" s="221">
        <f t="shared" si="2"/>
        <v>0</v>
      </c>
    </row>
    <row r="22" spans="2:28" s="112" customFormat="1">
      <c r="B22" s="198"/>
      <c r="C22" s="192"/>
      <c r="D22" s="192"/>
      <c r="E22" s="159" t="e">
        <f t="shared" ref="E22:AA22" si="6">SUM(E4:E21)</f>
        <v>#N/A</v>
      </c>
      <c r="F22" s="159" t="e">
        <f t="shared" ref="F22" si="7">SUM(F4:F21)</f>
        <v>#N/A</v>
      </c>
      <c r="G22" s="159" t="e">
        <f>SUM(G4:G21)</f>
        <v>#N/A</v>
      </c>
      <c r="H22" s="159" t="e">
        <f t="shared" si="6"/>
        <v>#N/A</v>
      </c>
      <c r="I22" s="159" t="e">
        <f t="shared" si="6"/>
        <v>#N/A</v>
      </c>
      <c r="J22" s="159" t="e">
        <f t="shared" si="6"/>
        <v>#N/A</v>
      </c>
      <c r="K22" s="159" t="e">
        <f t="shared" si="6"/>
        <v>#N/A</v>
      </c>
      <c r="L22" s="159" t="e">
        <f t="shared" si="6"/>
        <v>#N/A</v>
      </c>
      <c r="M22" s="159" t="e">
        <f t="shared" si="6"/>
        <v>#N/A</v>
      </c>
      <c r="N22" s="159" t="e">
        <f t="shared" si="6"/>
        <v>#N/A</v>
      </c>
      <c r="O22" s="159" t="e">
        <f t="shared" si="6"/>
        <v>#N/A</v>
      </c>
      <c r="P22" s="159" t="e">
        <f t="shared" si="6"/>
        <v>#N/A</v>
      </c>
      <c r="Q22" s="159" t="e">
        <f t="shared" si="6"/>
        <v>#N/A</v>
      </c>
      <c r="R22" s="159" t="e">
        <f t="shared" si="6"/>
        <v>#N/A</v>
      </c>
      <c r="S22" s="159" t="e">
        <f t="shared" si="6"/>
        <v>#N/A</v>
      </c>
      <c r="T22" s="159" t="e">
        <f t="shared" si="6"/>
        <v>#N/A</v>
      </c>
      <c r="U22" s="159" t="e">
        <f t="shared" si="6"/>
        <v>#N/A</v>
      </c>
      <c r="V22" s="159" t="e">
        <f t="shared" si="6"/>
        <v>#N/A</v>
      </c>
      <c r="W22" s="159" t="e">
        <f t="shared" si="6"/>
        <v>#N/A</v>
      </c>
      <c r="X22" s="159" t="e">
        <f t="shared" si="6"/>
        <v>#N/A</v>
      </c>
      <c r="Y22" s="159" t="e">
        <f t="shared" si="6"/>
        <v>#N/A</v>
      </c>
      <c r="Z22" s="159" t="e">
        <f t="shared" si="6"/>
        <v>#N/A</v>
      </c>
      <c r="AA22" s="222" t="e">
        <f t="shared" si="6"/>
        <v>#N/A</v>
      </c>
    </row>
    <row r="23" spans="2:28" s="160" customFormat="1">
      <c r="B23" s="199"/>
      <c r="C23" s="193"/>
      <c r="D23" s="19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2:28" s="162" customFormat="1">
      <c r="B24" s="196"/>
      <c r="C24" s="194"/>
      <c r="D24" s="194"/>
      <c r="E24" s="179" t="e">
        <f t="shared" ref="E24:Z26" si="8">INDEX(scorematrix,MATCH($C24,renners,0),MATCH(E$3,etappes,0))</f>
        <v>#N/A</v>
      </c>
      <c r="F24" s="179" t="e">
        <f t="shared" si="8"/>
        <v>#N/A</v>
      </c>
      <c r="G24" s="179" t="e">
        <f t="shared" si="8"/>
        <v>#N/A</v>
      </c>
      <c r="H24" s="179" t="e">
        <f t="shared" si="8"/>
        <v>#N/A</v>
      </c>
      <c r="I24" s="179" t="e">
        <f t="shared" si="8"/>
        <v>#N/A</v>
      </c>
      <c r="J24" s="179" t="e">
        <f t="shared" si="8"/>
        <v>#N/A</v>
      </c>
      <c r="K24" s="179" t="e">
        <f t="shared" si="8"/>
        <v>#N/A</v>
      </c>
      <c r="L24" s="179" t="e">
        <f t="shared" si="8"/>
        <v>#N/A</v>
      </c>
      <c r="M24" s="220" t="e">
        <f t="shared" si="8"/>
        <v>#N/A</v>
      </c>
      <c r="N24" s="179" t="e">
        <f t="shared" si="8"/>
        <v>#N/A</v>
      </c>
      <c r="O24" s="179" t="e">
        <f t="shared" si="8"/>
        <v>#N/A</v>
      </c>
      <c r="P24" s="179" t="e">
        <f t="shared" si="8"/>
        <v>#N/A</v>
      </c>
      <c r="Q24" s="179" t="e">
        <f t="shared" si="8"/>
        <v>#N/A</v>
      </c>
      <c r="R24" s="179" t="e">
        <f t="shared" si="8"/>
        <v>#N/A</v>
      </c>
      <c r="S24" s="179" t="e">
        <f t="shared" si="8"/>
        <v>#N/A</v>
      </c>
      <c r="T24" s="179" t="e">
        <f t="shared" si="8"/>
        <v>#N/A</v>
      </c>
      <c r="U24" s="179" t="e">
        <f t="shared" si="8"/>
        <v>#N/A</v>
      </c>
      <c r="V24" s="179" t="e">
        <f t="shared" si="8"/>
        <v>#N/A</v>
      </c>
      <c r="W24" s="179" t="e">
        <f t="shared" si="8"/>
        <v>#N/A</v>
      </c>
      <c r="X24" s="179" t="e">
        <f t="shared" si="8"/>
        <v>#N/A</v>
      </c>
      <c r="Y24" s="179" t="e">
        <f t="shared" si="8"/>
        <v>#N/A</v>
      </c>
      <c r="Z24" s="179" t="e">
        <f t="shared" si="8"/>
        <v>#N/A</v>
      </c>
      <c r="AA24" s="224" t="e">
        <f>SUM(E24:Z24)</f>
        <v>#N/A</v>
      </c>
    </row>
    <row r="25" spans="2:28" s="162" customFormat="1">
      <c r="B25" s="196"/>
      <c r="C25" s="194"/>
      <c r="D25" s="194"/>
      <c r="E25" s="179" t="e">
        <f t="shared" si="8"/>
        <v>#N/A</v>
      </c>
      <c r="F25" s="179" t="e">
        <f t="shared" si="8"/>
        <v>#N/A</v>
      </c>
      <c r="G25" s="179" t="e">
        <f t="shared" si="8"/>
        <v>#N/A</v>
      </c>
      <c r="H25" s="179" t="e">
        <f t="shared" si="8"/>
        <v>#N/A</v>
      </c>
      <c r="I25" s="179" t="e">
        <f t="shared" si="8"/>
        <v>#N/A</v>
      </c>
      <c r="J25" s="179" t="e">
        <f t="shared" si="8"/>
        <v>#N/A</v>
      </c>
      <c r="K25" s="179" t="e">
        <f t="shared" si="8"/>
        <v>#N/A</v>
      </c>
      <c r="L25" s="179" t="e">
        <f t="shared" si="8"/>
        <v>#N/A</v>
      </c>
      <c r="M25" s="179" t="e">
        <f t="shared" si="8"/>
        <v>#N/A</v>
      </c>
      <c r="N25" s="179" t="e">
        <f t="shared" si="8"/>
        <v>#N/A</v>
      </c>
      <c r="O25" s="179" t="e">
        <f t="shared" si="8"/>
        <v>#N/A</v>
      </c>
      <c r="P25" s="179" t="e">
        <f t="shared" si="8"/>
        <v>#N/A</v>
      </c>
      <c r="Q25" s="179" t="e">
        <f t="shared" si="8"/>
        <v>#N/A</v>
      </c>
      <c r="R25" s="179" t="e">
        <f t="shared" si="8"/>
        <v>#N/A</v>
      </c>
      <c r="S25" s="179" t="e">
        <f t="shared" si="8"/>
        <v>#N/A</v>
      </c>
      <c r="T25" s="179" t="e">
        <f t="shared" si="8"/>
        <v>#N/A</v>
      </c>
      <c r="U25" s="179" t="e">
        <f t="shared" si="8"/>
        <v>#N/A</v>
      </c>
      <c r="V25" s="179" t="e">
        <f t="shared" si="8"/>
        <v>#N/A</v>
      </c>
      <c r="W25" s="179" t="e">
        <f t="shared" si="8"/>
        <v>#N/A</v>
      </c>
      <c r="X25" s="179" t="e">
        <f t="shared" si="8"/>
        <v>#N/A</v>
      </c>
      <c r="Y25" s="179" t="e">
        <f t="shared" si="8"/>
        <v>#N/A</v>
      </c>
      <c r="Z25" s="179" t="e">
        <f t="shared" si="8"/>
        <v>#N/A</v>
      </c>
      <c r="AA25" s="224" t="e">
        <f>SUM(E25:Z25)</f>
        <v>#N/A</v>
      </c>
    </row>
    <row r="26" spans="2:28" s="162" customFormat="1">
      <c r="B26" s="196"/>
      <c r="C26" s="194"/>
      <c r="D26" s="194"/>
      <c r="E26" s="179" t="e">
        <f t="shared" si="8"/>
        <v>#N/A</v>
      </c>
      <c r="F26" s="179" t="e">
        <f t="shared" si="8"/>
        <v>#N/A</v>
      </c>
      <c r="G26" s="179" t="e">
        <f t="shared" si="8"/>
        <v>#N/A</v>
      </c>
      <c r="H26" s="179" t="e">
        <f t="shared" si="8"/>
        <v>#N/A</v>
      </c>
      <c r="I26" s="179" t="e">
        <f t="shared" si="8"/>
        <v>#N/A</v>
      </c>
      <c r="J26" s="179" t="e">
        <f t="shared" si="8"/>
        <v>#N/A</v>
      </c>
      <c r="K26" s="179" t="e">
        <f t="shared" si="8"/>
        <v>#N/A</v>
      </c>
      <c r="L26" s="179" t="e">
        <f t="shared" si="8"/>
        <v>#N/A</v>
      </c>
      <c r="M26" s="179" t="e">
        <f t="shared" si="8"/>
        <v>#N/A</v>
      </c>
      <c r="N26" s="179" t="e">
        <f t="shared" si="8"/>
        <v>#N/A</v>
      </c>
      <c r="O26" s="179" t="e">
        <f t="shared" si="8"/>
        <v>#N/A</v>
      </c>
      <c r="P26" s="179" t="e">
        <f t="shared" si="8"/>
        <v>#N/A</v>
      </c>
      <c r="Q26" s="179" t="e">
        <f t="shared" si="8"/>
        <v>#N/A</v>
      </c>
      <c r="R26" s="179" t="e">
        <f t="shared" si="8"/>
        <v>#N/A</v>
      </c>
      <c r="S26" s="179" t="e">
        <f t="shared" si="8"/>
        <v>#N/A</v>
      </c>
      <c r="T26" s="179" t="e">
        <f t="shared" si="8"/>
        <v>#N/A</v>
      </c>
      <c r="U26" s="179" t="e">
        <f t="shared" si="8"/>
        <v>#N/A</v>
      </c>
      <c r="V26" s="179" t="e">
        <f t="shared" si="8"/>
        <v>#N/A</v>
      </c>
      <c r="W26" s="179" t="e">
        <f t="shared" si="8"/>
        <v>#N/A</v>
      </c>
      <c r="X26" s="179" t="e">
        <f t="shared" si="8"/>
        <v>#N/A</v>
      </c>
      <c r="Y26" s="179" t="e">
        <f t="shared" si="8"/>
        <v>#N/A</v>
      </c>
      <c r="Z26" s="179" t="e">
        <f t="shared" si="8"/>
        <v>#N/A</v>
      </c>
      <c r="AA26" s="224" t="e">
        <f>SUM(E26:Z26)</f>
        <v>#N/A</v>
      </c>
    </row>
    <row r="28" spans="2:28">
      <c r="B28" s="108" t="s">
        <v>98</v>
      </c>
    </row>
    <row r="29" spans="2:28">
      <c r="B29" s="201" t="s">
        <v>96</v>
      </c>
      <c r="C29" s="202" t="s">
        <v>77</v>
      </c>
      <c r="D29" s="255"/>
    </row>
  </sheetData>
  <phoneticPr fontId="0"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sheetPr codeName="Blad16">
    <tabColor indexed="12"/>
  </sheetPr>
  <dimension ref="C1:AB71"/>
  <sheetViews>
    <sheetView showZeros="0" workbookViewId="0">
      <selection activeCell="Y31" sqref="Y31"/>
    </sheetView>
  </sheetViews>
  <sheetFormatPr defaultRowHeight="12.75"/>
  <cols>
    <col min="1" max="1" width="2.7109375" customWidth="1"/>
    <col min="2" max="2" width="3.42578125" customWidth="1"/>
    <col min="3" max="4" width="12.28515625" style="47" customWidth="1"/>
    <col min="5" max="6" width="5.28515625" style="2" customWidth="1"/>
    <col min="7" max="7" width="5.42578125" style="5" customWidth="1"/>
    <col min="8" max="15" width="5.42578125" style="3" customWidth="1"/>
    <col min="16" max="16" width="5.42578125" style="4" customWidth="1"/>
    <col min="17" max="26" width="5.42578125" customWidth="1"/>
    <col min="27" max="27" width="6.28515625" style="1" customWidth="1"/>
    <col min="28" max="28" width="15" customWidth="1"/>
  </cols>
  <sheetData>
    <row r="1" spans="3:28">
      <c r="C1" s="1" t="s">
        <v>42</v>
      </c>
      <c r="D1" s="1"/>
    </row>
    <row r="2" spans="3:28">
      <c r="G2" s="3"/>
    </row>
    <row r="3" spans="3:28" s="4" customFormat="1" ht="13.5" thickBot="1">
      <c r="C3" s="30"/>
      <c r="D3" s="35"/>
      <c r="E3" s="9">
        <f>Score!C1</f>
        <v>1</v>
      </c>
      <c r="F3" s="9">
        <f>Score!E1</f>
        <v>3</v>
      </c>
      <c r="G3" s="9">
        <f>Score!F1</f>
        <v>4</v>
      </c>
      <c r="H3" s="9">
        <f>Score!G1</f>
        <v>5</v>
      </c>
      <c r="I3" s="9">
        <f>Score!H1</f>
        <v>6</v>
      </c>
      <c r="J3" s="9">
        <f>Score!I1</f>
        <v>7</v>
      </c>
      <c r="K3" s="9">
        <f>Score!J1</f>
        <v>8</v>
      </c>
      <c r="L3" s="9">
        <f>Score!K1</f>
        <v>9</v>
      </c>
      <c r="M3" s="9">
        <f>Score!L1</f>
        <v>10</v>
      </c>
      <c r="N3" s="9">
        <f>Score!M1</f>
        <v>11</v>
      </c>
      <c r="O3" s="9">
        <f>Score!N1</f>
        <v>12</v>
      </c>
      <c r="P3" s="9">
        <f>Score!O1</f>
        <v>13</v>
      </c>
      <c r="Q3" s="9">
        <f>Score!P1</f>
        <v>14</v>
      </c>
      <c r="R3" s="9">
        <f>Score!Q1</f>
        <v>15</v>
      </c>
      <c r="S3" s="9">
        <f>Score!R1</f>
        <v>16</v>
      </c>
      <c r="T3" s="9">
        <f>Score!S1</f>
        <v>17</v>
      </c>
      <c r="U3" s="9">
        <f>Score!T1</f>
        <v>18</v>
      </c>
      <c r="V3" s="9">
        <f>Score!U1</f>
        <v>19</v>
      </c>
      <c r="W3" s="9">
        <f>Score!V1</f>
        <v>20</v>
      </c>
      <c r="X3" s="9">
        <f>Score!W1</f>
        <v>21</v>
      </c>
      <c r="Y3" s="9" t="e">
        <f>Score!#REF!</f>
        <v>#REF!</v>
      </c>
      <c r="Z3" s="9" t="s">
        <v>2</v>
      </c>
      <c r="AA3" s="7"/>
    </row>
    <row r="4" spans="3:28">
      <c r="C4"/>
      <c r="D4"/>
      <c r="E4" s="2" t="e">
        <f>VLOOKUP($C4,Score!$B$2:$X$78,2,0)</f>
        <v>#N/A</v>
      </c>
      <c r="F4" s="2" t="e">
        <f>VLOOKUP($C4,Score!$B$2:$X$78,3,0)</f>
        <v>#N/A</v>
      </c>
      <c r="G4" s="2" t="e">
        <f>VLOOKUP($C4,Score!$B$2:$X$78,4,0)</f>
        <v>#N/A</v>
      </c>
      <c r="H4" s="2" t="e">
        <f>VLOOKUP($C4,Score!$B$2:$X$78,5,0)</f>
        <v>#N/A</v>
      </c>
      <c r="I4" s="2" t="e">
        <f>VLOOKUP($C4,Score!$B$2:$X$78,6,0)</f>
        <v>#N/A</v>
      </c>
      <c r="J4" s="2" t="e">
        <f>VLOOKUP($C4,Score!$B$2:$X$78,7,0)</f>
        <v>#N/A</v>
      </c>
      <c r="K4" s="2" t="e">
        <f>VLOOKUP($C4,Score!$B$2:$X$78,8,0)</f>
        <v>#N/A</v>
      </c>
      <c r="L4" s="2" t="e">
        <f>VLOOKUP($C4,Score!$B$2:$X$78,9,0)</f>
        <v>#N/A</v>
      </c>
      <c r="M4" s="2" t="e">
        <f>VLOOKUP($C4,Score!$B$2:$X$78,10,0)</f>
        <v>#N/A</v>
      </c>
      <c r="N4" s="2" t="e">
        <f>VLOOKUP($C4,Score!$B$2:$X$78,11,0)</f>
        <v>#N/A</v>
      </c>
      <c r="O4" s="2" t="e">
        <f>VLOOKUP($C4,Score!$B$2:$X$78,12,0)</f>
        <v>#N/A</v>
      </c>
      <c r="P4" s="2" t="e">
        <f>VLOOKUP($C4,Score!$B$2:$X$78,13,0)</f>
        <v>#N/A</v>
      </c>
      <c r="Q4" s="2" t="e">
        <f>VLOOKUP($C4,Score!$B$2:$X$78,14,0)</f>
        <v>#N/A</v>
      </c>
      <c r="R4" s="2" t="e">
        <f>VLOOKUP($C4,Score!$B$2:$X$78,15,0)</f>
        <v>#N/A</v>
      </c>
      <c r="S4" s="2" t="e">
        <f>VLOOKUP($C4,Score!$B$2:$X$78,16,0)</f>
        <v>#N/A</v>
      </c>
      <c r="T4" s="2" t="e">
        <f>VLOOKUP($C4,Score!$B$2:$X$78,17,0)</f>
        <v>#N/A</v>
      </c>
      <c r="U4" s="2" t="e">
        <f>VLOOKUP($C4,Score!$B$2:$X$78,18,0)</f>
        <v>#N/A</v>
      </c>
      <c r="V4" s="2" t="e">
        <f>VLOOKUP($C4,Score!$B$2:$X$78,19,0)</f>
        <v>#N/A</v>
      </c>
      <c r="W4" s="2" t="e">
        <f>VLOOKUP($C4,Score!$B$2:$X$78,20,0)</f>
        <v>#N/A</v>
      </c>
      <c r="X4" s="2" t="e">
        <f>VLOOKUP($C4,Score!$B$2:$Z$77,21,0)</f>
        <v>#N/A</v>
      </c>
      <c r="Y4" s="2" t="e">
        <f>VLOOKUP($C4,Score!$B$2:$Z$77,22,0)</f>
        <v>#N/A</v>
      </c>
      <c r="Z4" s="2" t="e">
        <f>VLOOKUP($C4,Score!$B$2:$Z$77,24,0)</f>
        <v>#N/A</v>
      </c>
      <c r="AA4" s="6" t="e">
        <f t="shared" ref="AA4:AA20" si="0">SUM(E4:Z4)</f>
        <v>#N/A</v>
      </c>
      <c r="AB4">
        <f t="shared" ref="AB4:AB20" si="1">C4</f>
        <v>0</v>
      </c>
    </row>
    <row r="5" spans="3:28">
      <c r="C5"/>
      <c r="D5"/>
      <c r="E5" s="2" t="e">
        <f>VLOOKUP($C5,Score!$B$2:$X$78,2,0)</f>
        <v>#N/A</v>
      </c>
      <c r="F5" s="2" t="e">
        <f>VLOOKUP($C5,Score!$B$2:$X$78,3,0)</f>
        <v>#N/A</v>
      </c>
      <c r="G5" s="2" t="e">
        <f>VLOOKUP($C5,Score!$B$2:$X$78,4,0)</f>
        <v>#N/A</v>
      </c>
      <c r="H5" s="2" t="e">
        <f>VLOOKUP($C5,Score!$B$2:$X$78,5,0)</f>
        <v>#N/A</v>
      </c>
      <c r="I5" s="2" t="e">
        <f>VLOOKUP($C5,Score!$B$2:$X$78,6,0)</f>
        <v>#N/A</v>
      </c>
      <c r="J5" s="2" t="e">
        <f>VLOOKUP($C5,Score!$B$2:$X$78,7,0)</f>
        <v>#N/A</v>
      </c>
      <c r="K5" s="2" t="e">
        <f>VLOOKUP($C5,Score!$B$2:$X$78,8,0)</f>
        <v>#N/A</v>
      </c>
      <c r="L5" s="2" t="e">
        <f>VLOOKUP($C5,Score!$B$2:$X$78,9,0)</f>
        <v>#N/A</v>
      </c>
      <c r="M5" s="2" t="e">
        <f>VLOOKUP($C5,Score!$B$2:$X$78,10,0)</f>
        <v>#N/A</v>
      </c>
      <c r="N5" s="2" t="e">
        <f>VLOOKUP($C5,Score!$B$2:$X$78,11,0)</f>
        <v>#N/A</v>
      </c>
      <c r="O5" s="2" t="e">
        <f>VLOOKUP($C5,Score!$B$2:$X$78,12,0)</f>
        <v>#N/A</v>
      </c>
      <c r="P5" s="2" t="e">
        <f>VLOOKUP($C5,Score!$B$2:$X$78,13,0)</f>
        <v>#N/A</v>
      </c>
      <c r="Q5" s="2" t="e">
        <f>VLOOKUP($C5,Score!$B$2:$X$78,14,0)</f>
        <v>#N/A</v>
      </c>
      <c r="R5" s="2" t="e">
        <f>VLOOKUP($C5,Score!$B$2:$X$78,15,0)</f>
        <v>#N/A</v>
      </c>
      <c r="S5" s="2" t="e">
        <f>VLOOKUP($C5,Score!$B$2:$X$78,16,0)</f>
        <v>#N/A</v>
      </c>
      <c r="T5" s="2" t="e">
        <f>VLOOKUP($C5,Score!$B$2:$X$78,17,0)</f>
        <v>#N/A</v>
      </c>
      <c r="U5" s="2" t="e">
        <f>VLOOKUP($C5,Score!$B$2:$X$78,18,0)</f>
        <v>#N/A</v>
      </c>
      <c r="V5" s="2" t="e">
        <f>VLOOKUP($C5,Score!$B$2:$X$78,19,0)</f>
        <v>#N/A</v>
      </c>
      <c r="W5" s="2" t="e">
        <f>VLOOKUP($C5,Score!$B$2:$X$78,20,0)</f>
        <v>#N/A</v>
      </c>
      <c r="X5" s="2" t="e">
        <f>VLOOKUP($C5,Score!$B$2:$Z$77,21,0)</f>
        <v>#N/A</v>
      </c>
      <c r="Y5" s="2" t="e">
        <f>VLOOKUP($C5,Score!$B$2:$Z$77,22,0)</f>
        <v>#N/A</v>
      </c>
      <c r="Z5" s="2" t="e">
        <f>VLOOKUP($C5,Score!$B$2:$Z$77,24,0)</f>
        <v>#N/A</v>
      </c>
      <c r="AA5" s="6" t="e">
        <f t="shared" si="0"/>
        <v>#N/A</v>
      </c>
      <c r="AB5">
        <f t="shared" si="1"/>
        <v>0</v>
      </c>
    </row>
    <row r="6" spans="3:28">
      <c r="C6"/>
      <c r="D6"/>
      <c r="E6" s="2" t="e">
        <f>VLOOKUP($C6,Score!$B$2:$X$78,2,0)</f>
        <v>#N/A</v>
      </c>
      <c r="F6" s="2" t="e">
        <f>VLOOKUP($C6,Score!$B$2:$X$78,3,0)</f>
        <v>#N/A</v>
      </c>
      <c r="G6" s="2" t="e">
        <f>VLOOKUP($C6,Score!$B$2:$X$78,4,0)</f>
        <v>#N/A</v>
      </c>
      <c r="H6" s="2" t="e">
        <f>VLOOKUP($C6,Score!$B$2:$X$78,5,0)</f>
        <v>#N/A</v>
      </c>
      <c r="I6" s="2" t="e">
        <f>VLOOKUP($C6,Score!$B$2:$X$78,6,0)</f>
        <v>#N/A</v>
      </c>
      <c r="J6" s="2" t="e">
        <f>VLOOKUP($C6,Score!$B$2:$X$78,7,0)</f>
        <v>#N/A</v>
      </c>
      <c r="K6" s="2" t="e">
        <f>VLOOKUP($C6,Score!$B$2:$X$78,8,0)</f>
        <v>#N/A</v>
      </c>
      <c r="L6" s="2" t="e">
        <f>VLOOKUP($C6,Score!$B$2:$X$78,9,0)</f>
        <v>#N/A</v>
      </c>
      <c r="M6" s="2" t="e">
        <f>VLOOKUP($C6,Score!$B$2:$X$78,10,0)</f>
        <v>#N/A</v>
      </c>
      <c r="N6" s="2" t="e">
        <f>VLOOKUP($C6,Score!$B$2:$X$78,11,0)</f>
        <v>#N/A</v>
      </c>
      <c r="O6" s="2" t="e">
        <f>VLOOKUP($C6,Score!$B$2:$X$78,12,0)</f>
        <v>#N/A</v>
      </c>
      <c r="P6" s="2" t="e">
        <f>VLOOKUP($C6,Score!$B$2:$X$78,13,0)</f>
        <v>#N/A</v>
      </c>
      <c r="Q6" s="2" t="e">
        <f>VLOOKUP($C6,Score!$B$2:$X$78,14,0)</f>
        <v>#N/A</v>
      </c>
      <c r="R6" s="2" t="e">
        <f>VLOOKUP($C6,Score!$B$2:$X$78,15,0)</f>
        <v>#N/A</v>
      </c>
      <c r="S6" s="2" t="e">
        <f>VLOOKUP($C6,Score!$B$2:$X$78,16,0)</f>
        <v>#N/A</v>
      </c>
      <c r="T6" s="2" t="e">
        <f>VLOOKUP($C6,Score!$B$2:$X$78,17,0)</f>
        <v>#N/A</v>
      </c>
      <c r="U6" s="2" t="e">
        <f>VLOOKUP($C6,Score!$B$2:$X$78,18,0)</f>
        <v>#N/A</v>
      </c>
      <c r="V6" s="2" t="e">
        <f>VLOOKUP($C6,Score!$B$2:$X$78,19,0)</f>
        <v>#N/A</v>
      </c>
      <c r="W6" s="2" t="e">
        <f>VLOOKUP($C6,Score!$B$2:$X$78,20,0)</f>
        <v>#N/A</v>
      </c>
      <c r="X6" s="2" t="e">
        <f>VLOOKUP($C6,Score!$B$2:$Z$77,21,0)</f>
        <v>#N/A</v>
      </c>
      <c r="Y6" s="2" t="e">
        <f>VLOOKUP($C6,Score!$B$2:$Z$77,22,0)</f>
        <v>#N/A</v>
      </c>
      <c r="Z6" s="2" t="e">
        <f>VLOOKUP($C6,Score!$B$2:$Z$77,24,0)</f>
        <v>#N/A</v>
      </c>
      <c r="AA6" s="6" t="e">
        <f t="shared" si="0"/>
        <v>#N/A</v>
      </c>
      <c r="AB6">
        <f t="shared" si="1"/>
        <v>0</v>
      </c>
    </row>
    <row r="7" spans="3:28">
      <c r="C7"/>
      <c r="D7"/>
      <c r="E7" s="2" t="e">
        <f>VLOOKUP($C7,Score!$B$2:$X$78,2,0)</f>
        <v>#N/A</v>
      </c>
      <c r="F7" s="2" t="e">
        <f>VLOOKUP($C7,Score!$B$2:$X$78,3,0)</f>
        <v>#N/A</v>
      </c>
      <c r="G7" s="2" t="e">
        <f>VLOOKUP($C7,Score!$B$2:$X$78,4,0)</f>
        <v>#N/A</v>
      </c>
      <c r="H7" s="2" t="e">
        <f>VLOOKUP($C7,Score!$B$2:$X$78,5,0)</f>
        <v>#N/A</v>
      </c>
      <c r="I7" s="2" t="e">
        <f>VLOOKUP($C7,Score!$B$2:$X$78,6,0)</f>
        <v>#N/A</v>
      </c>
      <c r="J7" s="2" t="e">
        <f>VLOOKUP($C7,Score!$B$2:$X$78,7,0)</f>
        <v>#N/A</v>
      </c>
      <c r="K7" s="2" t="e">
        <f>VLOOKUP($C7,Score!$B$2:$X$78,8,0)</f>
        <v>#N/A</v>
      </c>
      <c r="L7" s="2" t="e">
        <f>VLOOKUP($C7,Score!$B$2:$X$78,9,0)</f>
        <v>#N/A</v>
      </c>
      <c r="M7" s="2" t="e">
        <f>VLOOKUP($C7,Score!$B$2:$X$78,10,0)</f>
        <v>#N/A</v>
      </c>
      <c r="N7" s="2" t="e">
        <f>VLOOKUP($C7,Score!$B$2:$X$78,11,0)</f>
        <v>#N/A</v>
      </c>
      <c r="O7" s="2" t="e">
        <f>VLOOKUP($C7,Score!$B$2:$X$78,12,0)</f>
        <v>#N/A</v>
      </c>
      <c r="P7" s="2" t="e">
        <f>VLOOKUP($C7,Score!$B$2:$X$78,13,0)</f>
        <v>#N/A</v>
      </c>
      <c r="Q7" s="2" t="e">
        <f>VLOOKUP($C7,Score!$B$2:$X$78,14,0)</f>
        <v>#N/A</v>
      </c>
      <c r="R7" s="2" t="e">
        <f>VLOOKUP($C7,Score!$B$2:$X$78,15,0)</f>
        <v>#N/A</v>
      </c>
      <c r="S7" s="2" t="e">
        <f>VLOOKUP($C7,Score!$B$2:$X$78,16,0)</f>
        <v>#N/A</v>
      </c>
      <c r="T7" s="2" t="e">
        <f>VLOOKUP($C7,Score!$B$2:$X$78,17,0)</f>
        <v>#N/A</v>
      </c>
      <c r="U7" s="2" t="e">
        <f>VLOOKUP($C7,Score!$B$2:$X$78,18,0)</f>
        <v>#N/A</v>
      </c>
      <c r="V7" s="2" t="e">
        <f>VLOOKUP($C7,Score!$B$2:$X$78,19,0)</f>
        <v>#N/A</v>
      </c>
      <c r="W7" s="2" t="e">
        <f>VLOOKUP($C7,Score!$B$2:$X$78,20,0)</f>
        <v>#N/A</v>
      </c>
      <c r="X7" s="2" t="e">
        <f>VLOOKUP($C7,Score!$B$2:$Z$77,21,0)</f>
        <v>#N/A</v>
      </c>
      <c r="Y7" s="2" t="e">
        <f>VLOOKUP($C7,Score!$B$2:$Z$77,22,0)</f>
        <v>#N/A</v>
      </c>
      <c r="Z7" s="2" t="e">
        <f>VLOOKUP($C7,Score!$B$2:$Z$77,24,0)</f>
        <v>#N/A</v>
      </c>
      <c r="AA7" s="6" t="e">
        <f t="shared" si="0"/>
        <v>#N/A</v>
      </c>
      <c r="AB7">
        <f t="shared" si="1"/>
        <v>0</v>
      </c>
    </row>
    <row r="8" spans="3:28">
      <c r="C8"/>
      <c r="D8"/>
      <c r="E8" s="2" t="e">
        <f>VLOOKUP($C8,Score!$B$2:$X$78,2,0)</f>
        <v>#N/A</v>
      </c>
      <c r="F8" s="2" t="e">
        <f>VLOOKUP($C8,Score!$B$2:$X$78,3,0)</f>
        <v>#N/A</v>
      </c>
      <c r="G8" s="2" t="e">
        <f>VLOOKUP($C8,Score!$B$2:$X$78,4,0)</f>
        <v>#N/A</v>
      </c>
      <c r="H8" s="2" t="e">
        <f>VLOOKUP($C8,Score!$B$2:$X$78,5,0)</f>
        <v>#N/A</v>
      </c>
      <c r="I8" s="2" t="e">
        <f>VLOOKUP($C8,Score!$B$2:$X$78,6,0)</f>
        <v>#N/A</v>
      </c>
      <c r="J8" s="2" t="e">
        <f>VLOOKUP($C8,Score!$B$2:$X$78,7,0)</f>
        <v>#N/A</v>
      </c>
      <c r="K8" s="2" t="e">
        <f>VLOOKUP($C8,Score!$B$2:$X$78,8,0)</f>
        <v>#N/A</v>
      </c>
      <c r="L8" s="2" t="e">
        <f>VLOOKUP($C8,Score!$B$2:$X$78,9,0)</f>
        <v>#N/A</v>
      </c>
      <c r="M8" s="2" t="e">
        <f>VLOOKUP($C8,Score!$B$2:$X$78,10,0)</f>
        <v>#N/A</v>
      </c>
      <c r="N8" s="2" t="e">
        <f>VLOOKUP($C8,Score!$B$2:$X$78,11,0)</f>
        <v>#N/A</v>
      </c>
      <c r="O8" s="2" t="e">
        <f>VLOOKUP($C8,Score!$B$2:$X$78,12,0)</f>
        <v>#N/A</v>
      </c>
      <c r="P8" s="2" t="e">
        <f>VLOOKUP($C8,Score!$B$2:$X$78,13,0)</f>
        <v>#N/A</v>
      </c>
      <c r="Q8" s="2" t="e">
        <f>VLOOKUP($C8,Score!$B$2:$X$78,14,0)</f>
        <v>#N/A</v>
      </c>
      <c r="R8" s="2" t="e">
        <f>VLOOKUP($C8,Score!$B$2:$X$78,15,0)</f>
        <v>#N/A</v>
      </c>
      <c r="S8" s="2" t="e">
        <f>VLOOKUP($C8,Score!$B$2:$X$78,16,0)</f>
        <v>#N/A</v>
      </c>
      <c r="T8" s="2" t="e">
        <f>VLOOKUP($C8,Score!$B$2:$X$78,17,0)</f>
        <v>#N/A</v>
      </c>
      <c r="U8" s="2" t="e">
        <f>VLOOKUP($C8,Score!$B$2:$X$78,18,0)</f>
        <v>#N/A</v>
      </c>
      <c r="V8" s="2" t="e">
        <f>VLOOKUP($C8,Score!$B$2:$X$78,19,0)</f>
        <v>#N/A</v>
      </c>
      <c r="W8" s="2" t="e">
        <f>VLOOKUP($C8,Score!$B$2:$X$78,20,0)</f>
        <v>#N/A</v>
      </c>
      <c r="X8" s="2" t="e">
        <f>VLOOKUP($C8,Score!$B$2:$Z$77,21,0)</f>
        <v>#N/A</v>
      </c>
      <c r="Y8" s="2" t="e">
        <f>VLOOKUP($C8,Score!$B$2:$Z$77,22,0)</f>
        <v>#N/A</v>
      </c>
      <c r="Z8" s="2" t="e">
        <f>VLOOKUP($C8,Score!$B$2:$Z$77,24,0)</f>
        <v>#N/A</v>
      </c>
      <c r="AA8" s="6" t="e">
        <f t="shared" si="0"/>
        <v>#N/A</v>
      </c>
      <c r="AB8">
        <f t="shared" si="1"/>
        <v>0</v>
      </c>
    </row>
    <row r="9" spans="3:28">
      <c r="C9"/>
      <c r="D9"/>
      <c r="E9" s="2" t="e">
        <f>VLOOKUP($C9,Score!$B$2:$X$78,2,0)</f>
        <v>#N/A</v>
      </c>
      <c r="F9" s="2" t="e">
        <f>VLOOKUP($C9,Score!$B$2:$X$78,3,0)</f>
        <v>#N/A</v>
      </c>
      <c r="G9" s="2" t="e">
        <f>VLOOKUP($C9,Score!$B$2:$X$78,4,0)</f>
        <v>#N/A</v>
      </c>
      <c r="H9" s="2" t="e">
        <f>VLOOKUP($C9,Score!$B$2:$X$78,5,0)</f>
        <v>#N/A</v>
      </c>
      <c r="I9" s="2" t="e">
        <f>VLOOKUP($C9,Score!$B$2:$X$78,6,0)</f>
        <v>#N/A</v>
      </c>
      <c r="J9" s="2" t="e">
        <f>VLOOKUP($C9,Score!$B$2:$X$78,7,0)</f>
        <v>#N/A</v>
      </c>
      <c r="K9" s="2" t="e">
        <f>VLOOKUP($C9,Score!$B$2:$X$78,8,0)</f>
        <v>#N/A</v>
      </c>
      <c r="L9" s="2" t="e">
        <f>VLOOKUP($C9,Score!$B$2:$X$78,9,0)</f>
        <v>#N/A</v>
      </c>
      <c r="M9" s="2" t="e">
        <f>VLOOKUP($C9,Score!$B$2:$X$78,10,0)</f>
        <v>#N/A</v>
      </c>
      <c r="N9" s="2" t="e">
        <f>VLOOKUP($C9,Score!$B$2:$X$78,11,0)</f>
        <v>#N/A</v>
      </c>
      <c r="O9" s="2" t="e">
        <f>VLOOKUP($C9,Score!$B$2:$X$78,12,0)</f>
        <v>#N/A</v>
      </c>
      <c r="P9" s="2" t="e">
        <f>VLOOKUP($C9,Score!$B$2:$X$78,13,0)</f>
        <v>#N/A</v>
      </c>
      <c r="Q9" s="2" t="e">
        <f>VLOOKUP($C9,Score!$B$2:$X$78,14,0)</f>
        <v>#N/A</v>
      </c>
      <c r="R9" s="2" t="e">
        <f>VLOOKUP($C9,Score!$B$2:$X$78,15,0)</f>
        <v>#N/A</v>
      </c>
      <c r="S9" s="2" t="e">
        <f>VLOOKUP($C9,Score!$B$2:$X$78,16,0)</f>
        <v>#N/A</v>
      </c>
      <c r="T9" s="2" t="e">
        <f>VLOOKUP($C9,Score!$B$2:$X$78,17,0)</f>
        <v>#N/A</v>
      </c>
      <c r="U9" s="2" t="e">
        <f>VLOOKUP($C9,Score!$B$2:$X$78,18,0)</f>
        <v>#N/A</v>
      </c>
      <c r="V9" s="2" t="e">
        <f>VLOOKUP($C9,Score!$B$2:$X$78,19,0)</f>
        <v>#N/A</v>
      </c>
      <c r="W9" s="2" t="e">
        <f>VLOOKUP($C9,Score!$B$2:$X$78,20,0)</f>
        <v>#N/A</v>
      </c>
      <c r="X9" s="2" t="e">
        <f>VLOOKUP($C9,Score!$B$2:$Z$77,21,0)</f>
        <v>#N/A</v>
      </c>
      <c r="Y9" s="2" t="e">
        <f>VLOOKUP($C9,Score!$B$2:$Z$77,22,0)</f>
        <v>#N/A</v>
      </c>
      <c r="Z9" s="2" t="e">
        <f>VLOOKUP($C9,Score!$B$2:$Z$77,24,0)</f>
        <v>#N/A</v>
      </c>
      <c r="AA9" s="6" t="e">
        <f t="shared" si="0"/>
        <v>#N/A</v>
      </c>
      <c r="AB9">
        <f t="shared" si="1"/>
        <v>0</v>
      </c>
    </row>
    <row r="10" spans="3:28">
      <c r="C10"/>
      <c r="D10"/>
      <c r="E10" s="2" t="e">
        <f>VLOOKUP($C10,Score!$B$2:$X$78,2,0)</f>
        <v>#N/A</v>
      </c>
      <c r="F10" s="2" t="e">
        <f>VLOOKUP($C10,Score!$B$2:$X$78,3,0)</f>
        <v>#N/A</v>
      </c>
      <c r="G10" s="2" t="e">
        <f>VLOOKUP($C10,Score!$B$2:$X$78,4,0)</f>
        <v>#N/A</v>
      </c>
      <c r="H10" s="2" t="e">
        <f>VLOOKUP($C10,Score!$B$2:$X$78,5,0)</f>
        <v>#N/A</v>
      </c>
      <c r="I10" s="2" t="e">
        <f>VLOOKUP($C10,Score!$B$2:$X$78,6,0)</f>
        <v>#N/A</v>
      </c>
      <c r="J10" s="2" t="e">
        <f>VLOOKUP($C10,Score!$B$2:$X$78,7,0)</f>
        <v>#N/A</v>
      </c>
      <c r="K10" s="2" t="e">
        <f>VLOOKUP($C10,Score!$B$2:$X$78,8,0)</f>
        <v>#N/A</v>
      </c>
      <c r="L10" s="2" t="e">
        <f>VLOOKUP($C10,Score!$B$2:$X$78,9,0)</f>
        <v>#N/A</v>
      </c>
      <c r="M10" s="2" t="e">
        <f>VLOOKUP($C10,Score!$B$2:$X$78,10,0)</f>
        <v>#N/A</v>
      </c>
      <c r="N10" s="2" t="e">
        <f>VLOOKUP($C10,Score!$B$2:$X$78,11,0)</f>
        <v>#N/A</v>
      </c>
      <c r="O10" s="2" t="e">
        <f>VLOOKUP($C10,Score!$B$2:$X$78,12,0)</f>
        <v>#N/A</v>
      </c>
      <c r="P10" s="2" t="e">
        <f>VLOOKUP($C10,Score!$B$2:$X$78,13,0)</f>
        <v>#N/A</v>
      </c>
      <c r="Q10" s="2" t="e">
        <f>VLOOKUP($C10,Score!$B$2:$X$78,14,0)</f>
        <v>#N/A</v>
      </c>
      <c r="R10" s="2" t="e">
        <f>VLOOKUP($C10,Score!$B$2:$X$78,15,0)</f>
        <v>#N/A</v>
      </c>
      <c r="S10" s="2" t="e">
        <f>VLOOKUP($C10,Score!$B$2:$X$78,16,0)</f>
        <v>#N/A</v>
      </c>
      <c r="T10" s="2" t="e">
        <f>VLOOKUP($C10,Score!$B$2:$X$78,17,0)</f>
        <v>#N/A</v>
      </c>
      <c r="U10" s="2" t="e">
        <f>VLOOKUP($C10,Score!$B$2:$X$78,18,0)</f>
        <v>#N/A</v>
      </c>
      <c r="V10" s="2" t="e">
        <f>VLOOKUP($C10,Score!$B$2:$X$78,19,0)</f>
        <v>#N/A</v>
      </c>
      <c r="W10" s="2" t="e">
        <f>VLOOKUP($C10,Score!$B$2:$X$78,20,0)</f>
        <v>#N/A</v>
      </c>
      <c r="X10" s="2" t="e">
        <f>VLOOKUP($C10,Score!$B$2:$Z$77,21,0)</f>
        <v>#N/A</v>
      </c>
      <c r="Y10" s="2" t="e">
        <f>VLOOKUP($C10,Score!$B$2:$Z$77,22,0)</f>
        <v>#N/A</v>
      </c>
      <c r="Z10" s="2" t="e">
        <f>VLOOKUP($C10,Score!$B$2:$Z$77,24,0)</f>
        <v>#N/A</v>
      </c>
      <c r="AA10" s="6" t="e">
        <f t="shared" si="0"/>
        <v>#N/A</v>
      </c>
      <c r="AB10">
        <f t="shared" si="1"/>
        <v>0</v>
      </c>
    </row>
    <row r="11" spans="3:28">
      <c r="C11"/>
      <c r="D11"/>
      <c r="E11" s="2" t="e">
        <f>VLOOKUP($C11,Score!$B$2:$X$78,2,0)</f>
        <v>#N/A</v>
      </c>
      <c r="F11" s="2" t="e">
        <f>VLOOKUP($C11,Score!$B$2:$X$78,3,0)</f>
        <v>#N/A</v>
      </c>
      <c r="G11" s="2" t="e">
        <f>VLOOKUP($C11,Score!$B$2:$X$78,4,0)</f>
        <v>#N/A</v>
      </c>
      <c r="H11" s="2" t="e">
        <f>VLOOKUP($C11,Score!$B$2:$X$78,5,0)</f>
        <v>#N/A</v>
      </c>
      <c r="I11" s="2" t="e">
        <f>VLOOKUP($C11,Score!$B$2:$X$78,6,0)</f>
        <v>#N/A</v>
      </c>
      <c r="J11" s="2" t="e">
        <f>VLOOKUP($C11,Score!$B$2:$X$78,7,0)</f>
        <v>#N/A</v>
      </c>
      <c r="K11" s="2" t="e">
        <f>VLOOKUP($C11,Score!$B$2:$X$78,8,0)</f>
        <v>#N/A</v>
      </c>
      <c r="L11" s="2" t="e">
        <f>VLOOKUP($C11,Score!$B$2:$X$78,9,0)</f>
        <v>#N/A</v>
      </c>
      <c r="M11" s="2" t="e">
        <f>VLOOKUP($C11,Score!$B$2:$X$78,10,0)</f>
        <v>#N/A</v>
      </c>
      <c r="N11" s="2" t="e">
        <f>VLOOKUP($C11,Score!$B$2:$X$78,11,0)</f>
        <v>#N/A</v>
      </c>
      <c r="O11" s="2" t="e">
        <f>VLOOKUP($C11,Score!$B$2:$X$78,12,0)</f>
        <v>#N/A</v>
      </c>
      <c r="P11" s="2" t="e">
        <f>VLOOKUP($C11,Score!$B$2:$X$78,13,0)</f>
        <v>#N/A</v>
      </c>
      <c r="Q11" s="2" t="e">
        <f>VLOOKUP($C11,Score!$B$2:$X$78,14,0)</f>
        <v>#N/A</v>
      </c>
      <c r="R11" s="2" t="e">
        <f>VLOOKUP($C11,Score!$B$2:$X$78,15,0)</f>
        <v>#N/A</v>
      </c>
      <c r="S11" s="2" t="e">
        <f>VLOOKUP($C11,Score!$B$2:$X$78,16,0)</f>
        <v>#N/A</v>
      </c>
      <c r="T11" s="2" t="e">
        <f>VLOOKUP($C11,Score!$B$2:$X$78,17,0)</f>
        <v>#N/A</v>
      </c>
      <c r="U11" s="2" t="e">
        <f>VLOOKUP($C11,Score!$B$2:$X$78,18,0)</f>
        <v>#N/A</v>
      </c>
      <c r="V11" s="2" t="e">
        <f>VLOOKUP($C11,Score!$B$2:$X$78,19,0)</f>
        <v>#N/A</v>
      </c>
      <c r="W11" s="2" t="e">
        <f>VLOOKUP($C11,Score!$B$2:$X$78,20,0)</f>
        <v>#N/A</v>
      </c>
      <c r="X11" s="2" t="e">
        <f>VLOOKUP($C11,Score!$B$2:$Z$77,21,0)</f>
        <v>#N/A</v>
      </c>
      <c r="Y11" s="2" t="e">
        <f>VLOOKUP($C11,Score!$B$2:$Z$77,22,0)</f>
        <v>#N/A</v>
      </c>
      <c r="Z11" s="2" t="e">
        <f>VLOOKUP($C11,Score!$B$2:$Z$77,24,0)</f>
        <v>#N/A</v>
      </c>
      <c r="AA11" s="6" t="e">
        <f t="shared" si="0"/>
        <v>#N/A</v>
      </c>
      <c r="AB11">
        <f t="shared" si="1"/>
        <v>0</v>
      </c>
    </row>
    <row r="12" spans="3:28">
      <c r="C12"/>
      <c r="D12"/>
      <c r="E12" s="2" t="e">
        <f>VLOOKUP($C12,Score!$B$2:$X$78,2,0)</f>
        <v>#N/A</v>
      </c>
      <c r="F12" s="2" t="e">
        <f>VLOOKUP($C12,Score!$B$2:$X$78,3,0)</f>
        <v>#N/A</v>
      </c>
      <c r="G12" s="2" t="e">
        <f>VLOOKUP($C12,Score!$B$2:$X$78,4,0)</f>
        <v>#N/A</v>
      </c>
      <c r="H12" s="2" t="e">
        <f>VLOOKUP($C12,Score!$B$2:$X$78,5,0)</f>
        <v>#N/A</v>
      </c>
      <c r="I12" s="2" t="e">
        <f>VLOOKUP($C12,Score!$B$2:$X$78,6,0)</f>
        <v>#N/A</v>
      </c>
      <c r="J12" s="2" t="e">
        <f>VLOOKUP($C12,Score!$B$2:$X$78,7,0)</f>
        <v>#N/A</v>
      </c>
      <c r="K12" s="2" t="e">
        <f>VLOOKUP($C12,Score!$B$2:$X$78,8,0)</f>
        <v>#N/A</v>
      </c>
      <c r="L12" s="2" t="e">
        <f>VLOOKUP($C12,Score!$B$2:$X$78,9,0)</f>
        <v>#N/A</v>
      </c>
      <c r="M12" s="2" t="e">
        <f>VLOOKUP($C12,Score!$B$2:$X$78,10,0)</f>
        <v>#N/A</v>
      </c>
      <c r="N12" s="2" t="e">
        <f>VLOOKUP($C12,Score!$B$2:$X$78,11,0)</f>
        <v>#N/A</v>
      </c>
      <c r="O12" s="2" t="e">
        <f>VLOOKUP($C12,Score!$B$2:$X$78,12,0)</f>
        <v>#N/A</v>
      </c>
      <c r="P12" s="2" t="e">
        <f>VLOOKUP($C12,Score!$B$2:$X$78,13,0)</f>
        <v>#N/A</v>
      </c>
      <c r="Q12" s="2" t="e">
        <f>VLOOKUP($C12,Score!$B$2:$X$78,14,0)</f>
        <v>#N/A</v>
      </c>
      <c r="R12" s="2" t="e">
        <f>VLOOKUP($C12,Score!$B$2:$X$78,15,0)</f>
        <v>#N/A</v>
      </c>
      <c r="S12" s="2" t="e">
        <f>VLOOKUP($C12,Score!$B$2:$X$78,16,0)</f>
        <v>#N/A</v>
      </c>
      <c r="T12" s="2" t="e">
        <f>VLOOKUP($C12,Score!$B$2:$X$78,17,0)</f>
        <v>#N/A</v>
      </c>
      <c r="U12" s="2" t="e">
        <f>VLOOKUP($C12,Score!$B$2:$X$78,18,0)</f>
        <v>#N/A</v>
      </c>
      <c r="V12" s="2" t="e">
        <f>VLOOKUP($C12,Score!$B$2:$X$78,19,0)</f>
        <v>#N/A</v>
      </c>
      <c r="W12" s="2" t="e">
        <f>VLOOKUP($C12,Score!$B$2:$X$78,20,0)</f>
        <v>#N/A</v>
      </c>
      <c r="X12" s="2" t="e">
        <f>VLOOKUP($C12,Score!$B$2:$Z$77,21,0)</f>
        <v>#N/A</v>
      </c>
      <c r="Y12" s="2" t="e">
        <f>VLOOKUP($C12,Score!$B$2:$Z$77,22,0)</f>
        <v>#N/A</v>
      </c>
      <c r="Z12" s="2" t="e">
        <f>VLOOKUP($C12,Score!$B$2:$Z$77,24,0)</f>
        <v>#N/A</v>
      </c>
      <c r="AA12" s="6" t="e">
        <f t="shared" si="0"/>
        <v>#N/A</v>
      </c>
      <c r="AB12">
        <f t="shared" si="1"/>
        <v>0</v>
      </c>
    </row>
    <row r="13" spans="3:28">
      <c r="C13" s="36"/>
      <c r="D13" s="36"/>
      <c r="E13" s="2" t="e">
        <f>VLOOKUP($C13,Score!$B$2:$X$78,2,0)</f>
        <v>#N/A</v>
      </c>
      <c r="F13" s="2" t="e">
        <f>VLOOKUP($C13,Score!$B$2:$X$78,3,0)</f>
        <v>#N/A</v>
      </c>
      <c r="G13" s="2" t="e">
        <f>VLOOKUP($C13,Score!$B$2:$X$78,4,0)</f>
        <v>#N/A</v>
      </c>
      <c r="H13" s="2" t="e">
        <f>VLOOKUP($C13,Score!$B$2:$X$78,5,0)</f>
        <v>#N/A</v>
      </c>
      <c r="I13" s="2" t="e">
        <f>VLOOKUP($C13,Score!$B$2:$X$78,6,0)</f>
        <v>#N/A</v>
      </c>
      <c r="J13" s="2" t="e">
        <f>VLOOKUP($C13,Score!$B$2:$X$78,7,0)</f>
        <v>#N/A</v>
      </c>
      <c r="K13" s="2" t="e">
        <f>VLOOKUP($C13,Score!$B$2:$X$78,8,0)</f>
        <v>#N/A</v>
      </c>
      <c r="L13" s="2" t="e">
        <f>VLOOKUP($C13,Score!$B$2:$X$78,9,0)</f>
        <v>#N/A</v>
      </c>
      <c r="M13" s="2" t="e">
        <f>VLOOKUP($C13,Score!$B$2:$X$78,10,0)</f>
        <v>#N/A</v>
      </c>
      <c r="N13" s="2" t="e">
        <f>VLOOKUP($C13,Score!$B$2:$X$78,11,0)</f>
        <v>#N/A</v>
      </c>
      <c r="O13" s="2" t="e">
        <f>VLOOKUP($C13,Score!$B$2:$X$78,12,0)</f>
        <v>#N/A</v>
      </c>
      <c r="P13" s="2" t="e">
        <f>VLOOKUP($C13,Score!$B$2:$X$78,13,0)</f>
        <v>#N/A</v>
      </c>
      <c r="Q13" s="2" t="e">
        <f>VLOOKUP($C13,Score!$B$2:$X$78,14,0)</f>
        <v>#N/A</v>
      </c>
      <c r="R13" s="2" t="e">
        <f>VLOOKUP($C13,Score!$B$2:$X$78,15,0)</f>
        <v>#N/A</v>
      </c>
      <c r="S13" s="2" t="e">
        <f>VLOOKUP($C13,Score!$B$2:$X$78,16,0)</f>
        <v>#N/A</v>
      </c>
      <c r="T13" s="2" t="e">
        <f>VLOOKUP($C13,Score!$B$2:$X$78,17,0)</f>
        <v>#N/A</v>
      </c>
      <c r="U13" s="2" t="e">
        <f>VLOOKUP($C13,Score!$B$2:$X$78,18,0)</f>
        <v>#N/A</v>
      </c>
      <c r="V13" s="2" t="e">
        <f>VLOOKUP($C13,Score!$B$2:$X$78,19,0)</f>
        <v>#N/A</v>
      </c>
      <c r="W13" s="2" t="e">
        <f>VLOOKUP($C13,Score!$B$2:$X$78,20,0)</f>
        <v>#N/A</v>
      </c>
      <c r="X13" s="2" t="e">
        <f>VLOOKUP($C13,Score!$B$2:$Z$77,21,0)</f>
        <v>#N/A</v>
      </c>
      <c r="Y13" s="2" t="e">
        <f>VLOOKUP($C13,Score!$B$2:$Z$77,22,0)</f>
        <v>#N/A</v>
      </c>
      <c r="Z13" s="2" t="e">
        <f>VLOOKUP($C13,Score!$B$2:$Z$77,24,0)</f>
        <v>#N/A</v>
      </c>
      <c r="AA13" s="6" t="e">
        <f t="shared" si="0"/>
        <v>#N/A</v>
      </c>
      <c r="AB13">
        <f t="shared" si="1"/>
        <v>0</v>
      </c>
    </row>
    <row r="14" spans="3:28">
      <c r="C14"/>
      <c r="D14"/>
      <c r="E14" s="2" t="e">
        <f>VLOOKUP($C14,Score!$B$2:$X$78,2,0)</f>
        <v>#N/A</v>
      </c>
      <c r="F14" s="2" t="e">
        <f>VLOOKUP($C14,Score!$B$2:$X$78,3,0)</f>
        <v>#N/A</v>
      </c>
      <c r="G14" s="2" t="e">
        <f>VLOOKUP($C14,Score!$B$2:$X$78,4,0)</f>
        <v>#N/A</v>
      </c>
      <c r="H14" s="2" t="e">
        <f>VLOOKUP($C14,Score!$B$2:$X$78,5,0)</f>
        <v>#N/A</v>
      </c>
      <c r="I14" s="2" t="e">
        <f>VLOOKUP($C14,Score!$B$2:$X$78,6,0)</f>
        <v>#N/A</v>
      </c>
      <c r="J14" s="2" t="e">
        <f>VLOOKUP($C14,Score!$B$2:$X$78,7,0)</f>
        <v>#N/A</v>
      </c>
      <c r="K14" s="2" t="e">
        <f>VLOOKUP($C14,Score!$B$2:$X$78,8,0)</f>
        <v>#N/A</v>
      </c>
      <c r="L14" s="2" t="e">
        <f>VLOOKUP($C14,Score!$B$2:$X$78,9,0)</f>
        <v>#N/A</v>
      </c>
      <c r="M14" s="2" t="e">
        <f>VLOOKUP($C14,Score!$B$2:$X$78,10,0)</f>
        <v>#N/A</v>
      </c>
      <c r="N14" s="2" t="e">
        <f>VLOOKUP($C14,Score!$B$2:$X$78,11,0)</f>
        <v>#N/A</v>
      </c>
      <c r="O14" s="2" t="e">
        <f>VLOOKUP($C14,Score!$B$2:$X$78,12,0)</f>
        <v>#N/A</v>
      </c>
      <c r="P14" s="2" t="e">
        <f>VLOOKUP($C14,Score!$B$2:$X$78,13,0)</f>
        <v>#N/A</v>
      </c>
      <c r="Q14" s="2" t="e">
        <f>VLOOKUP($C14,Score!$B$2:$X$78,14,0)</f>
        <v>#N/A</v>
      </c>
      <c r="R14" s="2" t="e">
        <f>VLOOKUP($C14,Score!$B$2:$X$78,15,0)</f>
        <v>#N/A</v>
      </c>
      <c r="S14" s="2" t="e">
        <f>VLOOKUP($C14,Score!$B$2:$X$78,16,0)</f>
        <v>#N/A</v>
      </c>
      <c r="T14" s="2" t="e">
        <f>VLOOKUP($C14,Score!$B$2:$X$78,17,0)</f>
        <v>#N/A</v>
      </c>
      <c r="U14" s="2" t="e">
        <f>VLOOKUP($C14,Score!$B$2:$X$78,18,0)</f>
        <v>#N/A</v>
      </c>
      <c r="V14" s="2" t="e">
        <f>VLOOKUP($C14,Score!$B$2:$X$78,19,0)</f>
        <v>#N/A</v>
      </c>
      <c r="W14" s="2" t="e">
        <f>VLOOKUP($C14,Score!$B$2:$X$78,20,0)</f>
        <v>#N/A</v>
      </c>
      <c r="X14" s="2" t="e">
        <f>VLOOKUP($C14,Score!$B$2:$Z$77,21,0)</f>
        <v>#N/A</v>
      </c>
      <c r="Y14" s="2" t="e">
        <f>VLOOKUP($C14,Score!$B$2:$Z$77,22,0)</f>
        <v>#N/A</v>
      </c>
      <c r="Z14" s="2" t="e">
        <f>VLOOKUP($C14,Score!$B$2:$Z$77,24,0)</f>
        <v>#N/A</v>
      </c>
      <c r="AA14" s="6" t="e">
        <f t="shared" si="0"/>
        <v>#N/A</v>
      </c>
      <c r="AB14">
        <f t="shared" si="1"/>
        <v>0</v>
      </c>
    </row>
    <row r="15" spans="3:28">
      <c r="C15"/>
      <c r="D15"/>
      <c r="E15" s="2" t="e">
        <f>VLOOKUP($C15,Score!$B$2:$X$78,2,0)</f>
        <v>#N/A</v>
      </c>
      <c r="F15" s="2" t="e">
        <f>VLOOKUP($C15,Score!$B$2:$X$78,3,0)</f>
        <v>#N/A</v>
      </c>
      <c r="G15" s="2" t="e">
        <f>VLOOKUP($C15,Score!$B$2:$X$78,4,0)</f>
        <v>#N/A</v>
      </c>
      <c r="H15" s="2" t="e">
        <f>VLOOKUP($C15,Score!$B$2:$X$78,5,0)</f>
        <v>#N/A</v>
      </c>
      <c r="I15" s="2" t="e">
        <f>VLOOKUP($C15,Score!$B$2:$X$78,6,0)</f>
        <v>#N/A</v>
      </c>
      <c r="J15" s="2" t="e">
        <f>VLOOKUP($C15,Score!$B$2:$X$78,7,0)</f>
        <v>#N/A</v>
      </c>
      <c r="K15" s="2" t="e">
        <f>VLOOKUP($C15,Score!$B$2:$X$78,8,0)</f>
        <v>#N/A</v>
      </c>
      <c r="L15" s="2" t="e">
        <f>VLOOKUP($C15,Score!$B$2:$X$78,9,0)</f>
        <v>#N/A</v>
      </c>
      <c r="M15" s="2" t="e">
        <f>VLOOKUP($C15,Score!$B$2:$X$78,10,0)</f>
        <v>#N/A</v>
      </c>
      <c r="N15" s="2" t="e">
        <f>VLOOKUP($C15,Score!$B$2:$X$78,11,0)</f>
        <v>#N/A</v>
      </c>
      <c r="O15" s="2" t="e">
        <f>VLOOKUP($C15,Score!$B$2:$X$78,12,0)</f>
        <v>#N/A</v>
      </c>
      <c r="P15" s="2" t="e">
        <f>VLOOKUP($C15,Score!$B$2:$X$78,13,0)</f>
        <v>#N/A</v>
      </c>
      <c r="Q15" s="2" t="e">
        <f>VLOOKUP($C15,Score!$B$2:$X$78,14,0)</f>
        <v>#N/A</v>
      </c>
      <c r="R15" s="2" t="e">
        <f>VLOOKUP($C15,Score!$B$2:$X$78,15,0)</f>
        <v>#N/A</v>
      </c>
      <c r="S15" s="2" t="e">
        <f>VLOOKUP($C15,Score!$B$2:$X$78,16,0)</f>
        <v>#N/A</v>
      </c>
      <c r="T15" s="2" t="e">
        <f>VLOOKUP($C15,Score!$B$2:$X$78,17,0)</f>
        <v>#N/A</v>
      </c>
      <c r="U15" s="2" t="e">
        <f>VLOOKUP($C15,Score!$B$2:$X$78,18,0)</f>
        <v>#N/A</v>
      </c>
      <c r="V15" s="2" t="e">
        <f>VLOOKUP($C15,Score!$B$2:$X$78,19,0)</f>
        <v>#N/A</v>
      </c>
      <c r="W15" s="2" t="e">
        <f>VLOOKUP($C15,Score!$B$2:$X$78,20,0)</f>
        <v>#N/A</v>
      </c>
      <c r="X15" s="2" t="e">
        <f>VLOOKUP($C15,Score!$B$2:$Z$77,21,0)</f>
        <v>#N/A</v>
      </c>
      <c r="Y15" s="2" t="e">
        <f>VLOOKUP($C15,Score!$B$2:$Z$77,22,0)</f>
        <v>#N/A</v>
      </c>
      <c r="Z15" s="2" t="e">
        <f>VLOOKUP($C15,Score!$B$2:$Z$77,24,0)</f>
        <v>#N/A</v>
      </c>
      <c r="AA15" s="6" t="e">
        <f t="shared" si="0"/>
        <v>#N/A</v>
      </c>
      <c r="AB15">
        <f t="shared" si="1"/>
        <v>0</v>
      </c>
    </row>
    <row r="16" spans="3:28">
      <c r="C16"/>
      <c r="D16"/>
      <c r="E16" s="2" t="e">
        <f>VLOOKUP($C16,Score!$B$2:$X$78,2,0)</f>
        <v>#N/A</v>
      </c>
      <c r="F16" s="2" t="e">
        <f>VLOOKUP($C16,Score!$B$2:$X$78,3,0)</f>
        <v>#N/A</v>
      </c>
      <c r="G16" s="2" t="e">
        <f>VLOOKUP($C16,Score!$B$2:$X$78,4,0)</f>
        <v>#N/A</v>
      </c>
      <c r="H16" s="2" t="e">
        <f>VLOOKUP($C16,Score!$B$2:$X$78,5,0)</f>
        <v>#N/A</v>
      </c>
      <c r="I16" s="2" t="e">
        <f>VLOOKUP($C16,Score!$B$2:$X$78,6,0)</f>
        <v>#N/A</v>
      </c>
      <c r="J16" s="2" t="e">
        <f>VLOOKUP($C16,Score!$B$2:$X$78,7,0)</f>
        <v>#N/A</v>
      </c>
      <c r="K16" s="2" t="e">
        <f>VLOOKUP($C16,Score!$B$2:$X$78,8,0)</f>
        <v>#N/A</v>
      </c>
      <c r="L16" s="2" t="e">
        <f>VLOOKUP($C16,Score!$B$2:$X$78,9,0)</f>
        <v>#N/A</v>
      </c>
      <c r="M16" s="2" t="e">
        <f>VLOOKUP($C16,Score!$B$2:$X$78,10,0)</f>
        <v>#N/A</v>
      </c>
      <c r="N16" s="2" t="e">
        <f>VLOOKUP($C16,Score!$B$2:$X$78,11,0)</f>
        <v>#N/A</v>
      </c>
      <c r="O16" s="2" t="e">
        <f>VLOOKUP($C16,Score!$B$2:$X$78,12,0)</f>
        <v>#N/A</v>
      </c>
      <c r="P16" s="2" t="e">
        <f>VLOOKUP($C16,Score!$B$2:$X$78,13,0)</f>
        <v>#N/A</v>
      </c>
      <c r="Q16" s="2" t="e">
        <f>VLOOKUP($C16,Score!$B$2:$X$78,14,0)</f>
        <v>#N/A</v>
      </c>
      <c r="R16" s="2" t="e">
        <f>VLOOKUP($C16,Score!$B$2:$X$78,15,0)</f>
        <v>#N/A</v>
      </c>
      <c r="S16" s="2" t="e">
        <f>VLOOKUP($C16,Score!$B$2:$X$78,16,0)</f>
        <v>#N/A</v>
      </c>
      <c r="T16" s="2" t="e">
        <f>VLOOKUP($C16,Score!$B$2:$X$78,17,0)</f>
        <v>#N/A</v>
      </c>
      <c r="U16" s="2" t="e">
        <f>VLOOKUP($C16,Score!$B$2:$X$78,18,0)</f>
        <v>#N/A</v>
      </c>
      <c r="V16" s="2" t="e">
        <f>VLOOKUP($C16,Score!$B$2:$X$78,19,0)</f>
        <v>#N/A</v>
      </c>
      <c r="W16" s="2" t="e">
        <f>VLOOKUP($C16,Score!$B$2:$X$78,20,0)</f>
        <v>#N/A</v>
      </c>
      <c r="X16" s="2" t="e">
        <f>VLOOKUP($C16,Score!$B$2:$Z$77,21,0)</f>
        <v>#N/A</v>
      </c>
      <c r="Y16" s="2" t="e">
        <f>VLOOKUP($C16,Score!$B$2:$Z$77,22,0)</f>
        <v>#N/A</v>
      </c>
      <c r="Z16" s="2" t="e">
        <f>VLOOKUP($C16,Score!$B$2:$Z$77,24,0)</f>
        <v>#N/A</v>
      </c>
      <c r="AA16" s="6" t="e">
        <f t="shared" si="0"/>
        <v>#N/A</v>
      </c>
      <c r="AB16">
        <f t="shared" si="1"/>
        <v>0</v>
      </c>
    </row>
    <row r="17" spans="3:28">
      <c r="C17"/>
      <c r="D17"/>
      <c r="E17" s="2" t="e">
        <f>VLOOKUP($C17,Score!$B$2:$X$78,2,0)</f>
        <v>#N/A</v>
      </c>
      <c r="F17" s="2" t="e">
        <f>VLOOKUP($C17,Score!$B$2:$X$78,3,0)</f>
        <v>#N/A</v>
      </c>
      <c r="G17" s="2" t="e">
        <f>VLOOKUP($C17,Score!$B$2:$X$78,4,0)</f>
        <v>#N/A</v>
      </c>
      <c r="H17" s="2" t="e">
        <f>VLOOKUP($C17,Score!$B$2:$X$78,5,0)</f>
        <v>#N/A</v>
      </c>
      <c r="I17" s="2" t="e">
        <f>VLOOKUP($C17,Score!$B$2:$X$78,6,0)</f>
        <v>#N/A</v>
      </c>
      <c r="J17" s="2" t="e">
        <f>VLOOKUP($C17,Score!$B$2:$X$78,7,0)</f>
        <v>#N/A</v>
      </c>
      <c r="K17" s="2" t="e">
        <f>VLOOKUP($C17,Score!$B$2:$X$78,8,0)</f>
        <v>#N/A</v>
      </c>
      <c r="L17" s="2" t="e">
        <f>VLOOKUP($C17,Score!$B$2:$X$78,9,0)</f>
        <v>#N/A</v>
      </c>
      <c r="M17" s="2" t="e">
        <f>VLOOKUP($C17,Score!$B$2:$X$78,10,0)</f>
        <v>#N/A</v>
      </c>
      <c r="N17" s="2" t="e">
        <f>VLOOKUP($C17,Score!$B$2:$X$78,11,0)</f>
        <v>#N/A</v>
      </c>
      <c r="O17" s="2" t="e">
        <f>VLOOKUP($C17,Score!$B$2:$X$78,12,0)</f>
        <v>#N/A</v>
      </c>
      <c r="P17" s="2" t="e">
        <f>VLOOKUP($C17,Score!$B$2:$X$78,13,0)</f>
        <v>#N/A</v>
      </c>
      <c r="Q17" s="2" t="e">
        <f>VLOOKUP($C17,Score!$B$2:$X$78,14,0)</f>
        <v>#N/A</v>
      </c>
      <c r="R17" s="2" t="e">
        <f>VLOOKUP($C17,Score!$B$2:$X$78,15,0)</f>
        <v>#N/A</v>
      </c>
      <c r="S17" s="2" t="e">
        <f>VLOOKUP($C17,Score!$B$2:$X$78,16,0)</f>
        <v>#N/A</v>
      </c>
      <c r="T17" s="2" t="e">
        <f>VLOOKUP($C17,Score!$B$2:$X$78,17,0)</f>
        <v>#N/A</v>
      </c>
      <c r="U17" s="2" t="e">
        <f>VLOOKUP($C17,Score!$B$2:$X$78,18,0)</f>
        <v>#N/A</v>
      </c>
      <c r="V17" s="2" t="e">
        <f>VLOOKUP($C17,Score!$B$2:$X$78,19,0)</f>
        <v>#N/A</v>
      </c>
      <c r="W17" s="2" t="e">
        <f>VLOOKUP($C17,Score!$B$2:$X$78,20,0)</f>
        <v>#N/A</v>
      </c>
      <c r="X17" s="2" t="e">
        <f>VLOOKUP($C17,Score!$B$2:$Z$77,21,0)</f>
        <v>#N/A</v>
      </c>
      <c r="Y17" s="2" t="e">
        <f>VLOOKUP($C17,Score!$B$2:$Z$77,22,0)</f>
        <v>#N/A</v>
      </c>
      <c r="Z17" s="2" t="e">
        <f>VLOOKUP($C17,Score!$B$2:$Z$77,24,0)</f>
        <v>#N/A</v>
      </c>
      <c r="AA17" s="6" t="e">
        <f t="shared" si="0"/>
        <v>#N/A</v>
      </c>
      <c r="AB17">
        <f t="shared" si="1"/>
        <v>0</v>
      </c>
    </row>
    <row r="18" spans="3:28">
      <c r="C18"/>
      <c r="D18"/>
      <c r="E18" s="2" t="e">
        <f>VLOOKUP($C18,Score!$B$2:$X$78,2,0)</f>
        <v>#N/A</v>
      </c>
      <c r="F18" s="2" t="e">
        <f>VLOOKUP($C18,Score!$B$2:$X$78,3,0)</f>
        <v>#N/A</v>
      </c>
      <c r="G18" s="2" t="e">
        <f>VLOOKUP($C18,Score!$B$2:$X$78,4,0)</f>
        <v>#N/A</v>
      </c>
      <c r="H18" s="2" t="e">
        <f>VLOOKUP($C18,Score!$B$2:$X$78,5,0)</f>
        <v>#N/A</v>
      </c>
      <c r="I18" s="2" t="e">
        <f>VLOOKUP($C18,Score!$B$2:$X$78,6,0)</f>
        <v>#N/A</v>
      </c>
      <c r="J18" s="2" t="e">
        <f>VLOOKUP($C18,Score!$B$2:$X$78,7,0)</f>
        <v>#N/A</v>
      </c>
      <c r="K18" s="2" t="e">
        <f>VLOOKUP($C18,Score!$B$2:$X$78,8,0)</f>
        <v>#N/A</v>
      </c>
      <c r="L18" s="2" t="e">
        <f>VLOOKUP($C18,Score!$B$2:$X$78,9,0)</f>
        <v>#N/A</v>
      </c>
      <c r="M18" s="2" t="e">
        <f>VLOOKUP($C18,Score!$B$2:$X$78,10,0)</f>
        <v>#N/A</v>
      </c>
      <c r="N18" s="2" t="e">
        <f>VLOOKUP($C18,Score!$B$2:$X$78,11,0)</f>
        <v>#N/A</v>
      </c>
      <c r="O18" s="2" t="e">
        <f>VLOOKUP($C18,Score!$B$2:$X$78,12,0)</f>
        <v>#N/A</v>
      </c>
      <c r="P18" s="2" t="e">
        <f>VLOOKUP($C18,Score!$B$2:$X$78,13,0)</f>
        <v>#N/A</v>
      </c>
      <c r="Q18" s="2" t="e">
        <f>VLOOKUP($C18,Score!$B$2:$X$78,14,0)</f>
        <v>#N/A</v>
      </c>
      <c r="R18" s="2" t="e">
        <f>VLOOKUP($C18,Score!$B$2:$X$78,15,0)</f>
        <v>#N/A</v>
      </c>
      <c r="S18" s="2" t="e">
        <f>VLOOKUP($C18,Score!$B$2:$X$78,16,0)</f>
        <v>#N/A</v>
      </c>
      <c r="T18" s="2" t="e">
        <f>VLOOKUP($C18,Score!$B$2:$X$78,17,0)</f>
        <v>#N/A</v>
      </c>
      <c r="U18" s="2" t="e">
        <f>VLOOKUP($C18,Score!$B$2:$X$78,18,0)</f>
        <v>#N/A</v>
      </c>
      <c r="V18" s="2" t="e">
        <f>VLOOKUP($C18,Score!$B$2:$X$78,19,0)</f>
        <v>#N/A</v>
      </c>
      <c r="W18" s="2" t="e">
        <f>VLOOKUP($C18,Score!$B$2:$X$78,20,0)</f>
        <v>#N/A</v>
      </c>
      <c r="X18" s="2" t="e">
        <f>VLOOKUP($C18,Score!$B$2:$Z$77,21,0)</f>
        <v>#N/A</v>
      </c>
      <c r="Y18" s="2" t="e">
        <f>VLOOKUP($C18,Score!$B$2:$Z$77,22,0)</f>
        <v>#N/A</v>
      </c>
      <c r="Z18" s="2" t="e">
        <f>VLOOKUP($C18,Score!$B$2:$Z$77,24,0)</f>
        <v>#N/A</v>
      </c>
      <c r="AA18" s="6" t="e">
        <f t="shared" si="0"/>
        <v>#N/A</v>
      </c>
      <c r="AB18">
        <f t="shared" si="1"/>
        <v>0</v>
      </c>
    </row>
    <row r="19" spans="3:28">
      <c r="C19"/>
      <c r="D19"/>
      <c r="E19" s="2" t="e">
        <f>VLOOKUP($C19,Score!$B$2:$X$78,2,0)</f>
        <v>#N/A</v>
      </c>
      <c r="F19" s="2" t="e">
        <f>VLOOKUP($C19,Score!$B$2:$X$78,3,0)</f>
        <v>#N/A</v>
      </c>
      <c r="G19" s="2" t="e">
        <f>VLOOKUP($C19,Score!$B$2:$X$78,4,0)</f>
        <v>#N/A</v>
      </c>
      <c r="H19" s="2" t="e">
        <f>VLOOKUP($C19,Score!$B$2:$X$78,5,0)</f>
        <v>#N/A</v>
      </c>
      <c r="I19" s="2" t="e">
        <f>VLOOKUP($C19,Score!$B$2:$X$78,6,0)</f>
        <v>#N/A</v>
      </c>
      <c r="J19" s="2" t="e">
        <f>VLOOKUP($C19,Score!$B$2:$X$78,7,0)</f>
        <v>#N/A</v>
      </c>
      <c r="K19" s="2" t="e">
        <f>VLOOKUP($C19,Score!$B$2:$X$78,8,0)</f>
        <v>#N/A</v>
      </c>
      <c r="L19" s="2" t="e">
        <f>VLOOKUP($C19,Score!$B$2:$X$78,9,0)</f>
        <v>#N/A</v>
      </c>
      <c r="M19" s="2" t="e">
        <f>VLOOKUP($C19,Score!$B$2:$X$78,10,0)</f>
        <v>#N/A</v>
      </c>
      <c r="N19" s="2" t="e">
        <f>VLOOKUP($C19,Score!$B$2:$X$78,11,0)</f>
        <v>#N/A</v>
      </c>
      <c r="O19" s="2" t="e">
        <f>VLOOKUP($C19,Score!$B$2:$X$78,12,0)</f>
        <v>#N/A</v>
      </c>
      <c r="P19" s="2" t="e">
        <f>VLOOKUP($C19,Score!$B$2:$X$78,13,0)</f>
        <v>#N/A</v>
      </c>
      <c r="Q19" s="2" t="e">
        <f>VLOOKUP($C19,Score!$B$2:$X$78,14,0)</f>
        <v>#N/A</v>
      </c>
      <c r="R19" s="2" t="e">
        <f>VLOOKUP($C19,Score!$B$2:$X$78,15,0)</f>
        <v>#N/A</v>
      </c>
      <c r="S19" s="2" t="e">
        <f>VLOOKUP($C19,Score!$B$2:$X$78,16,0)</f>
        <v>#N/A</v>
      </c>
      <c r="T19" s="2" t="e">
        <f>VLOOKUP($C19,Score!$B$2:$X$78,17,0)</f>
        <v>#N/A</v>
      </c>
      <c r="U19" s="2" t="e">
        <f>VLOOKUP($C19,Score!$B$2:$X$78,18,0)</f>
        <v>#N/A</v>
      </c>
      <c r="V19" s="2" t="e">
        <f>VLOOKUP($C19,Score!$B$2:$X$78,19,0)</f>
        <v>#N/A</v>
      </c>
      <c r="W19" s="2" t="e">
        <f>VLOOKUP($C19,Score!$B$2:$X$78,20,0)</f>
        <v>#N/A</v>
      </c>
      <c r="X19" s="2" t="e">
        <f>VLOOKUP($C19,Score!$B$2:$Z$77,21,0)</f>
        <v>#N/A</v>
      </c>
      <c r="Y19" s="2" t="e">
        <f>VLOOKUP($C19,Score!$B$2:$Z$77,22,0)</f>
        <v>#N/A</v>
      </c>
      <c r="Z19" s="2" t="e">
        <f>VLOOKUP($C19,Score!$B$2:$Z$77,24,0)</f>
        <v>#N/A</v>
      </c>
      <c r="AA19" s="6" t="e">
        <f t="shared" si="0"/>
        <v>#N/A</v>
      </c>
      <c r="AB19">
        <f t="shared" si="1"/>
        <v>0</v>
      </c>
    </row>
    <row r="20" spans="3:28">
      <c r="C20"/>
      <c r="D20"/>
      <c r="E20" s="2" t="e">
        <f>VLOOKUP($C20,Score!$B$2:$X$78,2,0)</f>
        <v>#N/A</v>
      </c>
      <c r="F20" s="2" t="e">
        <f>VLOOKUP($C20,Score!$B$2:$X$78,3,0)</f>
        <v>#N/A</v>
      </c>
      <c r="G20" s="2" t="e">
        <f>VLOOKUP($C20,Score!$B$2:$X$78,4,0)</f>
        <v>#N/A</v>
      </c>
      <c r="H20" s="2" t="e">
        <f>VLOOKUP($C20,Score!$B$2:$X$78,5,0)</f>
        <v>#N/A</v>
      </c>
      <c r="I20" s="2" t="e">
        <f>VLOOKUP($C20,Score!$B$2:$X$78,6,0)</f>
        <v>#N/A</v>
      </c>
      <c r="J20" s="2" t="e">
        <f>VLOOKUP($C20,Score!$B$2:$X$78,7,0)</f>
        <v>#N/A</v>
      </c>
      <c r="K20" s="2" t="e">
        <f>VLOOKUP($C20,Score!$B$2:$X$78,8,0)</f>
        <v>#N/A</v>
      </c>
      <c r="L20" s="2" t="e">
        <f>VLOOKUP($C20,Score!$B$2:$X$78,9,0)</f>
        <v>#N/A</v>
      </c>
      <c r="M20" s="2" t="e">
        <f>VLOOKUP($C20,Score!$B$2:$X$78,10,0)</f>
        <v>#N/A</v>
      </c>
      <c r="N20" s="2" t="e">
        <f>VLOOKUP($C20,Score!$B$2:$X$78,11,0)</f>
        <v>#N/A</v>
      </c>
      <c r="O20" s="2" t="e">
        <f>VLOOKUP($C20,Score!$B$2:$X$78,12,0)</f>
        <v>#N/A</v>
      </c>
      <c r="P20" s="2" t="e">
        <f>VLOOKUP($C20,Score!$B$2:$X$78,13,0)</f>
        <v>#N/A</v>
      </c>
      <c r="Q20" s="2" t="e">
        <f>VLOOKUP($C20,Score!$B$2:$X$78,14,0)</f>
        <v>#N/A</v>
      </c>
      <c r="R20" s="2" t="e">
        <f>VLOOKUP($C20,Score!$B$2:$X$78,15,0)</f>
        <v>#N/A</v>
      </c>
      <c r="S20" s="2" t="e">
        <f>VLOOKUP($C20,Score!$B$2:$X$78,16,0)</f>
        <v>#N/A</v>
      </c>
      <c r="T20" s="2" t="e">
        <f>VLOOKUP($C20,Score!$B$2:$X$78,17,0)</f>
        <v>#N/A</v>
      </c>
      <c r="U20" s="2" t="e">
        <f>VLOOKUP($C20,Score!$B$2:$X$78,18,0)</f>
        <v>#N/A</v>
      </c>
      <c r="V20" s="2" t="e">
        <f>VLOOKUP($C20,Score!$B$2:$X$78,19,0)</f>
        <v>#N/A</v>
      </c>
      <c r="W20" s="2" t="e">
        <f>VLOOKUP($C20,Score!$B$2:$X$78,20,0)</f>
        <v>#N/A</v>
      </c>
      <c r="X20" s="2" t="e">
        <f>VLOOKUP($C20,Score!$B$2:$Z$77,21,0)</f>
        <v>#N/A</v>
      </c>
      <c r="Y20" s="2" t="e">
        <f>VLOOKUP($C20,Score!$B$2:$Z$77,22,0)</f>
        <v>#N/A</v>
      </c>
      <c r="Z20" s="2" t="e">
        <f>VLOOKUP($C20,Score!$B$2:$Z$77,24,0)</f>
        <v>#N/A</v>
      </c>
      <c r="AA20" s="6" t="e">
        <f t="shared" si="0"/>
        <v>#N/A</v>
      </c>
      <c r="AB20">
        <f t="shared" si="1"/>
        <v>0</v>
      </c>
    </row>
    <row r="21" spans="3:28" s="66" customFormat="1">
      <c r="E21" s="67"/>
      <c r="F21" s="68"/>
      <c r="G21" s="67"/>
      <c r="H21" s="67"/>
      <c r="I21" s="67"/>
      <c r="J21" s="67"/>
      <c r="K21" s="67"/>
      <c r="L21" s="67"/>
      <c r="M21" s="67"/>
      <c r="N21" s="67"/>
      <c r="O21" s="67"/>
      <c r="P21" s="67"/>
      <c r="Q21" s="67"/>
      <c r="R21" s="67"/>
      <c r="S21" s="67"/>
      <c r="T21" s="67"/>
      <c r="U21" s="67"/>
      <c r="V21" s="67"/>
      <c r="W21" s="67"/>
      <c r="X21" s="67"/>
      <c r="Y21" s="67"/>
      <c r="Z21" s="67"/>
      <c r="AA21" s="69"/>
    </row>
    <row r="22" spans="3:28" s="1" customFormat="1">
      <c r="C22"/>
      <c r="D22"/>
      <c r="E22" s="64" t="e">
        <f t="shared" ref="E22:AA22" si="2">SUM(E4:E21)</f>
        <v>#N/A</v>
      </c>
      <c r="F22" s="64" t="e">
        <f t="shared" si="2"/>
        <v>#N/A</v>
      </c>
      <c r="G22" s="64" t="e">
        <f t="shared" si="2"/>
        <v>#N/A</v>
      </c>
      <c r="H22" s="64" t="e">
        <f t="shared" si="2"/>
        <v>#N/A</v>
      </c>
      <c r="I22" s="64" t="e">
        <f t="shared" si="2"/>
        <v>#N/A</v>
      </c>
      <c r="J22" s="64" t="e">
        <f t="shared" si="2"/>
        <v>#N/A</v>
      </c>
      <c r="K22" s="64" t="e">
        <f t="shared" si="2"/>
        <v>#N/A</v>
      </c>
      <c r="L22" s="64" t="e">
        <f t="shared" si="2"/>
        <v>#N/A</v>
      </c>
      <c r="M22" s="64" t="e">
        <f t="shared" si="2"/>
        <v>#N/A</v>
      </c>
      <c r="N22" s="64" t="e">
        <f t="shared" si="2"/>
        <v>#N/A</v>
      </c>
      <c r="O22" s="64" t="e">
        <f t="shared" si="2"/>
        <v>#N/A</v>
      </c>
      <c r="P22" s="64" t="e">
        <f t="shared" si="2"/>
        <v>#N/A</v>
      </c>
      <c r="Q22" s="64" t="e">
        <f t="shared" si="2"/>
        <v>#N/A</v>
      </c>
      <c r="R22" s="64" t="e">
        <f t="shared" si="2"/>
        <v>#N/A</v>
      </c>
      <c r="S22" s="64" t="e">
        <f t="shared" si="2"/>
        <v>#N/A</v>
      </c>
      <c r="T22" s="64" t="e">
        <f t="shared" si="2"/>
        <v>#N/A</v>
      </c>
      <c r="U22" s="64" t="e">
        <f t="shared" si="2"/>
        <v>#N/A</v>
      </c>
      <c r="V22" s="64" t="e">
        <f t="shared" si="2"/>
        <v>#N/A</v>
      </c>
      <c r="W22" s="64" t="e">
        <f t="shared" si="2"/>
        <v>#N/A</v>
      </c>
      <c r="X22" s="64" t="e">
        <f t="shared" si="2"/>
        <v>#N/A</v>
      </c>
      <c r="Y22" s="64" t="e">
        <f t="shared" si="2"/>
        <v>#N/A</v>
      </c>
      <c r="Z22" s="64" t="e">
        <f t="shared" si="2"/>
        <v>#N/A</v>
      </c>
      <c r="AA22" s="65" t="e">
        <f t="shared" si="2"/>
        <v>#N/A</v>
      </c>
    </row>
    <row r="23" spans="3:28" s="50" customFormat="1">
      <c r="C23"/>
      <c r="D23"/>
      <c r="E23" s="51"/>
      <c r="F23" s="51"/>
      <c r="G23" s="46"/>
      <c r="H23" s="51"/>
      <c r="I23" s="51"/>
      <c r="J23" s="51"/>
      <c r="K23" s="51"/>
      <c r="L23" s="51"/>
      <c r="M23" s="51"/>
      <c r="N23" s="51"/>
      <c r="O23" s="51"/>
      <c r="P23" s="51"/>
      <c r="Q23" s="51"/>
      <c r="R23" s="51"/>
      <c r="S23" s="51"/>
      <c r="T23" s="51"/>
      <c r="U23" s="51"/>
      <c r="V23" s="51"/>
      <c r="W23" s="51"/>
      <c r="X23" s="51"/>
      <c r="Y23" s="51"/>
      <c r="Z23" s="51"/>
      <c r="AA23" s="58"/>
    </row>
    <row r="24" spans="3:28" s="61" customFormat="1">
      <c r="C24" s="62"/>
      <c r="D24" s="62"/>
      <c r="E24" s="92" t="e">
        <f>VLOOKUP($C24,Score!$B$2:$X$78,2,0)</f>
        <v>#N/A</v>
      </c>
      <c r="F24" s="92" t="e">
        <f>VLOOKUP($C24,Score!$B$2:$X$78,2,0)</f>
        <v>#N/A</v>
      </c>
      <c r="G24" s="92" t="e">
        <f>VLOOKUP($C24,Score!$B$2:$X$78,2,0)</f>
        <v>#N/A</v>
      </c>
      <c r="H24" s="92" t="e">
        <f>VLOOKUP($C24,Score!$B$2:$X$78,2,0)</f>
        <v>#N/A</v>
      </c>
      <c r="I24" s="92" t="e">
        <f>VLOOKUP($C24,Score!$B$2:$X$78,2,0)</f>
        <v>#N/A</v>
      </c>
      <c r="J24" s="92" t="e">
        <f>VLOOKUP($C24,Score!$B$2:$X$78,2,0)</f>
        <v>#N/A</v>
      </c>
      <c r="K24" s="92" t="e">
        <f>VLOOKUP($C24,Score!$B$2:$X$78,2,0)</f>
        <v>#N/A</v>
      </c>
      <c r="L24" s="92" t="e">
        <f>VLOOKUP($C24,Score!$B$2:$X$78,2,0)</f>
        <v>#N/A</v>
      </c>
      <c r="M24" s="92" t="e">
        <f>VLOOKUP($C24,Score!$B$2:$X$78,2,0)</f>
        <v>#N/A</v>
      </c>
      <c r="N24" s="92" t="e">
        <f>VLOOKUP($C24,Score!$B$2:$X$78,2,0)</f>
        <v>#N/A</v>
      </c>
      <c r="O24" s="92" t="e">
        <f>VLOOKUP($C24,Score!$B$2:$X$78,2,0)</f>
        <v>#N/A</v>
      </c>
      <c r="P24" s="92" t="e">
        <f>VLOOKUP($C24,Score!$B$2:$X$78,2,0)</f>
        <v>#N/A</v>
      </c>
      <c r="Q24" s="92" t="e">
        <f>VLOOKUP($C24,Score!$B$2:$X$78,2,0)</f>
        <v>#N/A</v>
      </c>
      <c r="R24" s="92" t="e">
        <f>VLOOKUP($C24,Score!$B$2:$X$78,2,0)</f>
        <v>#N/A</v>
      </c>
      <c r="S24" s="92" t="e">
        <f>VLOOKUP($C24,Score!$B$2:$X$78,2,0)</f>
        <v>#N/A</v>
      </c>
      <c r="T24" s="92" t="e">
        <f>VLOOKUP($C24,Score!$B$2:$X$78,2,0)</f>
        <v>#N/A</v>
      </c>
      <c r="U24" s="92" t="e">
        <f>VLOOKUP($C24,Score!$B$2:$X$78,2,0)</f>
        <v>#N/A</v>
      </c>
      <c r="V24" s="92" t="e">
        <f>VLOOKUP($C24,Score!$B$2:$X$78,2,0)</f>
        <v>#N/A</v>
      </c>
      <c r="W24" s="92" t="e">
        <f>VLOOKUP($C24,Score!$B$2:$X$78,2,0)</f>
        <v>#N/A</v>
      </c>
      <c r="X24" s="92" t="e">
        <f>VLOOKUP($C24,Score!$B$2:$X$78,2,0)</f>
        <v>#N/A</v>
      </c>
      <c r="Y24" s="92" t="e">
        <f>VLOOKUP($C24,Score!$B$2:$X$78,2,0)</f>
        <v>#N/A</v>
      </c>
      <c r="Z24" s="92" t="e">
        <f>VLOOKUP($C24,Score!$B$2:$X$78,2,0)</f>
        <v>#N/A</v>
      </c>
      <c r="AA24" s="92" t="e">
        <f>VLOOKUP($C24,Score!$B$2:$X$78,2,0)</f>
        <v>#N/A</v>
      </c>
    </row>
    <row r="25" spans="3:28" s="61" customFormat="1">
      <c r="C25" s="62"/>
      <c r="D25" s="62"/>
      <c r="E25" s="92" t="e">
        <f>VLOOKUP($C25,Score!$B$2:$X$78,2,0)</f>
        <v>#N/A</v>
      </c>
      <c r="F25" s="92" t="e">
        <f>VLOOKUP($C25,Score!$B$2:$X$78,2,0)</f>
        <v>#N/A</v>
      </c>
      <c r="G25" s="92" t="e">
        <f>VLOOKUP($C25,Score!$B$2:$X$78,2,0)</f>
        <v>#N/A</v>
      </c>
      <c r="H25" s="92" t="e">
        <f>VLOOKUP($C25,Score!$B$2:$X$78,2,0)</f>
        <v>#N/A</v>
      </c>
      <c r="I25" s="92" t="e">
        <f>VLOOKUP($C25,Score!$B$2:$X$78,2,0)</f>
        <v>#N/A</v>
      </c>
      <c r="J25" s="92" t="e">
        <f>VLOOKUP($C25,Score!$B$2:$X$78,2,0)</f>
        <v>#N/A</v>
      </c>
      <c r="K25" s="92" t="e">
        <f>VLOOKUP($C25,Score!$B$2:$X$78,2,0)</f>
        <v>#N/A</v>
      </c>
      <c r="L25" s="92" t="e">
        <f>VLOOKUP($C25,Score!$B$2:$X$78,2,0)</f>
        <v>#N/A</v>
      </c>
      <c r="M25" s="92" t="e">
        <f>VLOOKUP($C25,Score!$B$2:$X$78,2,0)</f>
        <v>#N/A</v>
      </c>
      <c r="N25" s="92" t="e">
        <f>VLOOKUP($C25,Score!$B$2:$X$78,2,0)</f>
        <v>#N/A</v>
      </c>
      <c r="O25" s="92" t="e">
        <f>VLOOKUP($C25,Score!$B$2:$X$78,2,0)</f>
        <v>#N/A</v>
      </c>
      <c r="P25" s="92" t="e">
        <f>VLOOKUP($C25,Score!$B$2:$X$78,2,0)</f>
        <v>#N/A</v>
      </c>
      <c r="Q25" s="92" t="e">
        <f>VLOOKUP($C25,Score!$B$2:$X$78,2,0)</f>
        <v>#N/A</v>
      </c>
      <c r="R25" s="92" t="e">
        <f>VLOOKUP($C25,Score!$B$2:$X$78,2,0)</f>
        <v>#N/A</v>
      </c>
      <c r="S25" s="92" t="e">
        <f>VLOOKUP($C25,Score!$B$2:$X$78,2,0)</f>
        <v>#N/A</v>
      </c>
      <c r="T25" s="92" t="e">
        <f>VLOOKUP($C25,Score!$B$2:$X$78,2,0)</f>
        <v>#N/A</v>
      </c>
      <c r="U25" s="92" t="e">
        <f>VLOOKUP($C25,Score!$B$2:$X$78,2,0)</f>
        <v>#N/A</v>
      </c>
      <c r="V25" s="92" t="e">
        <f>VLOOKUP($C25,Score!$B$2:$X$78,2,0)</f>
        <v>#N/A</v>
      </c>
      <c r="W25" s="92" t="e">
        <f>VLOOKUP($C25,Score!$B$2:$X$78,2,0)</f>
        <v>#N/A</v>
      </c>
      <c r="X25" s="92" t="e">
        <f>VLOOKUP($C25,Score!$B$2:$X$78,2,0)</f>
        <v>#N/A</v>
      </c>
      <c r="Y25" s="92" t="e">
        <f>VLOOKUP($C25,Score!$B$2:$X$78,2,0)</f>
        <v>#N/A</v>
      </c>
      <c r="Z25" s="92" t="e">
        <f>VLOOKUP($C25,Score!$B$2:$X$78,2,0)</f>
        <v>#N/A</v>
      </c>
      <c r="AA25" s="92" t="e">
        <f>VLOOKUP($C25,Score!$B$2:$X$78,2,0)</f>
        <v>#N/A</v>
      </c>
    </row>
    <row r="26" spans="3:28" s="61" customFormat="1">
      <c r="C26" s="80"/>
      <c r="D26" s="80"/>
      <c r="E26" s="92" t="e">
        <f>VLOOKUP($C26,Score!$B$2:$X$78,2,0)</f>
        <v>#N/A</v>
      </c>
      <c r="F26" s="92" t="e">
        <f>VLOOKUP($C26,Score!$B$2:$X$78,2,0)</f>
        <v>#N/A</v>
      </c>
      <c r="G26" s="92" t="e">
        <f>VLOOKUP($C26,Score!$B$2:$X$78,2,0)</f>
        <v>#N/A</v>
      </c>
      <c r="H26" s="92" t="e">
        <f>VLOOKUP($C26,Score!$B$2:$X$78,2,0)</f>
        <v>#N/A</v>
      </c>
      <c r="I26" s="92" t="e">
        <f>VLOOKUP($C26,Score!$B$2:$X$78,2,0)</f>
        <v>#N/A</v>
      </c>
      <c r="J26" s="92" t="e">
        <f>VLOOKUP($C26,Score!$B$2:$X$78,2,0)</f>
        <v>#N/A</v>
      </c>
      <c r="K26" s="92" t="e">
        <f>VLOOKUP($C26,Score!$B$2:$X$78,2,0)</f>
        <v>#N/A</v>
      </c>
      <c r="L26" s="92" t="e">
        <f>VLOOKUP($C26,Score!$B$2:$X$78,2,0)</f>
        <v>#N/A</v>
      </c>
      <c r="M26" s="92" t="e">
        <f>VLOOKUP($C26,Score!$B$2:$X$78,2,0)</f>
        <v>#N/A</v>
      </c>
      <c r="N26" s="92" t="e">
        <f>VLOOKUP($C26,Score!$B$2:$X$78,2,0)</f>
        <v>#N/A</v>
      </c>
      <c r="O26" s="92" t="e">
        <f>VLOOKUP($C26,Score!$B$2:$X$78,2,0)</f>
        <v>#N/A</v>
      </c>
      <c r="P26" s="92" t="e">
        <f>VLOOKUP($C26,Score!$B$2:$X$78,2,0)</f>
        <v>#N/A</v>
      </c>
      <c r="Q26" s="92" t="e">
        <f>VLOOKUP($C26,Score!$B$2:$X$78,2,0)</f>
        <v>#N/A</v>
      </c>
      <c r="R26" s="92" t="e">
        <f>VLOOKUP($C26,Score!$B$2:$X$78,2,0)</f>
        <v>#N/A</v>
      </c>
      <c r="S26" s="92" t="e">
        <f>VLOOKUP($C26,Score!$B$2:$X$78,2,0)</f>
        <v>#N/A</v>
      </c>
      <c r="T26" s="92" t="e">
        <f>VLOOKUP($C26,Score!$B$2:$X$78,2,0)</f>
        <v>#N/A</v>
      </c>
      <c r="U26" s="92" t="e">
        <f>VLOOKUP($C26,Score!$B$2:$X$78,2,0)</f>
        <v>#N/A</v>
      </c>
      <c r="V26" s="92" t="e">
        <f>VLOOKUP($C26,Score!$B$2:$X$78,2,0)</f>
        <v>#N/A</v>
      </c>
      <c r="W26" s="92" t="e">
        <f>VLOOKUP($C26,Score!$B$2:$X$78,2,0)</f>
        <v>#N/A</v>
      </c>
      <c r="X26" s="92" t="e">
        <f>VLOOKUP($C26,Score!$B$2:$X$78,2,0)</f>
        <v>#N/A</v>
      </c>
      <c r="Y26" s="92" t="e">
        <f>VLOOKUP($C26,Score!$B$2:$X$78,2,0)</f>
        <v>#N/A</v>
      </c>
      <c r="Z26" s="92" t="e">
        <f>VLOOKUP($C26,Score!$B$2:$X$78,2,0)</f>
        <v>#N/A</v>
      </c>
      <c r="AA26" s="92" t="e">
        <f>VLOOKUP($C26,Score!$B$2:$X$78,2,0)</f>
        <v>#N/A</v>
      </c>
    </row>
    <row r="27" spans="3:28" s="48" customFormat="1">
      <c r="C27" s="29"/>
      <c r="D27" s="29"/>
      <c r="E27" s="37"/>
      <c r="F27" s="37"/>
      <c r="G27" s="38"/>
      <c r="H27" s="37"/>
      <c r="I27" s="37"/>
      <c r="J27" s="37"/>
      <c r="K27" s="37"/>
      <c r="L27" s="37"/>
      <c r="M27" s="37"/>
      <c r="N27" s="37"/>
      <c r="O27" s="37"/>
      <c r="AA27" s="41"/>
    </row>
    <row r="28" spans="3:28" s="48" customFormat="1">
      <c r="C28" s="54"/>
      <c r="D28" s="54"/>
      <c r="E28" s="37"/>
      <c r="F28" s="37"/>
      <c r="G28" s="38"/>
      <c r="H28" s="37"/>
      <c r="I28" s="37"/>
      <c r="J28" s="37"/>
      <c r="K28" s="37"/>
      <c r="L28" s="37"/>
      <c r="M28" s="37"/>
      <c r="N28" s="37"/>
      <c r="O28" s="37"/>
      <c r="AA28" s="41"/>
    </row>
    <row r="29" spans="3:28" s="48" customFormat="1">
      <c r="C29" s="29"/>
      <c r="D29" s="29"/>
      <c r="E29" s="37"/>
      <c r="F29" s="37"/>
      <c r="G29" s="38"/>
      <c r="H29" s="37"/>
      <c r="I29" s="37"/>
      <c r="J29" s="37"/>
      <c r="K29" s="37"/>
      <c r="L29" s="37"/>
      <c r="M29" s="37"/>
      <c r="N29" s="37"/>
      <c r="O29" s="37"/>
      <c r="AA29" s="41"/>
    </row>
    <row r="30" spans="3:28" s="48" customFormat="1">
      <c r="C30" s="29"/>
      <c r="D30" s="29"/>
      <c r="E30" s="37"/>
      <c r="F30" s="37"/>
      <c r="G30" s="38"/>
      <c r="H30" s="37"/>
      <c r="I30" s="37"/>
      <c r="J30" s="37"/>
      <c r="K30" s="37"/>
      <c r="L30" s="37"/>
      <c r="M30" s="37"/>
      <c r="N30" s="37"/>
      <c r="O30" s="37"/>
      <c r="AA30" s="41"/>
    </row>
    <row r="31" spans="3:28" s="48" customFormat="1">
      <c r="C31" s="29"/>
      <c r="D31" s="29"/>
      <c r="E31" s="37"/>
      <c r="F31" s="37"/>
      <c r="G31" s="38"/>
      <c r="H31" s="37"/>
      <c r="I31" s="37"/>
      <c r="J31" s="37"/>
      <c r="K31" s="37"/>
      <c r="L31" s="37"/>
      <c r="M31" s="37"/>
      <c r="N31" s="37"/>
      <c r="O31" s="37"/>
      <c r="AA31" s="41"/>
    </row>
    <row r="32" spans="3:28" s="14" customFormat="1">
      <c r="C32" s="16"/>
      <c r="D32" s="16"/>
      <c r="E32" s="10"/>
      <c r="F32" s="10"/>
      <c r="G32" s="11"/>
      <c r="H32" s="12"/>
      <c r="I32" s="12"/>
      <c r="J32" s="12"/>
      <c r="K32" s="12"/>
      <c r="L32" s="12"/>
      <c r="M32" s="12"/>
      <c r="N32" s="12"/>
      <c r="O32" s="12"/>
      <c r="P32" s="13"/>
      <c r="AA32" s="15"/>
    </row>
    <row r="33" spans="3:27" s="14" customFormat="1">
      <c r="C33" s="16"/>
      <c r="D33" s="16"/>
      <c r="E33" s="10"/>
      <c r="F33" s="10"/>
      <c r="G33" s="11"/>
      <c r="H33" s="12"/>
      <c r="I33" s="12"/>
      <c r="J33" s="12"/>
      <c r="K33" s="12"/>
      <c r="L33" s="12"/>
      <c r="M33" s="12"/>
      <c r="N33" s="12"/>
      <c r="O33" s="12"/>
      <c r="P33" s="13"/>
      <c r="AA33" s="15"/>
    </row>
    <row r="34" spans="3:27" s="14" customFormat="1">
      <c r="C34" s="16"/>
      <c r="D34" s="16"/>
      <c r="E34" s="10"/>
      <c r="F34" s="10"/>
      <c r="G34" s="11"/>
      <c r="H34" s="12"/>
      <c r="I34" s="12"/>
      <c r="J34" s="12"/>
      <c r="K34" s="12"/>
      <c r="L34" s="12"/>
      <c r="M34" s="12"/>
      <c r="N34" s="12"/>
      <c r="O34" s="12"/>
      <c r="P34" s="13"/>
      <c r="AA34" s="15"/>
    </row>
    <row r="35" spans="3:27" s="14" customFormat="1">
      <c r="C35" s="16"/>
      <c r="D35" s="16"/>
      <c r="E35" s="10"/>
      <c r="F35" s="10"/>
      <c r="G35" s="11"/>
      <c r="H35" s="12"/>
      <c r="I35" s="12"/>
      <c r="J35" s="12"/>
      <c r="K35" s="12"/>
      <c r="L35" s="12"/>
      <c r="M35" s="12"/>
      <c r="N35" s="12"/>
      <c r="O35" s="12"/>
      <c r="P35" s="13"/>
      <c r="AA35" s="15"/>
    </row>
    <row r="36" spans="3:27" s="14" customFormat="1">
      <c r="C36" s="16"/>
      <c r="D36" s="16"/>
      <c r="E36" s="10"/>
      <c r="F36" s="10"/>
      <c r="G36" s="11"/>
      <c r="H36" s="12"/>
      <c r="I36" s="12"/>
      <c r="J36" s="12"/>
      <c r="K36" s="12"/>
      <c r="L36" s="12"/>
      <c r="M36" s="12"/>
      <c r="N36" s="12"/>
      <c r="O36" s="12"/>
      <c r="P36" s="13"/>
      <c r="AA36" s="15"/>
    </row>
    <row r="37" spans="3:27" s="14" customFormat="1">
      <c r="C37" s="16"/>
      <c r="D37" s="16"/>
      <c r="E37" s="10"/>
      <c r="F37" s="10"/>
      <c r="G37" s="11"/>
      <c r="H37" s="12"/>
      <c r="I37" s="12"/>
      <c r="J37" s="12"/>
      <c r="K37" s="12"/>
      <c r="L37" s="12"/>
      <c r="M37" s="12"/>
      <c r="N37" s="12"/>
      <c r="O37" s="12"/>
      <c r="P37" s="13"/>
      <c r="AA37" s="15"/>
    </row>
    <row r="38" spans="3:27" s="14" customFormat="1">
      <c r="C38" s="16"/>
      <c r="D38" s="16"/>
      <c r="E38" s="10"/>
      <c r="F38" s="10"/>
      <c r="G38" s="11"/>
      <c r="H38" s="12"/>
      <c r="I38" s="12"/>
      <c r="J38" s="12"/>
      <c r="K38" s="12"/>
      <c r="L38" s="12"/>
      <c r="M38" s="12"/>
      <c r="N38" s="12"/>
      <c r="O38" s="12"/>
      <c r="P38" s="13"/>
      <c r="AA38" s="15"/>
    </row>
    <row r="39" spans="3:27" s="14" customFormat="1">
      <c r="C39" s="16"/>
      <c r="D39" s="16"/>
      <c r="E39" s="10"/>
      <c r="F39" s="10"/>
      <c r="G39" s="11"/>
      <c r="H39" s="12"/>
      <c r="I39" s="12"/>
      <c r="J39" s="12"/>
      <c r="K39" s="12"/>
      <c r="L39" s="12"/>
      <c r="M39" s="12"/>
      <c r="N39" s="12"/>
      <c r="O39" s="12"/>
      <c r="P39" s="13"/>
      <c r="AA39" s="15"/>
    </row>
    <row r="40" spans="3:27" s="14" customFormat="1">
      <c r="C40" s="16"/>
      <c r="D40" s="16"/>
      <c r="E40" s="10"/>
      <c r="F40" s="10"/>
      <c r="G40" s="11"/>
      <c r="H40" s="12"/>
      <c r="I40" s="12"/>
      <c r="J40" s="12"/>
      <c r="K40" s="12"/>
      <c r="L40" s="12"/>
      <c r="M40" s="12"/>
      <c r="N40" s="12"/>
      <c r="O40" s="12"/>
      <c r="P40" s="13"/>
      <c r="AA40" s="15"/>
    </row>
    <row r="41" spans="3:27" s="14" customFormat="1">
      <c r="C41" s="49"/>
      <c r="D41" s="49"/>
      <c r="E41" s="10"/>
      <c r="F41" s="10"/>
      <c r="G41" s="11"/>
      <c r="H41" s="12"/>
      <c r="I41" s="12"/>
      <c r="J41" s="12"/>
      <c r="K41" s="12"/>
      <c r="L41" s="12"/>
      <c r="M41" s="12"/>
      <c r="N41" s="12"/>
      <c r="O41" s="12"/>
      <c r="P41" s="13"/>
      <c r="AA41" s="15"/>
    </row>
    <row r="42" spans="3:27" s="14" customFormat="1">
      <c r="C42" s="49"/>
      <c r="D42" s="49"/>
      <c r="E42" s="10"/>
      <c r="F42" s="10"/>
      <c r="G42" s="11"/>
      <c r="H42" s="12"/>
      <c r="I42" s="12"/>
      <c r="J42" s="12"/>
      <c r="K42" s="12"/>
      <c r="L42" s="12"/>
      <c r="M42" s="12"/>
      <c r="N42" s="12"/>
      <c r="O42" s="12"/>
      <c r="P42" s="13"/>
      <c r="AA42" s="15"/>
    </row>
    <row r="43" spans="3:27" s="14" customFormat="1">
      <c r="C43" s="49"/>
      <c r="D43" s="49"/>
      <c r="E43" s="10"/>
      <c r="F43" s="10"/>
      <c r="G43" s="11"/>
      <c r="H43" s="12"/>
      <c r="I43" s="12"/>
      <c r="J43" s="12"/>
      <c r="K43" s="12"/>
      <c r="L43" s="12"/>
      <c r="M43" s="12"/>
      <c r="N43" s="12"/>
      <c r="O43" s="12"/>
      <c r="P43" s="13"/>
      <c r="AA43" s="15"/>
    </row>
    <row r="44" spans="3:27" s="14" customFormat="1">
      <c r="C44" s="49"/>
      <c r="D44" s="49"/>
      <c r="E44" s="10"/>
      <c r="F44" s="10"/>
      <c r="G44" s="11"/>
      <c r="H44" s="12"/>
      <c r="I44" s="12"/>
      <c r="J44" s="12"/>
      <c r="K44" s="12"/>
      <c r="L44" s="12"/>
      <c r="M44" s="12"/>
      <c r="N44" s="12"/>
      <c r="O44" s="12"/>
      <c r="P44" s="13"/>
      <c r="AA44" s="15"/>
    </row>
    <row r="45" spans="3:27" s="14" customFormat="1">
      <c r="C45" s="49"/>
      <c r="D45" s="49"/>
      <c r="E45" s="10"/>
      <c r="F45" s="10"/>
      <c r="G45" s="11"/>
      <c r="H45" s="12"/>
      <c r="I45" s="12"/>
      <c r="J45" s="12"/>
      <c r="K45" s="12"/>
      <c r="L45" s="12"/>
      <c r="M45" s="12"/>
      <c r="N45" s="12"/>
      <c r="O45" s="12"/>
      <c r="P45" s="13"/>
      <c r="AA45" s="15"/>
    </row>
    <row r="46" spans="3:27" s="14" customFormat="1">
      <c r="C46" s="49"/>
      <c r="D46" s="49"/>
      <c r="E46" s="10"/>
      <c r="F46" s="10"/>
      <c r="G46" s="11"/>
      <c r="H46" s="12"/>
      <c r="I46" s="12"/>
      <c r="J46" s="12"/>
      <c r="K46" s="12"/>
      <c r="L46" s="12"/>
      <c r="M46" s="12"/>
      <c r="N46" s="12"/>
      <c r="O46" s="12"/>
      <c r="P46" s="13"/>
      <c r="AA46" s="15"/>
    </row>
    <row r="47" spans="3:27" s="14" customFormat="1">
      <c r="C47" s="49"/>
      <c r="D47" s="49"/>
      <c r="E47" s="10"/>
      <c r="F47" s="10"/>
      <c r="G47" s="11"/>
      <c r="H47" s="12"/>
      <c r="I47" s="12"/>
      <c r="J47" s="12"/>
      <c r="K47" s="12"/>
      <c r="L47" s="12"/>
      <c r="M47" s="12"/>
      <c r="N47" s="12"/>
      <c r="O47" s="12"/>
      <c r="P47" s="13"/>
      <c r="AA47" s="15"/>
    </row>
    <row r="48" spans="3:27" s="14" customFormat="1">
      <c r="C48" s="49"/>
      <c r="D48" s="49"/>
      <c r="E48" s="10"/>
      <c r="F48" s="10"/>
      <c r="G48" s="11"/>
      <c r="H48" s="12"/>
      <c r="I48" s="12"/>
      <c r="J48" s="12"/>
      <c r="K48" s="12"/>
      <c r="L48" s="12"/>
      <c r="M48" s="12"/>
      <c r="N48" s="12"/>
      <c r="O48" s="12"/>
      <c r="P48" s="13"/>
      <c r="AA48" s="15"/>
    </row>
    <row r="49" spans="3:27" s="14" customFormat="1">
      <c r="C49" s="49"/>
      <c r="D49" s="49"/>
      <c r="E49" s="10"/>
      <c r="F49" s="10"/>
      <c r="G49" s="11"/>
      <c r="H49" s="12"/>
      <c r="I49" s="12"/>
      <c r="J49" s="12"/>
      <c r="K49" s="12"/>
      <c r="L49" s="12"/>
      <c r="M49" s="12"/>
      <c r="N49" s="12"/>
      <c r="O49" s="12"/>
      <c r="P49" s="13"/>
      <c r="AA49" s="15"/>
    </row>
    <row r="50" spans="3:27" s="14" customFormat="1">
      <c r="C50" s="49"/>
      <c r="D50" s="49"/>
      <c r="E50" s="10"/>
      <c r="F50" s="10"/>
      <c r="G50" s="11"/>
      <c r="H50" s="12"/>
      <c r="I50" s="12"/>
      <c r="J50" s="12"/>
      <c r="K50" s="12"/>
      <c r="L50" s="12"/>
      <c r="M50" s="12"/>
      <c r="N50" s="12"/>
      <c r="O50" s="12"/>
      <c r="P50" s="13"/>
      <c r="AA50" s="15"/>
    </row>
    <row r="51" spans="3:27" s="14" customFormat="1">
      <c r="C51" s="49"/>
      <c r="D51" s="49"/>
      <c r="E51" s="10"/>
      <c r="F51" s="10"/>
      <c r="G51" s="11"/>
      <c r="H51" s="12"/>
      <c r="I51" s="12"/>
      <c r="J51" s="12"/>
      <c r="K51" s="12"/>
      <c r="L51" s="12"/>
      <c r="M51" s="12"/>
      <c r="N51" s="12"/>
      <c r="O51" s="12"/>
      <c r="P51" s="13"/>
      <c r="AA51" s="15"/>
    </row>
    <row r="52" spans="3:27" s="14" customFormat="1">
      <c r="C52" s="49"/>
      <c r="D52" s="49"/>
      <c r="E52" s="10"/>
      <c r="F52" s="10"/>
      <c r="G52" s="11"/>
      <c r="H52" s="12"/>
      <c r="I52" s="12"/>
      <c r="J52" s="12"/>
      <c r="K52" s="12"/>
      <c r="L52" s="12"/>
      <c r="M52" s="12"/>
      <c r="N52" s="12"/>
      <c r="O52" s="12"/>
      <c r="P52" s="13"/>
      <c r="AA52" s="15"/>
    </row>
    <row r="53" spans="3:27" s="14" customFormat="1">
      <c r="C53" s="49"/>
      <c r="D53" s="49"/>
      <c r="E53" s="10"/>
      <c r="F53" s="10"/>
      <c r="G53" s="11"/>
      <c r="H53" s="12"/>
      <c r="I53" s="12"/>
      <c r="J53" s="12"/>
      <c r="K53" s="12"/>
      <c r="L53" s="12"/>
      <c r="M53" s="12"/>
      <c r="N53" s="12"/>
      <c r="O53" s="12"/>
      <c r="P53" s="13"/>
      <c r="AA53" s="15"/>
    </row>
    <row r="54" spans="3:27" s="14" customFormat="1">
      <c r="C54" s="49"/>
      <c r="D54" s="49"/>
      <c r="E54" s="10"/>
      <c r="F54" s="10"/>
      <c r="G54" s="11"/>
      <c r="H54" s="12"/>
      <c r="I54" s="12"/>
      <c r="J54" s="12"/>
      <c r="K54" s="12"/>
      <c r="L54" s="12"/>
      <c r="M54" s="12"/>
      <c r="N54" s="12"/>
      <c r="O54" s="12"/>
      <c r="P54" s="13"/>
      <c r="AA54" s="15"/>
    </row>
    <row r="55" spans="3:27" s="14" customFormat="1">
      <c r="C55" s="49"/>
      <c r="D55" s="49"/>
      <c r="E55" s="10"/>
      <c r="F55" s="10"/>
      <c r="G55" s="11"/>
      <c r="H55" s="12"/>
      <c r="I55" s="12"/>
      <c r="J55" s="12"/>
      <c r="K55" s="12"/>
      <c r="L55" s="12"/>
      <c r="M55" s="12"/>
      <c r="N55" s="12"/>
      <c r="O55" s="12"/>
      <c r="P55" s="13"/>
      <c r="AA55" s="15"/>
    </row>
    <row r="56" spans="3:27" s="14" customFormat="1">
      <c r="C56" s="49"/>
      <c r="D56" s="49"/>
      <c r="E56" s="10"/>
      <c r="F56" s="10"/>
      <c r="G56" s="11"/>
      <c r="H56" s="12"/>
      <c r="I56" s="12"/>
      <c r="J56" s="12"/>
      <c r="K56" s="12"/>
      <c r="L56" s="12"/>
      <c r="M56" s="12"/>
      <c r="N56" s="12"/>
      <c r="O56" s="12"/>
      <c r="P56" s="13"/>
      <c r="AA56" s="15"/>
    </row>
    <row r="57" spans="3:27" s="14" customFormat="1">
      <c r="C57" s="49"/>
      <c r="D57" s="49"/>
      <c r="E57" s="10"/>
      <c r="F57" s="10"/>
      <c r="G57" s="11"/>
      <c r="H57" s="12"/>
      <c r="I57" s="12"/>
      <c r="J57" s="12"/>
      <c r="K57" s="12"/>
      <c r="L57" s="12"/>
      <c r="M57" s="12"/>
      <c r="N57" s="12"/>
      <c r="O57" s="12"/>
      <c r="P57" s="13"/>
      <c r="AA57" s="15"/>
    </row>
    <row r="58" spans="3:27" s="14" customFormat="1">
      <c r="C58" s="49"/>
      <c r="D58" s="49"/>
      <c r="E58" s="10"/>
      <c r="F58" s="10"/>
      <c r="G58" s="11"/>
      <c r="H58" s="12"/>
      <c r="I58" s="12"/>
      <c r="J58" s="12"/>
      <c r="K58" s="12"/>
      <c r="L58" s="12"/>
      <c r="M58" s="12"/>
      <c r="N58" s="12"/>
      <c r="O58" s="12"/>
      <c r="P58" s="13"/>
      <c r="AA58" s="15"/>
    </row>
    <row r="59" spans="3:27" s="14" customFormat="1">
      <c r="C59" s="49"/>
      <c r="D59" s="49"/>
      <c r="E59" s="10"/>
      <c r="F59" s="10"/>
      <c r="G59" s="11"/>
      <c r="H59" s="12"/>
      <c r="I59" s="12"/>
      <c r="J59" s="12"/>
      <c r="K59" s="12"/>
      <c r="L59" s="12"/>
      <c r="M59" s="12"/>
      <c r="N59" s="12"/>
      <c r="O59" s="12"/>
      <c r="P59" s="13"/>
      <c r="AA59" s="15"/>
    </row>
    <row r="60" spans="3:27" s="14" customFormat="1">
      <c r="C60" s="49"/>
      <c r="D60" s="49"/>
      <c r="E60" s="10"/>
      <c r="F60" s="10"/>
      <c r="G60" s="11"/>
      <c r="H60" s="12"/>
      <c r="I60" s="12"/>
      <c r="J60" s="12"/>
      <c r="K60" s="12"/>
      <c r="L60" s="12"/>
      <c r="M60" s="12"/>
      <c r="N60" s="12"/>
      <c r="O60" s="12"/>
      <c r="P60" s="13"/>
      <c r="AA60" s="15"/>
    </row>
    <row r="61" spans="3:27" s="14" customFormat="1">
      <c r="C61" s="49"/>
      <c r="D61" s="49"/>
      <c r="E61" s="10"/>
      <c r="F61" s="10"/>
      <c r="G61" s="11"/>
      <c r="H61" s="12"/>
      <c r="I61" s="12"/>
      <c r="J61" s="12"/>
      <c r="K61" s="12"/>
      <c r="L61" s="12"/>
      <c r="M61" s="12"/>
      <c r="N61" s="12"/>
      <c r="O61" s="12"/>
      <c r="P61" s="13"/>
      <c r="AA61" s="15"/>
    </row>
    <row r="62" spans="3:27" s="14" customFormat="1">
      <c r="C62" s="49"/>
      <c r="D62" s="49"/>
      <c r="E62" s="10"/>
      <c r="F62" s="10"/>
      <c r="G62" s="11"/>
      <c r="H62" s="12"/>
      <c r="I62" s="12"/>
      <c r="J62" s="12"/>
      <c r="K62" s="12"/>
      <c r="L62" s="12"/>
      <c r="M62" s="12"/>
      <c r="N62" s="12"/>
      <c r="O62" s="12"/>
      <c r="P62" s="13"/>
      <c r="AA62" s="15"/>
    </row>
    <row r="63" spans="3:27" s="14" customFormat="1">
      <c r="C63" s="49"/>
      <c r="D63" s="49"/>
      <c r="E63" s="10"/>
      <c r="F63" s="10"/>
      <c r="G63" s="11"/>
      <c r="H63" s="12"/>
      <c r="I63" s="12"/>
      <c r="J63" s="12"/>
      <c r="K63" s="12"/>
      <c r="L63" s="12"/>
      <c r="M63" s="12"/>
      <c r="N63" s="12"/>
      <c r="O63" s="12"/>
      <c r="P63" s="13"/>
      <c r="AA63" s="15"/>
    </row>
    <row r="64" spans="3:27" s="14" customFormat="1">
      <c r="C64" s="49"/>
      <c r="D64" s="49"/>
      <c r="E64" s="10"/>
      <c r="F64" s="10"/>
      <c r="G64" s="11"/>
      <c r="H64" s="12"/>
      <c r="I64" s="12"/>
      <c r="J64" s="12"/>
      <c r="K64" s="12"/>
      <c r="L64" s="12"/>
      <c r="M64" s="12"/>
      <c r="N64" s="12"/>
      <c r="O64" s="12"/>
      <c r="P64" s="13"/>
      <c r="AA64" s="15"/>
    </row>
    <row r="65" spans="3:27" s="14" customFormat="1">
      <c r="C65" s="49"/>
      <c r="D65" s="49"/>
      <c r="E65" s="10"/>
      <c r="F65" s="10"/>
      <c r="G65" s="11"/>
      <c r="H65" s="12"/>
      <c r="I65" s="12"/>
      <c r="J65" s="12"/>
      <c r="K65" s="12"/>
      <c r="L65" s="12"/>
      <c r="M65" s="12"/>
      <c r="N65" s="12"/>
      <c r="O65" s="12"/>
      <c r="P65" s="13"/>
      <c r="AA65" s="15"/>
    </row>
    <row r="66" spans="3:27" s="14" customFormat="1">
      <c r="C66" s="49"/>
      <c r="D66" s="49"/>
      <c r="E66" s="10"/>
      <c r="F66" s="10"/>
      <c r="G66" s="11"/>
      <c r="H66" s="12"/>
      <c r="I66" s="12"/>
      <c r="J66" s="12"/>
      <c r="K66" s="12"/>
      <c r="L66" s="12"/>
      <c r="M66" s="12"/>
      <c r="N66" s="12"/>
      <c r="O66" s="12"/>
      <c r="P66" s="13"/>
      <c r="AA66" s="15"/>
    </row>
    <row r="67" spans="3:27" s="14" customFormat="1">
      <c r="C67" s="49"/>
      <c r="D67" s="49"/>
      <c r="E67" s="10"/>
      <c r="F67" s="10"/>
      <c r="G67" s="11"/>
      <c r="H67" s="12"/>
      <c r="I67" s="12"/>
      <c r="J67" s="12"/>
      <c r="K67" s="12"/>
      <c r="L67" s="12"/>
      <c r="M67" s="12"/>
      <c r="N67" s="12"/>
      <c r="O67" s="12"/>
      <c r="P67" s="13"/>
      <c r="AA67" s="15"/>
    </row>
    <row r="68" spans="3:27" s="14" customFormat="1">
      <c r="C68" s="49"/>
      <c r="D68" s="49"/>
      <c r="E68" s="10"/>
      <c r="F68" s="10"/>
      <c r="G68" s="11"/>
      <c r="H68" s="12"/>
      <c r="I68" s="12"/>
      <c r="J68" s="12"/>
      <c r="K68" s="12"/>
      <c r="L68" s="12"/>
      <c r="M68" s="12"/>
      <c r="N68" s="12"/>
      <c r="O68" s="12"/>
      <c r="P68" s="13"/>
      <c r="AA68" s="15"/>
    </row>
    <row r="69" spans="3:27" s="14" customFormat="1">
      <c r="C69" s="49"/>
      <c r="D69" s="49"/>
      <c r="E69" s="10"/>
      <c r="F69" s="10"/>
      <c r="G69" s="11"/>
      <c r="H69" s="12"/>
      <c r="I69" s="12"/>
      <c r="J69" s="12"/>
      <c r="K69" s="12"/>
      <c r="L69" s="12"/>
      <c r="M69" s="12"/>
      <c r="N69" s="12"/>
      <c r="O69" s="12"/>
      <c r="P69" s="13"/>
      <c r="AA69" s="15"/>
    </row>
    <row r="70" spans="3:27" s="14" customFormat="1">
      <c r="C70" s="49"/>
      <c r="D70" s="49"/>
      <c r="E70" s="10"/>
      <c r="F70" s="10"/>
      <c r="G70" s="11"/>
      <c r="H70" s="12"/>
      <c r="I70" s="12"/>
      <c r="J70" s="12"/>
      <c r="K70" s="12"/>
      <c r="L70" s="12"/>
      <c r="M70" s="12"/>
      <c r="N70" s="12"/>
      <c r="O70" s="12"/>
      <c r="P70" s="13"/>
      <c r="AA70" s="15"/>
    </row>
    <row r="71" spans="3:27" s="14" customFormat="1">
      <c r="C71" s="49"/>
      <c r="D71" s="49"/>
      <c r="E71" s="10"/>
      <c r="F71" s="10"/>
      <c r="G71" s="11"/>
      <c r="H71" s="12"/>
      <c r="I71" s="12"/>
      <c r="J71" s="12"/>
      <c r="K71" s="12"/>
      <c r="L71" s="12"/>
      <c r="M71" s="12"/>
      <c r="N71" s="12"/>
      <c r="O71" s="12"/>
      <c r="P71" s="13"/>
      <c r="AA71" s="15"/>
    </row>
  </sheetData>
  <phoneticPr fontId="0" type="noConversion"/>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sheetPr codeName="Blad17">
    <tabColor indexed="12"/>
  </sheetPr>
  <dimension ref="C1:AB71"/>
  <sheetViews>
    <sheetView showZeros="0" workbookViewId="0">
      <selection activeCell="Y31" sqref="Y31"/>
    </sheetView>
  </sheetViews>
  <sheetFormatPr defaultRowHeight="12.75"/>
  <cols>
    <col min="1" max="1" width="2.7109375" customWidth="1"/>
    <col min="2" max="2" width="3.42578125" customWidth="1"/>
    <col min="3" max="4" width="12.28515625" style="47" customWidth="1"/>
    <col min="5" max="6" width="5.28515625" style="2" customWidth="1"/>
    <col min="7" max="7" width="5.42578125" style="5" customWidth="1"/>
    <col min="8" max="15" width="5.42578125" style="3" customWidth="1"/>
    <col min="16" max="16" width="5.42578125" style="4" customWidth="1"/>
    <col min="17" max="26" width="5.42578125" customWidth="1"/>
    <col min="27" max="27" width="6.28515625" style="1" customWidth="1"/>
    <col min="28" max="28" width="15" customWidth="1"/>
  </cols>
  <sheetData>
    <row r="1" spans="3:28">
      <c r="C1" s="17" t="s">
        <v>42</v>
      </c>
      <c r="D1" s="17"/>
    </row>
    <row r="2" spans="3:28">
      <c r="C2" s="1"/>
      <c r="D2" s="1"/>
      <c r="G2" s="3"/>
    </row>
    <row r="3" spans="3:28" s="4" customFormat="1" ht="13.5" thickBot="1">
      <c r="C3" s="30"/>
      <c r="D3" s="35"/>
      <c r="E3" s="9">
        <f>Score!C1</f>
        <v>1</v>
      </c>
      <c r="F3" s="9">
        <f>Score!E1</f>
        <v>3</v>
      </c>
      <c r="G3" s="9">
        <f>Score!F1</f>
        <v>4</v>
      </c>
      <c r="H3" s="9">
        <f>Score!G1</f>
        <v>5</v>
      </c>
      <c r="I3" s="9">
        <f>Score!H1</f>
        <v>6</v>
      </c>
      <c r="J3" s="9">
        <f>Score!I1</f>
        <v>7</v>
      </c>
      <c r="K3" s="9">
        <f>Score!J1</f>
        <v>8</v>
      </c>
      <c r="L3" s="9">
        <f>Score!K1</f>
        <v>9</v>
      </c>
      <c r="M3" s="9">
        <f>Score!L1</f>
        <v>10</v>
      </c>
      <c r="N3" s="9">
        <f>Score!M1</f>
        <v>11</v>
      </c>
      <c r="O3" s="9">
        <f>Score!N1</f>
        <v>12</v>
      </c>
      <c r="P3" s="9">
        <f>Score!O1</f>
        <v>13</v>
      </c>
      <c r="Q3" s="9">
        <f>Score!P1</f>
        <v>14</v>
      </c>
      <c r="R3" s="9">
        <f>Score!Q1</f>
        <v>15</v>
      </c>
      <c r="S3" s="9">
        <f>Score!R1</f>
        <v>16</v>
      </c>
      <c r="T3" s="9">
        <f>Score!S1</f>
        <v>17</v>
      </c>
      <c r="U3" s="9">
        <f>Score!T1</f>
        <v>18</v>
      </c>
      <c r="V3" s="9">
        <f>Score!U1</f>
        <v>19</v>
      </c>
      <c r="W3" s="9">
        <f>Score!V1</f>
        <v>20</v>
      </c>
      <c r="X3" s="9">
        <f>Score!W1</f>
        <v>21</v>
      </c>
      <c r="Y3" s="9" t="e">
        <f>Score!#REF!</f>
        <v>#REF!</v>
      </c>
      <c r="Z3" s="9" t="s">
        <v>2</v>
      </c>
      <c r="AA3" s="7"/>
    </row>
    <row r="4" spans="3:28">
      <c r="C4"/>
      <c r="D4"/>
      <c r="E4" s="2" t="e">
        <f>VLOOKUP($C4,Score!$B$2:$X$78,2,0)</f>
        <v>#N/A</v>
      </c>
      <c r="F4" s="2" t="e">
        <f>VLOOKUP($C4,Score!$B$2:$X$78,3,0)</f>
        <v>#N/A</v>
      </c>
      <c r="G4" s="2" t="e">
        <f>VLOOKUP($C4,Score!$B$2:$X$78,4,0)</f>
        <v>#N/A</v>
      </c>
      <c r="H4" s="2" t="e">
        <f>VLOOKUP($C4,Score!$B$2:$X$78,5,0)</f>
        <v>#N/A</v>
      </c>
      <c r="I4" s="2" t="e">
        <f>VLOOKUP($C4,Score!$B$2:$X$78,6,0)</f>
        <v>#N/A</v>
      </c>
      <c r="J4" s="2" t="e">
        <f>VLOOKUP($C4,Score!$B$2:$X$78,7,0)</f>
        <v>#N/A</v>
      </c>
      <c r="K4" s="2" t="e">
        <f>VLOOKUP($C4,Score!$B$2:$X$78,8,0)</f>
        <v>#N/A</v>
      </c>
      <c r="L4" s="2" t="e">
        <f>VLOOKUP($C4,Score!$B$2:$X$78,9,0)</f>
        <v>#N/A</v>
      </c>
      <c r="M4" s="2" t="e">
        <f>VLOOKUP($C4,Score!$B$2:$X$78,10,0)</f>
        <v>#N/A</v>
      </c>
      <c r="N4" s="2" t="e">
        <f>VLOOKUP($C4,Score!$B$2:$X$78,11,0)</f>
        <v>#N/A</v>
      </c>
      <c r="O4" s="2" t="e">
        <f>VLOOKUP($C4,Score!$B$2:$X$78,12,0)</f>
        <v>#N/A</v>
      </c>
      <c r="P4" s="2" t="e">
        <f>VLOOKUP($C4,Score!$B$2:$X$78,13,0)</f>
        <v>#N/A</v>
      </c>
      <c r="Q4" s="2" t="e">
        <f>VLOOKUP($C4,Score!$B$2:$X$78,14,0)</f>
        <v>#N/A</v>
      </c>
      <c r="R4" s="2" t="e">
        <f>VLOOKUP($C4,Score!$B$2:$X$78,15,0)</f>
        <v>#N/A</v>
      </c>
      <c r="S4" s="2" t="e">
        <f>VLOOKUP($C4,Score!$B$2:$X$78,16,0)</f>
        <v>#N/A</v>
      </c>
      <c r="T4" s="2" t="e">
        <f>VLOOKUP($C4,Score!$B$2:$X$78,17,0)</f>
        <v>#N/A</v>
      </c>
      <c r="U4" s="2" t="e">
        <f>VLOOKUP($C4,Score!$B$2:$X$78,18,0)</f>
        <v>#N/A</v>
      </c>
      <c r="V4" s="2" t="e">
        <f>VLOOKUP($C4,Score!$B$2:$X$78,19,0)</f>
        <v>#N/A</v>
      </c>
      <c r="W4" s="2" t="e">
        <f>VLOOKUP($C4,Score!$B$2:$X$78,20,0)</f>
        <v>#N/A</v>
      </c>
      <c r="X4" s="2" t="e">
        <f>VLOOKUP($C4,Score!$B$2:$Z$77,21,0)</f>
        <v>#N/A</v>
      </c>
      <c r="Y4" s="2" t="e">
        <f>VLOOKUP($C4,Score!$B$2:$Z$77,22,0)</f>
        <v>#N/A</v>
      </c>
      <c r="Z4" s="2" t="e">
        <f>VLOOKUP($C4,Score!$B$2:$Z$77,24,0)</f>
        <v>#N/A</v>
      </c>
      <c r="AA4" s="6" t="e">
        <f t="shared" ref="AA4:AA20" si="0">SUM(E4:Z4)</f>
        <v>#N/A</v>
      </c>
      <c r="AB4">
        <f t="shared" ref="AB4:AB20" si="1">C4</f>
        <v>0</v>
      </c>
    </row>
    <row r="5" spans="3:28">
      <c r="C5"/>
      <c r="D5"/>
      <c r="E5" s="2" t="e">
        <f>VLOOKUP($C5,Score!$B$2:$X$78,2,0)</f>
        <v>#N/A</v>
      </c>
      <c r="F5" s="2" t="e">
        <f>VLOOKUP($C5,Score!$B$2:$X$78,3,0)</f>
        <v>#N/A</v>
      </c>
      <c r="G5" s="2" t="e">
        <f>VLOOKUP($C5,Score!$B$2:$X$78,4,0)</f>
        <v>#N/A</v>
      </c>
      <c r="H5" s="2" t="e">
        <f>VLOOKUP($C5,Score!$B$2:$X$78,5,0)</f>
        <v>#N/A</v>
      </c>
      <c r="I5" s="2" t="e">
        <f>VLOOKUP($C5,Score!$B$2:$X$78,6,0)</f>
        <v>#N/A</v>
      </c>
      <c r="J5" s="2" t="e">
        <f>VLOOKUP($C5,Score!$B$2:$X$78,7,0)</f>
        <v>#N/A</v>
      </c>
      <c r="K5" s="2" t="e">
        <f>VLOOKUP($C5,Score!$B$2:$X$78,8,0)</f>
        <v>#N/A</v>
      </c>
      <c r="L5" s="2" t="e">
        <f>VLOOKUP($C5,Score!$B$2:$X$78,9,0)</f>
        <v>#N/A</v>
      </c>
      <c r="M5" s="2" t="e">
        <f>VLOOKUP($C5,Score!$B$2:$X$78,10,0)</f>
        <v>#N/A</v>
      </c>
      <c r="N5" s="2" t="e">
        <f>VLOOKUP($C5,Score!$B$2:$X$78,11,0)</f>
        <v>#N/A</v>
      </c>
      <c r="O5" s="2" t="e">
        <f>VLOOKUP($C5,Score!$B$2:$X$78,12,0)</f>
        <v>#N/A</v>
      </c>
      <c r="P5" s="2" t="e">
        <f>VLOOKUP($C5,Score!$B$2:$X$78,13,0)</f>
        <v>#N/A</v>
      </c>
      <c r="Q5" s="2" t="e">
        <f>VLOOKUP($C5,Score!$B$2:$X$78,14,0)</f>
        <v>#N/A</v>
      </c>
      <c r="R5" s="2" t="e">
        <f>VLOOKUP($C5,Score!$B$2:$X$78,15,0)</f>
        <v>#N/A</v>
      </c>
      <c r="S5" s="2" t="e">
        <f>VLOOKUP($C5,Score!$B$2:$X$78,16,0)</f>
        <v>#N/A</v>
      </c>
      <c r="T5" s="2" t="e">
        <f>VLOOKUP($C5,Score!$B$2:$X$78,17,0)</f>
        <v>#N/A</v>
      </c>
      <c r="U5" s="2" t="e">
        <f>VLOOKUP($C5,Score!$B$2:$X$78,18,0)</f>
        <v>#N/A</v>
      </c>
      <c r="V5" s="2" t="e">
        <f>VLOOKUP($C5,Score!$B$2:$X$78,19,0)</f>
        <v>#N/A</v>
      </c>
      <c r="W5" s="2" t="e">
        <f>VLOOKUP($C5,Score!$B$2:$X$78,20,0)</f>
        <v>#N/A</v>
      </c>
      <c r="X5" s="2" t="e">
        <f>VLOOKUP($C5,Score!$B$2:$Z$77,21,0)</f>
        <v>#N/A</v>
      </c>
      <c r="Y5" s="2" t="e">
        <f>VLOOKUP($C5,Score!$B$2:$Z$77,22,0)</f>
        <v>#N/A</v>
      </c>
      <c r="Z5" s="2" t="e">
        <f>VLOOKUP($C5,Score!$B$2:$Z$77,24,0)</f>
        <v>#N/A</v>
      </c>
      <c r="AA5" s="6" t="e">
        <f t="shared" si="0"/>
        <v>#N/A</v>
      </c>
      <c r="AB5">
        <f t="shared" si="1"/>
        <v>0</v>
      </c>
    </row>
    <row r="6" spans="3:28">
      <c r="C6"/>
      <c r="D6"/>
      <c r="E6" s="2" t="e">
        <f>VLOOKUP($C6,Score!$B$2:$X$78,2,0)</f>
        <v>#N/A</v>
      </c>
      <c r="F6" s="2" t="e">
        <f>VLOOKUP($C6,Score!$B$2:$X$78,3,0)</f>
        <v>#N/A</v>
      </c>
      <c r="G6" s="2" t="e">
        <f>VLOOKUP($C6,Score!$B$2:$X$78,4,0)</f>
        <v>#N/A</v>
      </c>
      <c r="H6" s="2" t="e">
        <f>VLOOKUP($C6,Score!$B$2:$X$78,5,0)</f>
        <v>#N/A</v>
      </c>
      <c r="I6" s="2" t="e">
        <f>VLOOKUP($C6,Score!$B$2:$X$78,6,0)</f>
        <v>#N/A</v>
      </c>
      <c r="J6" s="2" t="e">
        <f>VLOOKUP($C6,Score!$B$2:$X$78,7,0)</f>
        <v>#N/A</v>
      </c>
      <c r="K6" s="2" t="e">
        <f>VLOOKUP($C6,Score!$B$2:$X$78,8,0)</f>
        <v>#N/A</v>
      </c>
      <c r="L6" s="2" t="e">
        <f>VLOOKUP($C6,Score!$B$2:$X$78,9,0)</f>
        <v>#N/A</v>
      </c>
      <c r="M6" s="2" t="e">
        <f>VLOOKUP($C6,Score!$B$2:$X$78,10,0)</f>
        <v>#N/A</v>
      </c>
      <c r="N6" s="2" t="e">
        <f>VLOOKUP($C6,Score!$B$2:$X$78,11,0)</f>
        <v>#N/A</v>
      </c>
      <c r="O6" s="2" t="e">
        <f>VLOOKUP($C6,Score!$B$2:$X$78,12,0)</f>
        <v>#N/A</v>
      </c>
      <c r="P6" s="2" t="e">
        <f>VLOOKUP($C6,Score!$B$2:$X$78,13,0)</f>
        <v>#N/A</v>
      </c>
      <c r="Q6" s="2" t="e">
        <f>VLOOKUP($C6,Score!$B$2:$X$78,14,0)</f>
        <v>#N/A</v>
      </c>
      <c r="R6" s="2" t="e">
        <f>VLOOKUP($C6,Score!$B$2:$X$78,15,0)</f>
        <v>#N/A</v>
      </c>
      <c r="S6" s="2" t="e">
        <f>VLOOKUP($C6,Score!$B$2:$X$78,16,0)</f>
        <v>#N/A</v>
      </c>
      <c r="T6" s="2" t="e">
        <f>VLOOKUP($C6,Score!$B$2:$X$78,17,0)</f>
        <v>#N/A</v>
      </c>
      <c r="U6" s="2" t="e">
        <f>VLOOKUP($C6,Score!$B$2:$X$78,18,0)</f>
        <v>#N/A</v>
      </c>
      <c r="V6" s="2" t="e">
        <f>VLOOKUP($C6,Score!$B$2:$X$78,19,0)</f>
        <v>#N/A</v>
      </c>
      <c r="W6" s="2" t="e">
        <f>VLOOKUP($C6,Score!$B$2:$X$78,20,0)</f>
        <v>#N/A</v>
      </c>
      <c r="X6" s="2" t="e">
        <f>VLOOKUP($C6,Score!$B$2:$Z$77,21,0)</f>
        <v>#N/A</v>
      </c>
      <c r="Y6" s="2" t="e">
        <f>VLOOKUP($C6,Score!$B$2:$Z$77,22,0)</f>
        <v>#N/A</v>
      </c>
      <c r="Z6" s="2" t="e">
        <f>VLOOKUP($C6,Score!$B$2:$Z$77,24,0)</f>
        <v>#N/A</v>
      </c>
      <c r="AA6" s="6" t="e">
        <f t="shared" si="0"/>
        <v>#N/A</v>
      </c>
      <c r="AB6">
        <f t="shared" si="1"/>
        <v>0</v>
      </c>
    </row>
    <row r="7" spans="3:28">
      <c r="C7"/>
      <c r="D7"/>
      <c r="E7" s="2" t="e">
        <f>VLOOKUP($C7,Score!$B$2:$X$78,2,0)</f>
        <v>#N/A</v>
      </c>
      <c r="F7" s="2" t="e">
        <f>VLOOKUP($C7,Score!$B$2:$X$78,3,0)</f>
        <v>#N/A</v>
      </c>
      <c r="G7" s="2" t="e">
        <f>VLOOKUP($C7,Score!$B$2:$X$78,4,0)</f>
        <v>#N/A</v>
      </c>
      <c r="H7" s="2" t="e">
        <f>VLOOKUP($C7,Score!$B$2:$X$78,5,0)</f>
        <v>#N/A</v>
      </c>
      <c r="I7" s="2" t="e">
        <f>VLOOKUP($C7,Score!$B$2:$X$78,6,0)</f>
        <v>#N/A</v>
      </c>
      <c r="J7" s="2" t="e">
        <f>VLOOKUP($C7,Score!$B$2:$X$78,7,0)</f>
        <v>#N/A</v>
      </c>
      <c r="K7" s="2" t="e">
        <f>VLOOKUP($C7,Score!$B$2:$X$78,8,0)</f>
        <v>#N/A</v>
      </c>
      <c r="L7" s="2" t="e">
        <f>VLOOKUP($C7,Score!$B$2:$X$78,9,0)</f>
        <v>#N/A</v>
      </c>
      <c r="M7" s="2" t="e">
        <f>VLOOKUP($C7,Score!$B$2:$X$78,10,0)</f>
        <v>#N/A</v>
      </c>
      <c r="N7" s="2" t="e">
        <f>VLOOKUP($C7,Score!$B$2:$X$78,11,0)</f>
        <v>#N/A</v>
      </c>
      <c r="O7" s="2" t="e">
        <f>VLOOKUP($C7,Score!$B$2:$X$78,12,0)</f>
        <v>#N/A</v>
      </c>
      <c r="P7" s="2" t="e">
        <f>VLOOKUP($C7,Score!$B$2:$X$78,13,0)</f>
        <v>#N/A</v>
      </c>
      <c r="Q7" s="2" t="e">
        <f>VLOOKUP($C7,Score!$B$2:$X$78,14,0)</f>
        <v>#N/A</v>
      </c>
      <c r="R7" s="2" t="e">
        <f>VLOOKUP($C7,Score!$B$2:$X$78,15,0)</f>
        <v>#N/A</v>
      </c>
      <c r="S7" s="2" t="e">
        <f>VLOOKUP($C7,Score!$B$2:$X$78,16,0)</f>
        <v>#N/A</v>
      </c>
      <c r="T7" s="2" t="e">
        <f>VLOOKUP($C7,Score!$B$2:$X$78,17,0)</f>
        <v>#N/A</v>
      </c>
      <c r="U7" s="2" t="e">
        <f>VLOOKUP($C7,Score!$B$2:$X$78,18,0)</f>
        <v>#N/A</v>
      </c>
      <c r="V7" s="2" t="e">
        <f>VLOOKUP($C7,Score!$B$2:$X$78,19,0)</f>
        <v>#N/A</v>
      </c>
      <c r="W7" s="2" t="e">
        <f>VLOOKUP($C7,Score!$B$2:$X$78,20,0)</f>
        <v>#N/A</v>
      </c>
      <c r="X7" s="2" t="e">
        <f>VLOOKUP($C7,Score!$B$2:$Z$77,21,0)</f>
        <v>#N/A</v>
      </c>
      <c r="Y7" s="2" t="e">
        <f>VLOOKUP($C7,Score!$B$2:$Z$77,22,0)</f>
        <v>#N/A</v>
      </c>
      <c r="Z7" s="2" t="e">
        <f>VLOOKUP($C7,Score!$B$2:$Z$77,24,0)</f>
        <v>#N/A</v>
      </c>
      <c r="AA7" s="6" t="e">
        <f t="shared" si="0"/>
        <v>#N/A</v>
      </c>
      <c r="AB7">
        <f t="shared" si="1"/>
        <v>0</v>
      </c>
    </row>
    <row r="8" spans="3:28">
      <c r="C8"/>
      <c r="D8"/>
      <c r="E8" s="2" t="e">
        <f>VLOOKUP($C8,Score!$B$2:$X$78,2,0)</f>
        <v>#N/A</v>
      </c>
      <c r="F8" s="2" t="e">
        <f>VLOOKUP($C8,Score!$B$2:$X$78,3,0)</f>
        <v>#N/A</v>
      </c>
      <c r="G8" s="2" t="e">
        <f>VLOOKUP($C8,Score!$B$2:$X$78,4,0)</f>
        <v>#N/A</v>
      </c>
      <c r="H8" s="2" t="e">
        <f>VLOOKUP($C8,Score!$B$2:$X$78,5,0)</f>
        <v>#N/A</v>
      </c>
      <c r="I8" s="2" t="e">
        <f>VLOOKUP($C8,Score!$B$2:$X$78,6,0)</f>
        <v>#N/A</v>
      </c>
      <c r="J8" s="2" t="e">
        <f>VLOOKUP($C8,Score!$B$2:$X$78,7,0)</f>
        <v>#N/A</v>
      </c>
      <c r="K8" s="2" t="e">
        <f>VLOOKUP($C8,Score!$B$2:$X$78,8,0)</f>
        <v>#N/A</v>
      </c>
      <c r="L8" s="2" t="e">
        <f>VLOOKUP($C8,Score!$B$2:$X$78,9,0)</f>
        <v>#N/A</v>
      </c>
      <c r="M8" s="2" t="e">
        <f>VLOOKUP($C8,Score!$B$2:$X$78,10,0)</f>
        <v>#N/A</v>
      </c>
      <c r="N8" s="2" t="e">
        <f>VLOOKUP($C8,Score!$B$2:$X$78,11,0)</f>
        <v>#N/A</v>
      </c>
      <c r="O8" s="2" t="e">
        <f>VLOOKUP($C8,Score!$B$2:$X$78,12,0)</f>
        <v>#N/A</v>
      </c>
      <c r="P8" s="2" t="e">
        <f>VLOOKUP($C8,Score!$B$2:$X$78,13,0)</f>
        <v>#N/A</v>
      </c>
      <c r="Q8" s="2" t="e">
        <f>VLOOKUP($C8,Score!$B$2:$X$78,14,0)</f>
        <v>#N/A</v>
      </c>
      <c r="R8" s="2" t="e">
        <f>VLOOKUP($C8,Score!$B$2:$X$78,15,0)</f>
        <v>#N/A</v>
      </c>
      <c r="S8" s="2" t="e">
        <f>VLOOKUP($C8,Score!$B$2:$X$78,16,0)</f>
        <v>#N/A</v>
      </c>
      <c r="T8" s="2" t="e">
        <f>VLOOKUP($C8,Score!$B$2:$X$78,17,0)</f>
        <v>#N/A</v>
      </c>
      <c r="U8" s="2" t="e">
        <f>VLOOKUP($C8,Score!$B$2:$X$78,18,0)</f>
        <v>#N/A</v>
      </c>
      <c r="V8" s="2" t="e">
        <f>VLOOKUP($C8,Score!$B$2:$X$78,19,0)</f>
        <v>#N/A</v>
      </c>
      <c r="W8" s="2" t="e">
        <f>VLOOKUP($C8,Score!$B$2:$X$78,20,0)</f>
        <v>#N/A</v>
      </c>
      <c r="X8" s="2" t="e">
        <f>VLOOKUP($C8,Score!$B$2:$Z$77,21,0)</f>
        <v>#N/A</v>
      </c>
      <c r="Y8" s="2" t="e">
        <f>VLOOKUP($C8,Score!$B$2:$Z$77,22,0)</f>
        <v>#N/A</v>
      </c>
      <c r="Z8" s="2" t="e">
        <f>VLOOKUP($C8,Score!$B$2:$Z$77,24,0)</f>
        <v>#N/A</v>
      </c>
      <c r="AA8" s="6" t="e">
        <f t="shared" si="0"/>
        <v>#N/A</v>
      </c>
      <c r="AB8">
        <f t="shared" si="1"/>
        <v>0</v>
      </c>
    </row>
    <row r="9" spans="3:28">
      <c r="C9"/>
      <c r="D9"/>
      <c r="E9" s="2" t="e">
        <f>VLOOKUP($C9,Score!$B$2:$X$78,2,0)</f>
        <v>#N/A</v>
      </c>
      <c r="F9" s="2" t="e">
        <f>VLOOKUP($C9,Score!$B$2:$X$78,3,0)</f>
        <v>#N/A</v>
      </c>
      <c r="G9" s="2" t="e">
        <f>VLOOKUP($C9,Score!$B$2:$X$78,4,0)</f>
        <v>#N/A</v>
      </c>
      <c r="H9" s="2" t="e">
        <f>VLOOKUP($C9,Score!$B$2:$X$78,5,0)</f>
        <v>#N/A</v>
      </c>
      <c r="I9" s="2" t="e">
        <f>VLOOKUP($C9,Score!$B$2:$X$78,6,0)</f>
        <v>#N/A</v>
      </c>
      <c r="J9" s="2" t="e">
        <f>VLOOKUP($C9,Score!$B$2:$X$78,7,0)</f>
        <v>#N/A</v>
      </c>
      <c r="K9" s="2" t="e">
        <f>VLOOKUP($C9,Score!$B$2:$X$78,8,0)</f>
        <v>#N/A</v>
      </c>
      <c r="L9" s="2" t="e">
        <f>VLOOKUP($C9,Score!$B$2:$X$78,9,0)</f>
        <v>#N/A</v>
      </c>
      <c r="M9" s="2" t="e">
        <f>VLOOKUP($C9,Score!$B$2:$X$78,10,0)</f>
        <v>#N/A</v>
      </c>
      <c r="N9" s="2" t="e">
        <f>VLOOKUP($C9,Score!$B$2:$X$78,11,0)</f>
        <v>#N/A</v>
      </c>
      <c r="O9" s="2" t="e">
        <f>VLOOKUP($C9,Score!$B$2:$X$78,12,0)</f>
        <v>#N/A</v>
      </c>
      <c r="P9" s="2" t="e">
        <f>VLOOKUP($C9,Score!$B$2:$X$78,13,0)</f>
        <v>#N/A</v>
      </c>
      <c r="Q9" s="2" t="e">
        <f>VLOOKUP($C9,Score!$B$2:$X$78,14,0)</f>
        <v>#N/A</v>
      </c>
      <c r="R9" s="2" t="e">
        <f>VLOOKUP($C9,Score!$B$2:$X$78,15,0)</f>
        <v>#N/A</v>
      </c>
      <c r="S9" s="2" t="e">
        <f>VLOOKUP($C9,Score!$B$2:$X$78,16,0)</f>
        <v>#N/A</v>
      </c>
      <c r="T9" s="2" t="e">
        <f>VLOOKUP($C9,Score!$B$2:$X$78,17,0)</f>
        <v>#N/A</v>
      </c>
      <c r="U9" s="2" t="e">
        <f>VLOOKUP($C9,Score!$B$2:$X$78,18,0)</f>
        <v>#N/A</v>
      </c>
      <c r="V9" s="2" t="e">
        <f>VLOOKUP($C9,Score!$B$2:$X$78,19,0)</f>
        <v>#N/A</v>
      </c>
      <c r="W9" s="2" t="e">
        <f>VLOOKUP($C9,Score!$B$2:$X$78,20,0)</f>
        <v>#N/A</v>
      </c>
      <c r="X9" s="2" t="e">
        <f>VLOOKUP($C9,Score!$B$2:$Z$77,21,0)</f>
        <v>#N/A</v>
      </c>
      <c r="Y9" s="2" t="e">
        <f>VLOOKUP($C9,Score!$B$2:$Z$77,22,0)</f>
        <v>#N/A</v>
      </c>
      <c r="Z9" s="2" t="e">
        <f>VLOOKUP($C9,Score!$B$2:$Z$77,24,0)</f>
        <v>#N/A</v>
      </c>
      <c r="AA9" s="6" t="e">
        <f t="shared" si="0"/>
        <v>#N/A</v>
      </c>
      <c r="AB9">
        <f t="shared" si="1"/>
        <v>0</v>
      </c>
    </row>
    <row r="10" spans="3:28">
      <c r="C10"/>
      <c r="D10"/>
      <c r="E10" s="2" t="e">
        <f>VLOOKUP($C10,Score!$B$2:$X$78,2,0)</f>
        <v>#N/A</v>
      </c>
      <c r="F10" s="2" t="e">
        <f>VLOOKUP($C10,Score!$B$2:$X$78,3,0)</f>
        <v>#N/A</v>
      </c>
      <c r="G10" s="2" t="e">
        <f>VLOOKUP($C10,Score!$B$2:$X$78,4,0)</f>
        <v>#N/A</v>
      </c>
      <c r="H10" s="2" t="e">
        <f>VLOOKUP($C10,Score!$B$2:$X$78,5,0)</f>
        <v>#N/A</v>
      </c>
      <c r="I10" s="2" t="e">
        <f>VLOOKUP($C10,Score!$B$2:$X$78,6,0)</f>
        <v>#N/A</v>
      </c>
      <c r="J10" s="2" t="e">
        <f>VLOOKUP($C10,Score!$B$2:$X$78,7,0)</f>
        <v>#N/A</v>
      </c>
      <c r="K10" s="2" t="e">
        <f>VLOOKUP($C10,Score!$B$2:$X$78,8,0)</f>
        <v>#N/A</v>
      </c>
      <c r="L10" s="2" t="e">
        <f>VLOOKUP($C10,Score!$B$2:$X$78,9,0)</f>
        <v>#N/A</v>
      </c>
      <c r="M10" s="2" t="e">
        <f>VLOOKUP($C10,Score!$B$2:$X$78,10,0)</f>
        <v>#N/A</v>
      </c>
      <c r="N10" s="2" t="e">
        <f>VLOOKUP($C10,Score!$B$2:$X$78,11,0)</f>
        <v>#N/A</v>
      </c>
      <c r="O10" s="2" t="e">
        <f>VLOOKUP($C10,Score!$B$2:$X$78,12,0)</f>
        <v>#N/A</v>
      </c>
      <c r="P10" s="2" t="e">
        <f>VLOOKUP($C10,Score!$B$2:$X$78,13,0)</f>
        <v>#N/A</v>
      </c>
      <c r="Q10" s="2" t="e">
        <f>VLOOKUP($C10,Score!$B$2:$X$78,14,0)</f>
        <v>#N/A</v>
      </c>
      <c r="R10" s="2" t="e">
        <f>VLOOKUP($C10,Score!$B$2:$X$78,15,0)</f>
        <v>#N/A</v>
      </c>
      <c r="S10" s="2" t="e">
        <f>VLOOKUP($C10,Score!$B$2:$X$78,16,0)</f>
        <v>#N/A</v>
      </c>
      <c r="T10" s="2" t="e">
        <f>VLOOKUP($C10,Score!$B$2:$X$78,17,0)</f>
        <v>#N/A</v>
      </c>
      <c r="U10" s="2" t="e">
        <f>VLOOKUP($C10,Score!$B$2:$X$78,18,0)</f>
        <v>#N/A</v>
      </c>
      <c r="V10" s="2" t="e">
        <f>VLOOKUP($C10,Score!$B$2:$X$78,19,0)</f>
        <v>#N/A</v>
      </c>
      <c r="W10" s="2" t="e">
        <f>VLOOKUP($C10,Score!$B$2:$X$78,20,0)</f>
        <v>#N/A</v>
      </c>
      <c r="X10" s="2" t="e">
        <f>VLOOKUP($C10,Score!$B$2:$Z$77,21,0)</f>
        <v>#N/A</v>
      </c>
      <c r="Y10" s="2" t="e">
        <f>VLOOKUP($C10,Score!$B$2:$Z$77,22,0)</f>
        <v>#N/A</v>
      </c>
      <c r="Z10" s="2" t="e">
        <f>VLOOKUP($C10,Score!$B$2:$Z$77,24,0)</f>
        <v>#N/A</v>
      </c>
      <c r="AA10" s="6" t="e">
        <f t="shared" si="0"/>
        <v>#N/A</v>
      </c>
      <c r="AB10">
        <f t="shared" si="1"/>
        <v>0</v>
      </c>
    </row>
    <row r="11" spans="3:28">
      <c r="C11"/>
      <c r="D11"/>
      <c r="E11" s="2" t="e">
        <f>VLOOKUP($C11,Score!$B$2:$X$78,2,0)</f>
        <v>#N/A</v>
      </c>
      <c r="F11" s="2" t="e">
        <f>VLOOKUP($C11,Score!$B$2:$X$78,3,0)</f>
        <v>#N/A</v>
      </c>
      <c r="G11" s="2" t="e">
        <f>VLOOKUP($C11,Score!$B$2:$X$78,4,0)</f>
        <v>#N/A</v>
      </c>
      <c r="H11" s="2" t="e">
        <f>VLOOKUP($C11,Score!$B$2:$X$78,5,0)</f>
        <v>#N/A</v>
      </c>
      <c r="I11" s="2" t="e">
        <f>VLOOKUP($C11,Score!$B$2:$X$78,6,0)</f>
        <v>#N/A</v>
      </c>
      <c r="J11" s="2" t="e">
        <f>VLOOKUP($C11,Score!$B$2:$X$78,7,0)</f>
        <v>#N/A</v>
      </c>
      <c r="K11" s="2" t="e">
        <f>VLOOKUP($C11,Score!$B$2:$X$78,8,0)</f>
        <v>#N/A</v>
      </c>
      <c r="L11" s="2" t="e">
        <f>VLOOKUP($C11,Score!$B$2:$X$78,9,0)</f>
        <v>#N/A</v>
      </c>
      <c r="M11" s="2" t="e">
        <f>VLOOKUP($C11,Score!$B$2:$X$78,10,0)</f>
        <v>#N/A</v>
      </c>
      <c r="N11" s="2" t="e">
        <f>VLOOKUP($C11,Score!$B$2:$X$78,11,0)</f>
        <v>#N/A</v>
      </c>
      <c r="O11" s="2" t="e">
        <f>VLOOKUP($C11,Score!$B$2:$X$78,12,0)</f>
        <v>#N/A</v>
      </c>
      <c r="P11" s="2" t="e">
        <f>VLOOKUP($C11,Score!$B$2:$X$78,13,0)</f>
        <v>#N/A</v>
      </c>
      <c r="Q11" s="2" t="e">
        <f>VLOOKUP($C11,Score!$B$2:$X$78,14,0)</f>
        <v>#N/A</v>
      </c>
      <c r="R11" s="2" t="e">
        <f>VLOOKUP($C11,Score!$B$2:$X$78,15,0)</f>
        <v>#N/A</v>
      </c>
      <c r="S11" s="2" t="e">
        <f>VLOOKUP($C11,Score!$B$2:$X$78,16,0)</f>
        <v>#N/A</v>
      </c>
      <c r="T11" s="2" t="e">
        <f>VLOOKUP($C11,Score!$B$2:$X$78,17,0)</f>
        <v>#N/A</v>
      </c>
      <c r="U11" s="2" t="e">
        <f>VLOOKUP($C11,Score!$B$2:$X$78,18,0)</f>
        <v>#N/A</v>
      </c>
      <c r="V11" s="2" t="e">
        <f>VLOOKUP($C11,Score!$B$2:$X$78,19,0)</f>
        <v>#N/A</v>
      </c>
      <c r="W11" s="2" t="e">
        <f>VLOOKUP($C11,Score!$B$2:$X$78,20,0)</f>
        <v>#N/A</v>
      </c>
      <c r="X11" s="2" t="e">
        <f>VLOOKUP($C11,Score!$B$2:$Z$77,21,0)</f>
        <v>#N/A</v>
      </c>
      <c r="Y11" s="2" t="e">
        <f>VLOOKUP($C11,Score!$B$2:$Z$77,22,0)</f>
        <v>#N/A</v>
      </c>
      <c r="Z11" s="2" t="e">
        <f>VLOOKUP($C11,Score!$B$2:$Z$77,24,0)</f>
        <v>#N/A</v>
      </c>
      <c r="AA11" s="6" t="e">
        <f t="shared" si="0"/>
        <v>#N/A</v>
      </c>
      <c r="AB11">
        <f t="shared" si="1"/>
        <v>0</v>
      </c>
    </row>
    <row r="12" spans="3:28">
      <c r="C12"/>
      <c r="D12"/>
      <c r="E12" s="2" t="e">
        <f>VLOOKUP($C12,Score!$B$2:$X$78,2,0)</f>
        <v>#N/A</v>
      </c>
      <c r="F12" s="2" t="e">
        <f>VLOOKUP($C12,Score!$B$2:$X$78,3,0)</f>
        <v>#N/A</v>
      </c>
      <c r="G12" s="2" t="e">
        <f>VLOOKUP($C12,Score!$B$2:$X$78,4,0)</f>
        <v>#N/A</v>
      </c>
      <c r="H12" s="2" t="e">
        <f>VLOOKUP($C12,Score!$B$2:$X$78,5,0)</f>
        <v>#N/A</v>
      </c>
      <c r="I12" s="2" t="e">
        <f>VLOOKUP($C12,Score!$B$2:$X$78,6,0)</f>
        <v>#N/A</v>
      </c>
      <c r="J12" s="2" t="e">
        <f>VLOOKUP($C12,Score!$B$2:$X$78,7,0)</f>
        <v>#N/A</v>
      </c>
      <c r="K12" s="2" t="e">
        <f>VLOOKUP($C12,Score!$B$2:$X$78,8,0)</f>
        <v>#N/A</v>
      </c>
      <c r="L12" s="2" t="e">
        <f>VLOOKUP($C12,Score!$B$2:$X$78,9,0)</f>
        <v>#N/A</v>
      </c>
      <c r="M12" s="2" t="e">
        <f>VLOOKUP($C12,Score!$B$2:$X$78,10,0)</f>
        <v>#N/A</v>
      </c>
      <c r="N12" s="2" t="e">
        <f>VLOOKUP($C12,Score!$B$2:$X$78,11,0)</f>
        <v>#N/A</v>
      </c>
      <c r="O12" s="2" t="e">
        <f>VLOOKUP($C12,Score!$B$2:$X$78,12,0)</f>
        <v>#N/A</v>
      </c>
      <c r="P12" s="2" t="e">
        <f>VLOOKUP($C12,Score!$B$2:$X$78,13,0)</f>
        <v>#N/A</v>
      </c>
      <c r="Q12" s="2" t="e">
        <f>VLOOKUP($C12,Score!$B$2:$X$78,14,0)</f>
        <v>#N/A</v>
      </c>
      <c r="R12" s="2" t="e">
        <f>VLOOKUP($C12,Score!$B$2:$X$78,15,0)</f>
        <v>#N/A</v>
      </c>
      <c r="S12" s="2" t="e">
        <f>VLOOKUP($C12,Score!$B$2:$X$78,16,0)</f>
        <v>#N/A</v>
      </c>
      <c r="T12" s="2" t="e">
        <f>VLOOKUP($C12,Score!$B$2:$X$78,17,0)</f>
        <v>#N/A</v>
      </c>
      <c r="U12" s="2" t="e">
        <f>VLOOKUP($C12,Score!$B$2:$X$78,18,0)</f>
        <v>#N/A</v>
      </c>
      <c r="V12" s="2" t="e">
        <f>VLOOKUP($C12,Score!$B$2:$X$78,19,0)</f>
        <v>#N/A</v>
      </c>
      <c r="W12" s="2" t="e">
        <f>VLOOKUP($C12,Score!$B$2:$X$78,20,0)</f>
        <v>#N/A</v>
      </c>
      <c r="X12" s="2" t="e">
        <f>VLOOKUP($C12,Score!$B$2:$Z$77,21,0)</f>
        <v>#N/A</v>
      </c>
      <c r="Y12" s="2" t="e">
        <f>VLOOKUP($C12,Score!$B$2:$Z$77,22,0)</f>
        <v>#N/A</v>
      </c>
      <c r="Z12" s="2" t="e">
        <f>VLOOKUP($C12,Score!$B$2:$Z$77,24,0)</f>
        <v>#N/A</v>
      </c>
      <c r="AA12" s="6" t="e">
        <f t="shared" si="0"/>
        <v>#N/A</v>
      </c>
      <c r="AB12">
        <f t="shared" si="1"/>
        <v>0</v>
      </c>
    </row>
    <row r="13" spans="3:28">
      <c r="C13"/>
      <c r="D13"/>
      <c r="E13" s="2" t="e">
        <f>VLOOKUP($C13,Score!$B$2:$X$78,2,0)</f>
        <v>#N/A</v>
      </c>
      <c r="F13" s="2" t="e">
        <f>VLOOKUP($C13,Score!$B$2:$X$78,3,0)</f>
        <v>#N/A</v>
      </c>
      <c r="G13" s="2" t="e">
        <f>VLOOKUP($C13,Score!$B$2:$X$78,4,0)</f>
        <v>#N/A</v>
      </c>
      <c r="H13" s="2" t="e">
        <f>VLOOKUP($C13,Score!$B$2:$X$78,5,0)</f>
        <v>#N/A</v>
      </c>
      <c r="I13" s="2" t="e">
        <f>VLOOKUP($C13,Score!$B$2:$X$78,6,0)</f>
        <v>#N/A</v>
      </c>
      <c r="J13" s="2" t="e">
        <f>VLOOKUP($C13,Score!$B$2:$X$78,7,0)</f>
        <v>#N/A</v>
      </c>
      <c r="K13" s="2" t="e">
        <f>VLOOKUP($C13,Score!$B$2:$X$78,8,0)</f>
        <v>#N/A</v>
      </c>
      <c r="L13" s="2" t="e">
        <f>VLOOKUP($C13,Score!$B$2:$X$78,9,0)</f>
        <v>#N/A</v>
      </c>
      <c r="M13" s="2" t="e">
        <f>VLOOKUP($C13,Score!$B$2:$X$78,10,0)</f>
        <v>#N/A</v>
      </c>
      <c r="N13" s="2" t="e">
        <f>VLOOKUP($C13,Score!$B$2:$X$78,11,0)</f>
        <v>#N/A</v>
      </c>
      <c r="O13" s="2" t="e">
        <f>VLOOKUP($C13,Score!$B$2:$X$78,12,0)</f>
        <v>#N/A</v>
      </c>
      <c r="P13" s="2" t="e">
        <f>VLOOKUP($C13,Score!$B$2:$X$78,13,0)</f>
        <v>#N/A</v>
      </c>
      <c r="Q13" s="2" t="e">
        <f>VLOOKUP($C13,Score!$B$2:$X$78,14,0)</f>
        <v>#N/A</v>
      </c>
      <c r="R13" s="2" t="e">
        <f>VLOOKUP($C13,Score!$B$2:$X$78,15,0)</f>
        <v>#N/A</v>
      </c>
      <c r="S13" s="2" t="e">
        <f>VLOOKUP($C13,Score!$B$2:$X$78,16,0)</f>
        <v>#N/A</v>
      </c>
      <c r="T13" s="2" t="e">
        <f>VLOOKUP($C13,Score!$B$2:$X$78,17,0)</f>
        <v>#N/A</v>
      </c>
      <c r="U13" s="2" t="e">
        <f>VLOOKUP($C13,Score!$B$2:$X$78,18,0)</f>
        <v>#N/A</v>
      </c>
      <c r="V13" s="2" t="e">
        <f>VLOOKUP($C13,Score!$B$2:$X$78,19,0)</f>
        <v>#N/A</v>
      </c>
      <c r="W13" s="2" t="e">
        <f>VLOOKUP($C13,Score!$B$2:$X$78,20,0)</f>
        <v>#N/A</v>
      </c>
      <c r="X13" s="2" t="e">
        <f>VLOOKUP($C13,Score!$B$2:$Z$77,21,0)</f>
        <v>#N/A</v>
      </c>
      <c r="Y13" s="2" t="e">
        <f>VLOOKUP($C13,Score!$B$2:$Z$77,22,0)</f>
        <v>#N/A</v>
      </c>
      <c r="Z13" s="2" t="e">
        <f>VLOOKUP($C13,Score!$B$2:$Z$77,24,0)</f>
        <v>#N/A</v>
      </c>
      <c r="AA13" s="6" t="e">
        <f t="shared" si="0"/>
        <v>#N/A</v>
      </c>
      <c r="AB13">
        <f t="shared" si="1"/>
        <v>0</v>
      </c>
    </row>
    <row r="14" spans="3:28">
      <c r="C14"/>
      <c r="D14"/>
      <c r="E14" s="2" t="e">
        <f>VLOOKUP($C14,Score!$B$2:$X$78,2,0)</f>
        <v>#N/A</v>
      </c>
      <c r="F14" s="2" t="e">
        <f>VLOOKUP($C14,Score!$B$2:$X$78,3,0)</f>
        <v>#N/A</v>
      </c>
      <c r="G14" s="2" t="e">
        <f>VLOOKUP($C14,Score!$B$2:$X$78,4,0)</f>
        <v>#N/A</v>
      </c>
      <c r="H14" s="2" t="e">
        <f>VLOOKUP($C14,Score!$B$2:$X$78,5,0)</f>
        <v>#N/A</v>
      </c>
      <c r="I14" s="2" t="e">
        <f>VLOOKUP($C14,Score!$B$2:$X$78,6,0)</f>
        <v>#N/A</v>
      </c>
      <c r="J14" s="2" t="e">
        <f>VLOOKUP($C14,Score!$B$2:$X$78,7,0)</f>
        <v>#N/A</v>
      </c>
      <c r="K14" s="2" t="e">
        <f>VLOOKUP($C14,Score!$B$2:$X$78,8,0)</f>
        <v>#N/A</v>
      </c>
      <c r="L14" s="2" t="e">
        <f>VLOOKUP($C14,Score!$B$2:$X$78,9,0)</f>
        <v>#N/A</v>
      </c>
      <c r="M14" s="2" t="e">
        <f>VLOOKUP($C14,Score!$B$2:$X$78,10,0)</f>
        <v>#N/A</v>
      </c>
      <c r="N14" s="2" t="e">
        <f>VLOOKUP($C14,Score!$B$2:$X$78,11,0)</f>
        <v>#N/A</v>
      </c>
      <c r="O14" s="2" t="e">
        <f>VLOOKUP($C14,Score!$B$2:$X$78,12,0)</f>
        <v>#N/A</v>
      </c>
      <c r="P14" s="2" t="e">
        <f>VLOOKUP($C14,Score!$B$2:$X$78,13,0)</f>
        <v>#N/A</v>
      </c>
      <c r="Q14" s="2" t="e">
        <f>VLOOKUP($C14,Score!$B$2:$X$78,14,0)</f>
        <v>#N/A</v>
      </c>
      <c r="R14" s="2" t="e">
        <f>VLOOKUP($C14,Score!$B$2:$X$78,15,0)</f>
        <v>#N/A</v>
      </c>
      <c r="S14" s="2" t="e">
        <f>VLOOKUP($C14,Score!$B$2:$X$78,16,0)</f>
        <v>#N/A</v>
      </c>
      <c r="T14" s="2" t="e">
        <f>VLOOKUP($C14,Score!$B$2:$X$78,17,0)</f>
        <v>#N/A</v>
      </c>
      <c r="U14" s="2" t="e">
        <f>VLOOKUP($C14,Score!$B$2:$X$78,18,0)</f>
        <v>#N/A</v>
      </c>
      <c r="V14" s="2" t="e">
        <f>VLOOKUP($C14,Score!$B$2:$X$78,19,0)</f>
        <v>#N/A</v>
      </c>
      <c r="W14" s="2" t="e">
        <f>VLOOKUP($C14,Score!$B$2:$X$78,20,0)</f>
        <v>#N/A</v>
      </c>
      <c r="X14" s="2" t="e">
        <f>VLOOKUP($C14,Score!$B$2:$Z$77,21,0)</f>
        <v>#N/A</v>
      </c>
      <c r="Y14" s="2" t="e">
        <f>VLOOKUP($C14,Score!$B$2:$Z$77,22,0)</f>
        <v>#N/A</v>
      </c>
      <c r="Z14" s="2" t="e">
        <f>VLOOKUP($C14,Score!$B$2:$Z$77,24,0)</f>
        <v>#N/A</v>
      </c>
      <c r="AA14" s="6" t="e">
        <f t="shared" si="0"/>
        <v>#N/A</v>
      </c>
      <c r="AB14">
        <f t="shared" si="1"/>
        <v>0</v>
      </c>
    </row>
    <row r="15" spans="3:28">
      <c r="C15"/>
      <c r="D15"/>
      <c r="E15" s="2" t="e">
        <f>VLOOKUP($C15,Score!$B$2:$X$78,2,0)</f>
        <v>#N/A</v>
      </c>
      <c r="F15" s="2" t="e">
        <f>VLOOKUP($C15,Score!$B$2:$X$78,3,0)</f>
        <v>#N/A</v>
      </c>
      <c r="G15" s="2" t="e">
        <f>VLOOKUP($C15,Score!$B$2:$X$78,4,0)</f>
        <v>#N/A</v>
      </c>
      <c r="H15" s="2" t="e">
        <f>VLOOKUP($C15,Score!$B$2:$X$78,5,0)</f>
        <v>#N/A</v>
      </c>
      <c r="I15" s="2" t="e">
        <f>VLOOKUP($C15,Score!$B$2:$X$78,6,0)</f>
        <v>#N/A</v>
      </c>
      <c r="J15" s="2" t="e">
        <f>VLOOKUP($C15,Score!$B$2:$X$78,7,0)</f>
        <v>#N/A</v>
      </c>
      <c r="K15" s="2" t="e">
        <f>VLOOKUP($C15,Score!$B$2:$X$78,8,0)</f>
        <v>#N/A</v>
      </c>
      <c r="L15" s="2" t="e">
        <f>VLOOKUP($C15,Score!$B$2:$X$78,9,0)</f>
        <v>#N/A</v>
      </c>
      <c r="M15" s="2" t="e">
        <f>VLOOKUP($C15,Score!$B$2:$X$78,10,0)</f>
        <v>#N/A</v>
      </c>
      <c r="N15" s="2" t="e">
        <f>VLOOKUP($C15,Score!$B$2:$X$78,11,0)</f>
        <v>#N/A</v>
      </c>
      <c r="O15" s="2" t="e">
        <f>VLOOKUP($C15,Score!$B$2:$X$78,12,0)</f>
        <v>#N/A</v>
      </c>
      <c r="P15" s="2" t="e">
        <f>VLOOKUP($C15,Score!$B$2:$X$78,13,0)</f>
        <v>#N/A</v>
      </c>
      <c r="Q15" s="2" t="e">
        <f>VLOOKUP($C15,Score!$B$2:$X$78,14,0)</f>
        <v>#N/A</v>
      </c>
      <c r="R15" s="2" t="e">
        <f>VLOOKUP($C15,Score!$B$2:$X$78,15,0)</f>
        <v>#N/A</v>
      </c>
      <c r="S15" s="2" t="e">
        <f>VLOOKUP($C15,Score!$B$2:$X$78,16,0)</f>
        <v>#N/A</v>
      </c>
      <c r="T15" s="2" t="e">
        <f>VLOOKUP($C15,Score!$B$2:$X$78,17,0)</f>
        <v>#N/A</v>
      </c>
      <c r="U15" s="2" t="e">
        <f>VLOOKUP($C15,Score!$B$2:$X$78,18,0)</f>
        <v>#N/A</v>
      </c>
      <c r="V15" s="2" t="e">
        <f>VLOOKUP($C15,Score!$B$2:$X$78,19,0)</f>
        <v>#N/A</v>
      </c>
      <c r="W15" s="2" t="e">
        <f>VLOOKUP($C15,Score!$B$2:$X$78,20,0)</f>
        <v>#N/A</v>
      </c>
      <c r="X15" s="2" t="e">
        <f>VLOOKUP($C15,Score!$B$2:$Z$77,21,0)</f>
        <v>#N/A</v>
      </c>
      <c r="Y15" s="2" t="e">
        <f>VLOOKUP($C15,Score!$B$2:$Z$77,22,0)</f>
        <v>#N/A</v>
      </c>
      <c r="Z15" s="2" t="e">
        <f>VLOOKUP($C15,Score!$B$2:$Z$77,24,0)</f>
        <v>#N/A</v>
      </c>
      <c r="AA15" s="6" t="e">
        <f t="shared" si="0"/>
        <v>#N/A</v>
      </c>
      <c r="AB15">
        <f t="shared" si="1"/>
        <v>0</v>
      </c>
    </row>
    <row r="16" spans="3:28">
      <c r="C16"/>
      <c r="D16"/>
      <c r="E16" s="2" t="e">
        <f>VLOOKUP($C16,Score!$B$2:$X$78,2,0)</f>
        <v>#N/A</v>
      </c>
      <c r="F16" s="2" t="e">
        <f>VLOOKUP($C16,Score!$B$2:$X$78,3,0)</f>
        <v>#N/A</v>
      </c>
      <c r="G16" s="2" t="e">
        <f>VLOOKUP($C16,Score!$B$2:$X$78,4,0)</f>
        <v>#N/A</v>
      </c>
      <c r="H16" s="2" t="e">
        <f>VLOOKUP($C16,Score!$B$2:$X$78,5,0)</f>
        <v>#N/A</v>
      </c>
      <c r="I16" s="2" t="e">
        <f>VLOOKUP($C16,Score!$B$2:$X$78,6,0)</f>
        <v>#N/A</v>
      </c>
      <c r="J16" s="2" t="e">
        <f>VLOOKUP($C16,Score!$B$2:$X$78,7,0)</f>
        <v>#N/A</v>
      </c>
      <c r="K16" s="2" t="e">
        <f>VLOOKUP($C16,Score!$B$2:$X$78,8,0)</f>
        <v>#N/A</v>
      </c>
      <c r="L16" s="2" t="e">
        <f>VLOOKUP($C16,Score!$B$2:$X$78,9,0)</f>
        <v>#N/A</v>
      </c>
      <c r="M16" s="2" t="e">
        <f>VLOOKUP($C16,Score!$B$2:$X$78,10,0)</f>
        <v>#N/A</v>
      </c>
      <c r="N16" s="2" t="e">
        <f>VLOOKUP($C16,Score!$B$2:$X$78,11,0)</f>
        <v>#N/A</v>
      </c>
      <c r="O16" s="2" t="e">
        <f>VLOOKUP($C16,Score!$B$2:$X$78,12,0)</f>
        <v>#N/A</v>
      </c>
      <c r="P16" s="2" t="e">
        <f>VLOOKUP($C16,Score!$B$2:$X$78,13,0)</f>
        <v>#N/A</v>
      </c>
      <c r="Q16" s="2" t="e">
        <f>VLOOKUP($C16,Score!$B$2:$X$78,14,0)</f>
        <v>#N/A</v>
      </c>
      <c r="R16" s="2" t="e">
        <f>VLOOKUP($C16,Score!$B$2:$X$78,15,0)</f>
        <v>#N/A</v>
      </c>
      <c r="S16" s="2" t="e">
        <f>VLOOKUP($C16,Score!$B$2:$X$78,16,0)</f>
        <v>#N/A</v>
      </c>
      <c r="T16" s="2" t="e">
        <f>VLOOKUP($C16,Score!$B$2:$X$78,17,0)</f>
        <v>#N/A</v>
      </c>
      <c r="U16" s="2" t="e">
        <f>VLOOKUP($C16,Score!$B$2:$X$78,18,0)</f>
        <v>#N/A</v>
      </c>
      <c r="V16" s="2" t="e">
        <f>VLOOKUP($C16,Score!$B$2:$X$78,19,0)</f>
        <v>#N/A</v>
      </c>
      <c r="W16" s="2" t="e">
        <f>VLOOKUP($C16,Score!$B$2:$X$78,20,0)</f>
        <v>#N/A</v>
      </c>
      <c r="X16" s="2" t="e">
        <f>VLOOKUP($C16,Score!$B$2:$Z$77,21,0)</f>
        <v>#N/A</v>
      </c>
      <c r="Y16" s="2" t="e">
        <f>VLOOKUP($C16,Score!$B$2:$Z$77,22,0)</f>
        <v>#N/A</v>
      </c>
      <c r="Z16" s="2" t="e">
        <f>VLOOKUP($C16,Score!$B$2:$Z$77,24,0)</f>
        <v>#N/A</v>
      </c>
      <c r="AA16" s="6" t="e">
        <f t="shared" si="0"/>
        <v>#N/A</v>
      </c>
      <c r="AB16">
        <f t="shared" si="1"/>
        <v>0</v>
      </c>
    </row>
    <row r="17" spans="3:28">
      <c r="C17"/>
      <c r="D17"/>
      <c r="E17" s="2" t="e">
        <f>VLOOKUP($C17,Score!$B$2:$X$78,2,0)</f>
        <v>#N/A</v>
      </c>
      <c r="F17" s="2" t="e">
        <f>VLOOKUP($C17,Score!$B$2:$X$78,3,0)</f>
        <v>#N/A</v>
      </c>
      <c r="G17" s="2" t="e">
        <f>VLOOKUP($C17,Score!$B$2:$X$78,4,0)</f>
        <v>#N/A</v>
      </c>
      <c r="H17" s="2" t="e">
        <f>VLOOKUP($C17,Score!$B$2:$X$78,5,0)</f>
        <v>#N/A</v>
      </c>
      <c r="I17" s="2" t="e">
        <f>VLOOKUP($C17,Score!$B$2:$X$78,6,0)</f>
        <v>#N/A</v>
      </c>
      <c r="J17" s="2" t="e">
        <f>VLOOKUP($C17,Score!$B$2:$X$78,7,0)</f>
        <v>#N/A</v>
      </c>
      <c r="K17" s="2" t="e">
        <f>VLOOKUP($C17,Score!$B$2:$X$78,8,0)</f>
        <v>#N/A</v>
      </c>
      <c r="L17" s="2" t="e">
        <f>VLOOKUP($C17,Score!$B$2:$X$78,9,0)</f>
        <v>#N/A</v>
      </c>
      <c r="M17" s="2" t="e">
        <f>VLOOKUP($C17,Score!$B$2:$X$78,10,0)</f>
        <v>#N/A</v>
      </c>
      <c r="N17" s="2" t="e">
        <f>VLOOKUP($C17,Score!$B$2:$X$78,11,0)</f>
        <v>#N/A</v>
      </c>
      <c r="O17" s="2" t="e">
        <f>VLOOKUP($C17,Score!$B$2:$X$78,12,0)</f>
        <v>#N/A</v>
      </c>
      <c r="P17" s="2" t="e">
        <f>VLOOKUP($C17,Score!$B$2:$X$78,13,0)</f>
        <v>#N/A</v>
      </c>
      <c r="Q17" s="2" t="e">
        <f>VLOOKUP($C17,Score!$B$2:$X$78,14,0)</f>
        <v>#N/A</v>
      </c>
      <c r="R17" s="2" t="e">
        <f>VLOOKUP($C17,Score!$B$2:$X$78,15,0)</f>
        <v>#N/A</v>
      </c>
      <c r="S17" s="2" t="e">
        <f>VLOOKUP($C17,Score!$B$2:$X$78,16,0)</f>
        <v>#N/A</v>
      </c>
      <c r="T17" s="2" t="e">
        <f>VLOOKUP($C17,Score!$B$2:$X$78,17,0)</f>
        <v>#N/A</v>
      </c>
      <c r="U17" s="2" t="e">
        <f>VLOOKUP($C17,Score!$B$2:$X$78,18,0)</f>
        <v>#N/A</v>
      </c>
      <c r="V17" s="2" t="e">
        <f>VLOOKUP($C17,Score!$B$2:$X$78,19,0)</f>
        <v>#N/A</v>
      </c>
      <c r="W17" s="2" t="e">
        <f>VLOOKUP($C17,Score!$B$2:$X$78,20,0)</f>
        <v>#N/A</v>
      </c>
      <c r="X17" s="2" t="e">
        <f>VLOOKUP($C17,Score!$B$2:$Z$77,21,0)</f>
        <v>#N/A</v>
      </c>
      <c r="Y17" s="2" t="e">
        <f>VLOOKUP($C17,Score!$B$2:$Z$77,22,0)</f>
        <v>#N/A</v>
      </c>
      <c r="Z17" s="2" t="e">
        <f>VLOOKUP($C17,Score!$B$2:$Z$77,24,0)</f>
        <v>#N/A</v>
      </c>
      <c r="AA17" s="6" t="e">
        <f t="shared" si="0"/>
        <v>#N/A</v>
      </c>
      <c r="AB17">
        <f t="shared" si="1"/>
        <v>0</v>
      </c>
    </row>
    <row r="18" spans="3:28">
      <c r="C18"/>
      <c r="D18"/>
      <c r="E18" s="2" t="e">
        <f>VLOOKUP($C18,Score!$B$2:$X$78,2,0)</f>
        <v>#N/A</v>
      </c>
      <c r="F18" s="2" t="e">
        <f>VLOOKUP($C18,Score!$B$2:$X$78,3,0)</f>
        <v>#N/A</v>
      </c>
      <c r="G18" s="2" t="e">
        <f>VLOOKUP($C18,Score!$B$2:$X$78,4,0)</f>
        <v>#N/A</v>
      </c>
      <c r="H18" s="2" t="e">
        <f>VLOOKUP($C18,Score!$B$2:$X$78,5,0)</f>
        <v>#N/A</v>
      </c>
      <c r="I18" s="2" t="e">
        <f>VLOOKUP($C18,Score!$B$2:$X$78,6,0)</f>
        <v>#N/A</v>
      </c>
      <c r="J18" s="2" t="e">
        <f>VLOOKUP($C18,Score!$B$2:$X$78,7,0)</f>
        <v>#N/A</v>
      </c>
      <c r="K18" s="2" t="e">
        <f>VLOOKUP($C18,Score!$B$2:$X$78,8,0)</f>
        <v>#N/A</v>
      </c>
      <c r="L18" s="2" t="e">
        <f>VLOOKUP($C18,Score!$B$2:$X$78,9,0)</f>
        <v>#N/A</v>
      </c>
      <c r="M18" s="2" t="e">
        <f>VLOOKUP($C18,Score!$B$2:$X$78,10,0)</f>
        <v>#N/A</v>
      </c>
      <c r="N18" s="2" t="e">
        <f>VLOOKUP($C18,Score!$B$2:$X$78,11,0)</f>
        <v>#N/A</v>
      </c>
      <c r="O18" s="2" t="e">
        <f>VLOOKUP($C18,Score!$B$2:$X$78,12,0)</f>
        <v>#N/A</v>
      </c>
      <c r="P18" s="2" t="e">
        <f>VLOOKUP($C18,Score!$B$2:$X$78,13,0)</f>
        <v>#N/A</v>
      </c>
      <c r="Q18" s="2" t="e">
        <f>VLOOKUP($C18,Score!$B$2:$X$78,14,0)</f>
        <v>#N/A</v>
      </c>
      <c r="R18" s="2" t="e">
        <f>VLOOKUP($C18,Score!$B$2:$X$78,15,0)</f>
        <v>#N/A</v>
      </c>
      <c r="S18" s="2" t="e">
        <f>VLOOKUP($C18,Score!$B$2:$X$78,16,0)</f>
        <v>#N/A</v>
      </c>
      <c r="T18" s="2" t="e">
        <f>VLOOKUP($C18,Score!$B$2:$X$78,17,0)</f>
        <v>#N/A</v>
      </c>
      <c r="U18" s="2" t="e">
        <f>VLOOKUP($C18,Score!$B$2:$X$78,18,0)</f>
        <v>#N/A</v>
      </c>
      <c r="V18" s="2" t="e">
        <f>VLOOKUP($C18,Score!$B$2:$X$78,19,0)</f>
        <v>#N/A</v>
      </c>
      <c r="W18" s="2" t="e">
        <f>VLOOKUP($C18,Score!$B$2:$X$78,20,0)</f>
        <v>#N/A</v>
      </c>
      <c r="X18" s="2" t="e">
        <f>VLOOKUP($C18,Score!$B$2:$Z$77,21,0)</f>
        <v>#N/A</v>
      </c>
      <c r="Y18" s="2" t="e">
        <f>VLOOKUP($C18,Score!$B$2:$Z$77,22,0)</f>
        <v>#N/A</v>
      </c>
      <c r="Z18" s="2" t="e">
        <f>VLOOKUP($C18,Score!$B$2:$Z$77,24,0)</f>
        <v>#N/A</v>
      </c>
      <c r="AA18" s="6" t="e">
        <f t="shared" si="0"/>
        <v>#N/A</v>
      </c>
      <c r="AB18">
        <f t="shared" si="1"/>
        <v>0</v>
      </c>
    </row>
    <row r="19" spans="3:28">
      <c r="C19"/>
      <c r="D19"/>
      <c r="E19" s="2" t="e">
        <f>VLOOKUP($C19,Score!$B$2:$X$78,2,0)</f>
        <v>#N/A</v>
      </c>
      <c r="F19" s="2" t="e">
        <f>VLOOKUP($C19,Score!$B$2:$X$78,3,0)</f>
        <v>#N/A</v>
      </c>
      <c r="G19" s="2" t="e">
        <f>VLOOKUP($C19,Score!$B$2:$X$78,4,0)</f>
        <v>#N/A</v>
      </c>
      <c r="H19" s="2" t="e">
        <f>VLOOKUP($C19,Score!$B$2:$X$78,5,0)</f>
        <v>#N/A</v>
      </c>
      <c r="I19" s="2" t="e">
        <f>VLOOKUP($C19,Score!$B$2:$X$78,6,0)</f>
        <v>#N/A</v>
      </c>
      <c r="J19" s="2" t="e">
        <f>VLOOKUP($C19,Score!$B$2:$X$78,7,0)</f>
        <v>#N/A</v>
      </c>
      <c r="K19" s="2" t="e">
        <f>VLOOKUP($C19,Score!$B$2:$X$78,8,0)</f>
        <v>#N/A</v>
      </c>
      <c r="L19" s="2" t="e">
        <f>VLOOKUP($C19,Score!$B$2:$X$78,9,0)</f>
        <v>#N/A</v>
      </c>
      <c r="M19" s="2" t="e">
        <f>VLOOKUP($C19,Score!$B$2:$X$78,10,0)</f>
        <v>#N/A</v>
      </c>
      <c r="N19" s="2" t="e">
        <f>VLOOKUP($C19,Score!$B$2:$X$78,11,0)</f>
        <v>#N/A</v>
      </c>
      <c r="O19" s="2" t="e">
        <f>VLOOKUP($C19,Score!$B$2:$X$78,12,0)</f>
        <v>#N/A</v>
      </c>
      <c r="P19" s="2" t="e">
        <f>VLOOKUP($C19,Score!$B$2:$X$78,13,0)</f>
        <v>#N/A</v>
      </c>
      <c r="Q19" s="2" t="e">
        <f>VLOOKUP($C19,Score!$B$2:$X$78,14,0)</f>
        <v>#N/A</v>
      </c>
      <c r="R19" s="2" t="e">
        <f>VLOOKUP($C19,Score!$B$2:$X$78,15,0)</f>
        <v>#N/A</v>
      </c>
      <c r="S19" s="2" t="e">
        <f>VLOOKUP($C19,Score!$B$2:$X$78,16,0)</f>
        <v>#N/A</v>
      </c>
      <c r="T19" s="2" t="e">
        <f>VLOOKUP($C19,Score!$B$2:$X$78,17,0)</f>
        <v>#N/A</v>
      </c>
      <c r="U19" s="2" t="e">
        <f>VLOOKUP($C19,Score!$B$2:$X$78,18,0)</f>
        <v>#N/A</v>
      </c>
      <c r="V19" s="2" t="e">
        <f>VLOOKUP($C19,Score!$B$2:$X$78,19,0)</f>
        <v>#N/A</v>
      </c>
      <c r="W19" s="2" t="e">
        <f>VLOOKUP($C19,Score!$B$2:$X$78,20,0)</f>
        <v>#N/A</v>
      </c>
      <c r="X19" s="2" t="e">
        <f>VLOOKUP($C19,Score!$B$2:$Z$77,21,0)</f>
        <v>#N/A</v>
      </c>
      <c r="Y19" s="2" t="e">
        <f>VLOOKUP($C19,Score!$B$2:$Z$77,22,0)</f>
        <v>#N/A</v>
      </c>
      <c r="Z19" s="2" t="e">
        <f>VLOOKUP($C19,Score!$B$2:$Z$77,24,0)</f>
        <v>#N/A</v>
      </c>
      <c r="AA19" s="6" t="e">
        <f t="shared" si="0"/>
        <v>#N/A</v>
      </c>
      <c r="AB19">
        <f t="shared" si="1"/>
        <v>0</v>
      </c>
    </row>
    <row r="20" spans="3:28">
      <c r="C20"/>
      <c r="D20"/>
      <c r="E20" s="2" t="e">
        <f>VLOOKUP($C20,Score!$B$2:$X$78,2,0)</f>
        <v>#N/A</v>
      </c>
      <c r="F20" s="2" t="e">
        <f>VLOOKUP($C20,Score!$B$2:$X$78,3,0)</f>
        <v>#N/A</v>
      </c>
      <c r="G20" s="2" t="e">
        <f>VLOOKUP($C20,Score!$B$2:$X$78,4,0)</f>
        <v>#N/A</v>
      </c>
      <c r="H20" s="2" t="e">
        <f>VLOOKUP($C20,Score!$B$2:$X$78,5,0)</f>
        <v>#N/A</v>
      </c>
      <c r="I20" s="2" t="e">
        <f>VLOOKUP($C20,Score!$B$2:$X$78,6,0)</f>
        <v>#N/A</v>
      </c>
      <c r="J20" s="2" t="e">
        <f>VLOOKUP($C20,Score!$B$2:$X$78,7,0)</f>
        <v>#N/A</v>
      </c>
      <c r="K20" s="2" t="e">
        <f>VLOOKUP($C20,Score!$B$2:$X$78,8,0)</f>
        <v>#N/A</v>
      </c>
      <c r="L20" s="2" t="e">
        <f>VLOOKUP($C20,Score!$B$2:$X$78,9,0)</f>
        <v>#N/A</v>
      </c>
      <c r="M20" s="2" t="e">
        <f>VLOOKUP($C20,Score!$B$2:$X$78,10,0)</f>
        <v>#N/A</v>
      </c>
      <c r="N20" s="2" t="e">
        <f>VLOOKUP($C20,Score!$B$2:$X$78,11,0)</f>
        <v>#N/A</v>
      </c>
      <c r="O20" s="2" t="e">
        <f>VLOOKUP($C20,Score!$B$2:$X$78,12,0)</f>
        <v>#N/A</v>
      </c>
      <c r="P20" s="2" t="e">
        <f>VLOOKUP($C20,Score!$B$2:$X$78,13,0)</f>
        <v>#N/A</v>
      </c>
      <c r="Q20" s="2" t="e">
        <f>VLOOKUP($C20,Score!$B$2:$X$78,14,0)</f>
        <v>#N/A</v>
      </c>
      <c r="R20" s="2" t="e">
        <f>VLOOKUP($C20,Score!$B$2:$X$78,15,0)</f>
        <v>#N/A</v>
      </c>
      <c r="S20" s="2" t="e">
        <f>VLOOKUP($C20,Score!$B$2:$X$78,16,0)</f>
        <v>#N/A</v>
      </c>
      <c r="T20" s="2" t="e">
        <f>VLOOKUP($C20,Score!$B$2:$X$78,17,0)</f>
        <v>#N/A</v>
      </c>
      <c r="U20" s="2" t="e">
        <f>VLOOKUP($C20,Score!$B$2:$X$78,18,0)</f>
        <v>#N/A</v>
      </c>
      <c r="V20" s="2" t="e">
        <f>VLOOKUP($C20,Score!$B$2:$X$78,19,0)</f>
        <v>#N/A</v>
      </c>
      <c r="W20" s="2" t="e">
        <f>VLOOKUP($C20,Score!$B$2:$X$78,20,0)</f>
        <v>#N/A</v>
      </c>
      <c r="X20" s="2" t="e">
        <f>VLOOKUP($C20,Score!$B$2:$Z$77,21,0)</f>
        <v>#N/A</v>
      </c>
      <c r="Y20" s="2" t="e">
        <f>VLOOKUP($C20,Score!$B$2:$Z$77,22,0)</f>
        <v>#N/A</v>
      </c>
      <c r="Z20" s="2" t="e">
        <f>VLOOKUP($C20,Score!$B$2:$Z$77,24,0)</f>
        <v>#N/A</v>
      </c>
      <c r="AA20" s="6" t="e">
        <f t="shared" si="0"/>
        <v>#N/A</v>
      </c>
      <c r="AB20">
        <f t="shared" si="1"/>
        <v>0</v>
      </c>
    </row>
    <row r="21" spans="3:28" s="66" customFormat="1">
      <c r="C21" s="66" t="s">
        <v>15</v>
      </c>
      <c r="E21" s="67"/>
      <c r="F21" s="68"/>
      <c r="G21" s="67"/>
      <c r="H21" s="67"/>
      <c r="I21" s="67"/>
      <c r="J21" s="67"/>
      <c r="K21" s="67"/>
      <c r="L21" s="67"/>
      <c r="M21" s="67"/>
      <c r="N21" s="67"/>
      <c r="O21" s="67"/>
      <c r="P21" s="67"/>
      <c r="Q21" s="67"/>
      <c r="R21" s="67"/>
      <c r="S21" s="67"/>
      <c r="T21" s="67"/>
      <c r="U21" s="67"/>
      <c r="V21" s="67"/>
      <c r="W21" s="67"/>
      <c r="X21" s="67"/>
      <c r="Y21" s="67"/>
      <c r="Z21" s="67"/>
      <c r="AA21" s="69"/>
    </row>
    <row r="22" spans="3:28" s="1" customFormat="1">
      <c r="C22"/>
      <c r="D22"/>
      <c r="E22" s="64" t="e">
        <f t="shared" ref="E22:AA22" si="2">SUM(E4:E21)</f>
        <v>#N/A</v>
      </c>
      <c r="F22" s="64" t="e">
        <f t="shared" si="2"/>
        <v>#N/A</v>
      </c>
      <c r="G22" s="64" t="e">
        <f t="shared" si="2"/>
        <v>#N/A</v>
      </c>
      <c r="H22" s="64" t="e">
        <f t="shared" si="2"/>
        <v>#N/A</v>
      </c>
      <c r="I22" s="64" t="e">
        <f t="shared" si="2"/>
        <v>#N/A</v>
      </c>
      <c r="J22" s="64" t="e">
        <f t="shared" si="2"/>
        <v>#N/A</v>
      </c>
      <c r="K22" s="64" t="e">
        <f t="shared" si="2"/>
        <v>#N/A</v>
      </c>
      <c r="L22" s="64" t="e">
        <f t="shared" si="2"/>
        <v>#N/A</v>
      </c>
      <c r="M22" s="64" t="e">
        <f t="shared" si="2"/>
        <v>#N/A</v>
      </c>
      <c r="N22" s="64" t="e">
        <f t="shared" si="2"/>
        <v>#N/A</v>
      </c>
      <c r="O22" s="64" t="e">
        <f t="shared" si="2"/>
        <v>#N/A</v>
      </c>
      <c r="P22" s="64" t="e">
        <f t="shared" si="2"/>
        <v>#N/A</v>
      </c>
      <c r="Q22" s="64" t="e">
        <f t="shared" si="2"/>
        <v>#N/A</v>
      </c>
      <c r="R22" s="64" t="e">
        <f t="shared" si="2"/>
        <v>#N/A</v>
      </c>
      <c r="S22" s="64" t="e">
        <f t="shared" si="2"/>
        <v>#N/A</v>
      </c>
      <c r="T22" s="64" t="e">
        <f t="shared" si="2"/>
        <v>#N/A</v>
      </c>
      <c r="U22" s="64" t="e">
        <f t="shared" si="2"/>
        <v>#N/A</v>
      </c>
      <c r="V22" s="64" t="e">
        <f t="shared" si="2"/>
        <v>#N/A</v>
      </c>
      <c r="W22" s="64" t="e">
        <f t="shared" si="2"/>
        <v>#N/A</v>
      </c>
      <c r="X22" s="64" t="e">
        <f t="shared" si="2"/>
        <v>#N/A</v>
      </c>
      <c r="Y22" s="64" t="e">
        <f t="shared" si="2"/>
        <v>#N/A</v>
      </c>
      <c r="Z22" s="64" t="e">
        <f t="shared" si="2"/>
        <v>#N/A</v>
      </c>
      <c r="AA22" s="65" t="e">
        <f t="shared" si="2"/>
        <v>#N/A</v>
      </c>
    </row>
    <row r="23" spans="3:28" s="50" customFormat="1">
      <c r="C23"/>
      <c r="D23"/>
      <c r="E23" s="51"/>
      <c r="F23" s="51"/>
      <c r="G23" s="46"/>
      <c r="H23" s="51"/>
      <c r="I23" s="51"/>
      <c r="J23" s="51"/>
      <c r="K23" s="51"/>
      <c r="L23" s="51"/>
      <c r="M23" s="51"/>
      <c r="N23" s="51"/>
      <c r="O23" s="51"/>
      <c r="P23" s="51"/>
      <c r="Q23" s="51"/>
      <c r="R23" s="51"/>
      <c r="S23" s="51"/>
      <c r="T23" s="51"/>
      <c r="U23" s="51"/>
      <c r="V23" s="51"/>
      <c r="W23" s="51"/>
      <c r="X23" s="51"/>
      <c r="Y23" s="51"/>
      <c r="Z23" s="51"/>
      <c r="AA23" s="58"/>
    </row>
    <row r="24" spans="3:28" s="61" customFormat="1">
      <c r="C24"/>
      <c r="D24"/>
      <c r="E24" s="60" t="e">
        <f>VLOOKUP($C24,Score!$B$2:$X$78,2,0)</f>
        <v>#N/A</v>
      </c>
      <c r="F24" s="60" t="e">
        <f>VLOOKUP($C24,Score!$B$2:$X$78,2,0)</f>
        <v>#N/A</v>
      </c>
      <c r="G24" s="60" t="e">
        <f>VLOOKUP($C24,Score!$B$2:$X$78,2,0)</f>
        <v>#N/A</v>
      </c>
      <c r="H24" s="60" t="e">
        <f>VLOOKUP($C24,Score!$B$2:$X$78,2,0)</f>
        <v>#N/A</v>
      </c>
      <c r="I24" s="60" t="e">
        <f>VLOOKUP($C24,Score!$B$2:$X$78,2,0)</f>
        <v>#N/A</v>
      </c>
      <c r="J24" s="60" t="e">
        <f>VLOOKUP($C24,Score!$B$2:$X$78,2,0)</f>
        <v>#N/A</v>
      </c>
      <c r="K24" s="60" t="e">
        <f>VLOOKUP($C24,Score!$B$2:$X$78,2,0)</f>
        <v>#N/A</v>
      </c>
      <c r="L24" s="60" t="e">
        <f>VLOOKUP($C24,Score!$B$2:$X$78,2,0)</f>
        <v>#N/A</v>
      </c>
      <c r="M24" s="60" t="e">
        <f>VLOOKUP($C24,Score!$B$2:$X$78,2,0)</f>
        <v>#N/A</v>
      </c>
      <c r="N24" s="60" t="e">
        <f>VLOOKUP($C24,Score!$B$2:$X$78,2,0)</f>
        <v>#N/A</v>
      </c>
      <c r="O24" s="60" t="e">
        <f>VLOOKUP($C24,Score!$B$2:$X$78,2,0)</f>
        <v>#N/A</v>
      </c>
      <c r="P24" s="60" t="e">
        <f>VLOOKUP($C24,Score!$B$2:$X$78,2,0)</f>
        <v>#N/A</v>
      </c>
      <c r="Q24" s="60" t="e">
        <f>VLOOKUP($C24,Score!$B$2:$X$78,2,0)</f>
        <v>#N/A</v>
      </c>
      <c r="R24" s="60" t="e">
        <f>VLOOKUP($C24,Score!$B$2:$X$78,2,0)</f>
        <v>#N/A</v>
      </c>
      <c r="S24" s="60" t="e">
        <f>VLOOKUP($C24,Score!$B$2:$X$78,2,0)</f>
        <v>#N/A</v>
      </c>
      <c r="T24" s="60" t="e">
        <f>VLOOKUP($C24,Score!$B$2:$X$78,2,0)</f>
        <v>#N/A</v>
      </c>
      <c r="U24" s="60" t="e">
        <f>VLOOKUP($C24,Score!$B$2:$X$78,2,0)</f>
        <v>#N/A</v>
      </c>
      <c r="V24" s="60" t="e">
        <f>VLOOKUP($C24,Score!$B$2:$X$78,2,0)</f>
        <v>#N/A</v>
      </c>
      <c r="W24" s="60" t="e">
        <f>VLOOKUP($C24,Score!$B$2:$X$78,2,0)</f>
        <v>#N/A</v>
      </c>
      <c r="X24" s="60" t="e">
        <f>VLOOKUP($C24,Score!$B$2:$X$78,2,0)</f>
        <v>#N/A</v>
      </c>
      <c r="Y24" s="60" t="e">
        <f>VLOOKUP($C24,Score!$B$2:$X$78,2,0)</f>
        <v>#N/A</v>
      </c>
      <c r="Z24" s="60" t="e">
        <f>VLOOKUP($C24,Score!$B$2:$X$78,2,0)</f>
        <v>#N/A</v>
      </c>
      <c r="AA24" s="60" t="e">
        <f>VLOOKUP($C24,Score!$B$2:$X$78,2,0)</f>
        <v>#N/A</v>
      </c>
    </row>
    <row r="25" spans="3:28" s="61" customFormat="1">
      <c r="C25"/>
      <c r="D25"/>
      <c r="E25" s="60" t="e">
        <f>VLOOKUP($C25,Score!$B$2:$X$78,2,0)</f>
        <v>#N/A</v>
      </c>
      <c r="F25" s="60" t="e">
        <f>VLOOKUP($C25,Score!$B$2:$X$78,2,0)</f>
        <v>#N/A</v>
      </c>
      <c r="G25" s="60" t="e">
        <f>VLOOKUP($C25,Score!$B$2:$X$78,2,0)</f>
        <v>#N/A</v>
      </c>
      <c r="H25" s="60" t="e">
        <f>VLOOKUP($C25,Score!$B$2:$X$78,2,0)</f>
        <v>#N/A</v>
      </c>
      <c r="I25" s="60" t="e">
        <f>VLOOKUP($C25,Score!$B$2:$X$78,2,0)</f>
        <v>#N/A</v>
      </c>
      <c r="J25" s="60" t="e">
        <f>VLOOKUP($C25,Score!$B$2:$X$78,2,0)</f>
        <v>#N/A</v>
      </c>
      <c r="K25" s="60" t="e">
        <f>VLOOKUP($C25,Score!$B$2:$X$78,2,0)</f>
        <v>#N/A</v>
      </c>
      <c r="L25" s="60" t="e">
        <f>VLOOKUP($C25,Score!$B$2:$X$78,2,0)</f>
        <v>#N/A</v>
      </c>
      <c r="M25" s="60" t="e">
        <f>VLOOKUP($C25,Score!$B$2:$X$78,2,0)</f>
        <v>#N/A</v>
      </c>
      <c r="N25" s="60" t="e">
        <f>VLOOKUP($C25,Score!$B$2:$X$78,2,0)</f>
        <v>#N/A</v>
      </c>
      <c r="O25" s="60" t="e">
        <f>VLOOKUP($C25,Score!$B$2:$X$78,2,0)</f>
        <v>#N/A</v>
      </c>
      <c r="P25" s="60" t="e">
        <f>VLOOKUP($C25,Score!$B$2:$X$78,2,0)</f>
        <v>#N/A</v>
      </c>
      <c r="Q25" s="60" t="e">
        <f>VLOOKUP($C25,Score!$B$2:$X$78,2,0)</f>
        <v>#N/A</v>
      </c>
      <c r="R25" s="60" t="e">
        <f>VLOOKUP($C25,Score!$B$2:$X$78,2,0)</f>
        <v>#N/A</v>
      </c>
      <c r="S25" s="60" t="e">
        <f>VLOOKUP($C25,Score!$B$2:$X$78,2,0)</f>
        <v>#N/A</v>
      </c>
      <c r="T25" s="60" t="e">
        <f>VLOOKUP($C25,Score!$B$2:$X$78,2,0)</f>
        <v>#N/A</v>
      </c>
      <c r="U25" s="60" t="e">
        <f>VLOOKUP($C25,Score!$B$2:$X$78,2,0)</f>
        <v>#N/A</v>
      </c>
      <c r="V25" s="60" t="e">
        <f>VLOOKUP($C25,Score!$B$2:$X$78,2,0)</f>
        <v>#N/A</v>
      </c>
      <c r="W25" s="60" t="e">
        <f>VLOOKUP($C25,Score!$B$2:$X$78,2,0)</f>
        <v>#N/A</v>
      </c>
      <c r="X25" s="60" t="e">
        <f>VLOOKUP($C25,Score!$B$2:$X$78,2,0)</f>
        <v>#N/A</v>
      </c>
      <c r="Y25" s="60" t="e">
        <f>VLOOKUP($C25,Score!$B$2:$X$78,2,0)</f>
        <v>#N/A</v>
      </c>
      <c r="Z25" s="60" t="e">
        <f>VLOOKUP($C25,Score!$B$2:$X$78,2,0)</f>
        <v>#N/A</v>
      </c>
      <c r="AA25" s="60" t="e">
        <f>VLOOKUP($C25,Score!$B$2:$X$78,2,0)</f>
        <v>#N/A</v>
      </c>
    </row>
    <row r="26" spans="3:28" s="61" customFormat="1">
      <c r="C26"/>
      <c r="D26"/>
      <c r="E26" s="60" t="e">
        <f>VLOOKUP($C26,Score!$B$2:$X$78,2,0)</f>
        <v>#N/A</v>
      </c>
      <c r="F26" s="60" t="e">
        <f>VLOOKUP($C26,Score!$B$2:$X$78,2,0)</f>
        <v>#N/A</v>
      </c>
      <c r="G26" s="60" t="e">
        <f>VLOOKUP($C26,Score!$B$2:$X$78,2,0)</f>
        <v>#N/A</v>
      </c>
      <c r="H26" s="60" t="e">
        <f>VLOOKUP($C26,Score!$B$2:$X$78,2,0)</f>
        <v>#N/A</v>
      </c>
      <c r="I26" s="60" t="e">
        <f>VLOOKUP($C26,Score!$B$2:$X$78,2,0)</f>
        <v>#N/A</v>
      </c>
      <c r="J26" s="60" t="e">
        <f>VLOOKUP($C26,Score!$B$2:$X$78,2,0)</f>
        <v>#N/A</v>
      </c>
      <c r="K26" s="60" t="e">
        <f>VLOOKUP($C26,Score!$B$2:$X$78,2,0)</f>
        <v>#N/A</v>
      </c>
      <c r="L26" s="60" t="e">
        <f>VLOOKUP($C26,Score!$B$2:$X$78,2,0)</f>
        <v>#N/A</v>
      </c>
      <c r="M26" s="60" t="e">
        <f>VLOOKUP($C26,Score!$B$2:$X$78,2,0)</f>
        <v>#N/A</v>
      </c>
      <c r="N26" s="60" t="e">
        <f>VLOOKUP($C26,Score!$B$2:$X$78,2,0)</f>
        <v>#N/A</v>
      </c>
      <c r="O26" s="60" t="e">
        <f>VLOOKUP($C26,Score!$B$2:$X$78,2,0)</f>
        <v>#N/A</v>
      </c>
      <c r="P26" s="60" t="e">
        <f>VLOOKUP($C26,Score!$B$2:$X$78,2,0)</f>
        <v>#N/A</v>
      </c>
      <c r="Q26" s="60" t="e">
        <f>VLOOKUP($C26,Score!$B$2:$X$78,2,0)</f>
        <v>#N/A</v>
      </c>
      <c r="R26" s="60" t="e">
        <f>VLOOKUP($C26,Score!$B$2:$X$78,2,0)</f>
        <v>#N/A</v>
      </c>
      <c r="S26" s="60" t="e">
        <f>VLOOKUP($C26,Score!$B$2:$X$78,2,0)</f>
        <v>#N/A</v>
      </c>
      <c r="T26" s="60" t="e">
        <f>VLOOKUP($C26,Score!$B$2:$X$78,2,0)</f>
        <v>#N/A</v>
      </c>
      <c r="U26" s="60" t="e">
        <f>VLOOKUP($C26,Score!$B$2:$X$78,2,0)</f>
        <v>#N/A</v>
      </c>
      <c r="V26" s="60" t="e">
        <f>VLOOKUP($C26,Score!$B$2:$X$78,2,0)</f>
        <v>#N/A</v>
      </c>
      <c r="W26" s="60" t="e">
        <f>VLOOKUP($C26,Score!$B$2:$X$78,2,0)</f>
        <v>#N/A</v>
      </c>
      <c r="X26" s="60" t="e">
        <f>VLOOKUP($C26,Score!$B$2:$X$78,2,0)</f>
        <v>#N/A</v>
      </c>
      <c r="Y26" s="60" t="e">
        <f>VLOOKUP($C26,Score!$B$2:$X$78,2,0)</f>
        <v>#N/A</v>
      </c>
      <c r="Z26" s="60" t="e">
        <f>VLOOKUP($C26,Score!$B$2:$X$78,2,0)</f>
        <v>#N/A</v>
      </c>
      <c r="AA26" s="60" t="e">
        <f>VLOOKUP($C26,Score!$B$2:$X$78,2,0)</f>
        <v>#N/A</v>
      </c>
    </row>
    <row r="27" spans="3:28" s="48" customFormat="1">
      <c r="C27" s="29"/>
      <c r="D27" s="29"/>
      <c r="E27" s="37"/>
      <c r="F27" s="37"/>
      <c r="G27" s="38"/>
      <c r="H27" s="37"/>
      <c r="I27" s="37"/>
      <c r="J27" s="37"/>
      <c r="K27" s="37"/>
      <c r="L27" s="37"/>
      <c r="M27" s="37"/>
      <c r="N27" s="37"/>
      <c r="O27" s="37"/>
      <c r="AA27" s="41"/>
    </row>
    <row r="28" spans="3:28" s="48" customFormat="1">
      <c r="C28" s="55"/>
      <c r="D28" s="55"/>
      <c r="E28" s="37"/>
      <c r="F28" s="37"/>
      <c r="G28" s="38"/>
      <c r="H28" s="37"/>
      <c r="I28" s="37"/>
      <c r="J28" s="37"/>
      <c r="K28" s="37"/>
      <c r="L28" s="37"/>
      <c r="M28" s="37"/>
      <c r="N28" s="37"/>
      <c r="O28" s="37"/>
      <c r="AA28" s="41"/>
    </row>
    <row r="29" spans="3:28" s="48" customFormat="1">
      <c r="C29" s="29"/>
      <c r="D29" s="29"/>
      <c r="E29" s="37"/>
      <c r="F29" s="37"/>
      <c r="G29" s="38"/>
      <c r="H29" s="37"/>
      <c r="I29" s="37"/>
      <c r="J29" s="37"/>
      <c r="K29" s="37"/>
      <c r="L29" s="37"/>
      <c r="M29" s="37"/>
      <c r="N29" s="37"/>
      <c r="O29" s="37"/>
      <c r="AA29" s="41"/>
    </row>
    <row r="30" spans="3:28" s="48" customFormat="1">
      <c r="C30" s="29"/>
      <c r="D30" s="29"/>
      <c r="E30" s="37"/>
      <c r="F30" s="37"/>
      <c r="G30" s="38"/>
      <c r="H30" s="37"/>
      <c r="I30" s="37"/>
      <c r="J30" s="37"/>
      <c r="K30" s="37"/>
      <c r="L30" s="37"/>
      <c r="M30" s="37"/>
      <c r="N30" s="37"/>
      <c r="O30" s="37"/>
      <c r="AA30" s="41"/>
    </row>
    <row r="31" spans="3:28" s="48" customFormat="1">
      <c r="C31" s="29"/>
      <c r="D31" s="29"/>
      <c r="E31" s="37"/>
      <c r="F31" s="37"/>
      <c r="G31" s="38"/>
      <c r="H31" s="37"/>
      <c r="I31" s="37"/>
      <c r="J31" s="37"/>
      <c r="K31" s="37"/>
      <c r="L31" s="37"/>
      <c r="M31" s="37"/>
      <c r="N31" s="37"/>
      <c r="O31" s="37"/>
      <c r="AA31" s="41"/>
    </row>
    <row r="32" spans="3:28" s="14" customFormat="1">
      <c r="C32" s="16"/>
      <c r="D32" s="16"/>
      <c r="E32" s="10"/>
      <c r="F32" s="10"/>
      <c r="G32" s="11"/>
      <c r="H32" s="12"/>
      <c r="I32" s="12"/>
      <c r="J32" s="12"/>
      <c r="K32" s="12"/>
      <c r="L32" s="12"/>
      <c r="M32" s="12"/>
      <c r="N32" s="12"/>
      <c r="O32" s="12"/>
      <c r="P32" s="13"/>
      <c r="AA32" s="15"/>
    </row>
    <row r="33" spans="3:27" s="14" customFormat="1">
      <c r="C33" s="16"/>
      <c r="D33" s="16"/>
      <c r="E33" s="10"/>
      <c r="F33" s="10"/>
      <c r="G33" s="11"/>
      <c r="H33" s="12"/>
      <c r="I33" s="12"/>
      <c r="J33" s="12"/>
      <c r="K33" s="12"/>
      <c r="L33" s="12"/>
      <c r="M33" s="12"/>
      <c r="N33" s="12"/>
      <c r="O33" s="12"/>
      <c r="P33" s="13"/>
      <c r="AA33" s="15"/>
    </row>
    <row r="34" spans="3:27" s="14" customFormat="1">
      <c r="C34" s="16"/>
      <c r="D34" s="16"/>
      <c r="E34" s="10"/>
      <c r="F34" s="10"/>
      <c r="G34" s="11"/>
      <c r="H34" s="12"/>
      <c r="I34" s="12"/>
      <c r="J34" s="12"/>
      <c r="K34" s="12"/>
      <c r="L34" s="12"/>
      <c r="M34" s="12"/>
      <c r="N34" s="12"/>
      <c r="O34" s="12"/>
      <c r="P34" s="13"/>
      <c r="AA34" s="15"/>
    </row>
    <row r="35" spans="3:27" s="14" customFormat="1">
      <c r="C35" s="16"/>
      <c r="D35" s="16"/>
      <c r="E35" s="10"/>
      <c r="F35" s="10"/>
      <c r="G35" s="11"/>
      <c r="H35" s="12"/>
      <c r="I35" s="12"/>
      <c r="J35" s="12"/>
      <c r="K35" s="12"/>
      <c r="L35" s="12"/>
      <c r="M35" s="12"/>
      <c r="N35" s="12"/>
      <c r="O35" s="12"/>
      <c r="P35" s="13"/>
      <c r="AA35" s="15"/>
    </row>
    <row r="36" spans="3:27" s="14" customFormat="1">
      <c r="C36" s="16"/>
      <c r="D36" s="16"/>
      <c r="E36" s="10"/>
      <c r="F36" s="10"/>
      <c r="G36" s="11"/>
      <c r="H36" s="12"/>
      <c r="I36" s="12"/>
      <c r="J36" s="12"/>
      <c r="K36" s="12"/>
      <c r="L36" s="12"/>
      <c r="M36" s="12"/>
      <c r="N36" s="12"/>
      <c r="O36" s="12"/>
      <c r="P36" s="13"/>
      <c r="AA36" s="15"/>
    </row>
    <row r="37" spans="3:27" s="14" customFormat="1">
      <c r="C37" s="16"/>
      <c r="D37" s="16"/>
      <c r="E37" s="10"/>
      <c r="F37" s="10"/>
      <c r="G37" s="11"/>
      <c r="H37" s="12"/>
      <c r="I37" s="12"/>
      <c r="J37" s="12"/>
      <c r="K37" s="12"/>
      <c r="L37" s="12"/>
      <c r="M37" s="12"/>
      <c r="N37" s="12"/>
      <c r="O37" s="12"/>
      <c r="P37" s="13"/>
      <c r="AA37" s="15"/>
    </row>
    <row r="38" spans="3:27" s="14" customFormat="1">
      <c r="C38" s="16"/>
      <c r="D38" s="16"/>
      <c r="E38" s="10"/>
      <c r="F38" s="10"/>
      <c r="G38" s="11"/>
      <c r="H38" s="12"/>
      <c r="I38" s="12"/>
      <c r="J38" s="12"/>
      <c r="K38" s="12"/>
      <c r="L38" s="12"/>
      <c r="M38" s="12"/>
      <c r="N38" s="12"/>
      <c r="O38" s="12"/>
      <c r="P38" s="13"/>
      <c r="AA38" s="15"/>
    </row>
    <row r="39" spans="3:27" s="14" customFormat="1">
      <c r="C39" s="16"/>
      <c r="D39" s="16"/>
      <c r="E39" s="10"/>
      <c r="F39" s="10"/>
      <c r="G39" s="11"/>
      <c r="H39" s="12"/>
      <c r="I39" s="12"/>
      <c r="J39" s="12"/>
      <c r="K39" s="12"/>
      <c r="L39" s="12"/>
      <c r="M39" s="12"/>
      <c r="N39" s="12"/>
      <c r="O39" s="12"/>
      <c r="P39" s="13"/>
      <c r="AA39" s="15"/>
    </row>
    <row r="40" spans="3:27" s="14" customFormat="1">
      <c r="C40" s="16"/>
      <c r="D40" s="16"/>
      <c r="E40" s="10"/>
      <c r="F40" s="10"/>
      <c r="G40" s="11"/>
      <c r="H40" s="12"/>
      <c r="I40" s="12"/>
      <c r="J40" s="12"/>
      <c r="K40" s="12"/>
      <c r="L40" s="12"/>
      <c r="M40" s="12"/>
      <c r="N40" s="12"/>
      <c r="O40" s="12"/>
      <c r="P40" s="13"/>
      <c r="AA40" s="15"/>
    </row>
    <row r="41" spans="3:27" s="14" customFormat="1">
      <c r="C41" s="49"/>
      <c r="D41" s="49"/>
      <c r="E41" s="10"/>
      <c r="F41" s="10"/>
      <c r="G41" s="11"/>
      <c r="H41" s="12"/>
      <c r="I41" s="12"/>
      <c r="J41" s="12"/>
      <c r="K41" s="12"/>
      <c r="L41" s="12"/>
      <c r="M41" s="12"/>
      <c r="N41" s="12"/>
      <c r="O41" s="12"/>
      <c r="P41" s="13"/>
      <c r="AA41" s="15"/>
    </row>
    <row r="42" spans="3:27" s="14" customFormat="1">
      <c r="C42" s="49"/>
      <c r="D42" s="49"/>
      <c r="E42" s="10"/>
      <c r="F42" s="10"/>
      <c r="G42" s="11"/>
      <c r="H42" s="12"/>
      <c r="I42" s="12"/>
      <c r="J42" s="12"/>
      <c r="K42" s="12"/>
      <c r="L42" s="12"/>
      <c r="M42" s="12"/>
      <c r="N42" s="12"/>
      <c r="O42" s="12"/>
      <c r="P42" s="13"/>
      <c r="AA42" s="15"/>
    </row>
    <row r="43" spans="3:27" s="14" customFormat="1">
      <c r="C43" s="49"/>
      <c r="D43" s="49"/>
      <c r="E43" s="10"/>
      <c r="F43" s="10"/>
      <c r="G43" s="11"/>
      <c r="H43" s="12"/>
      <c r="I43" s="12"/>
      <c r="J43" s="12"/>
      <c r="K43" s="12"/>
      <c r="L43" s="12"/>
      <c r="M43" s="12"/>
      <c r="N43" s="12"/>
      <c r="O43" s="12"/>
      <c r="P43" s="13"/>
      <c r="AA43" s="15"/>
    </row>
    <row r="44" spans="3:27" s="14" customFormat="1">
      <c r="C44" s="49"/>
      <c r="D44" s="49"/>
      <c r="E44" s="10"/>
      <c r="F44" s="10"/>
      <c r="G44" s="11"/>
      <c r="H44" s="12"/>
      <c r="I44" s="12"/>
      <c r="J44" s="12"/>
      <c r="K44" s="12"/>
      <c r="L44" s="12"/>
      <c r="M44" s="12"/>
      <c r="N44" s="12"/>
      <c r="O44" s="12"/>
      <c r="P44" s="13"/>
      <c r="AA44" s="15"/>
    </row>
    <row r="45" spans="3:27" s="14" customFormat="1">
      <c r="C45" s="49"/>
      <c r="D45" s="49"/>
      <c r="E45" s="10"/>
      <c r="F45" s="10"/>
      <c r="G45" s="11"/>
      <c r="H45" s="12"/>
      <c r="I45" s="12"/>
      <c r="J45" s="12"/>
      <c r="K45" s="12"/>
      <c r="L45" s="12"/>
      <c r="M45" s="12"/>
      <c r="N45" s="12"/>
      <c r="O45" s="12"/>
      <c r="P45" s="13"/>
      <c r="AA45" s="15"/>
    </row>
    <row r="46" spans="3:27" s="14" customFormat="1">
      <c r="C46" s="49"/>
      <c r="D46" s="49"/>
      <c r="E46" s="10"/>
      <c r="F46" s="10"/>
      <c r="G46" s="11"/>
      <c r="H46" s="12"/>
      <c r="I46" s="12"/>
      <c r="J46" s="12"/>
      <c r="K46" s="12"/>
      <c r="L46" s="12"/>
      <c r="M46" s="12"/>
      <c r="N46" s="12"/>
      <c r="O46" s="12"/>
      <c r="P46" s="13"/>
      <c r="AA46" s="15"/>
    </row>
    <row r="47" spans="3:27" s="14" customFormat="1">
      <c r="C47" s="49"/>
      <c r="D47" s="49"/>
      <c r="E47" s="10"/>
      <c r="F47" s="10"/>
      <c r="G47" s="11"/>
      <c r="H47" s="12"/>
      <c r="I47" s="12"/>
      <c r="J47" s="12"/>
      <c r="K47" s="12"/>
      <c r="L47" s="12"/>
      <c r="M47" s="12"/>
      <c r="N47" s="12"/>
      <c r="O47" s="12"/>
      <c r="P47" s="13"/>
      <c r="AA47" s="15"/>
    </row>
    <row r="48" spans="3:27" s="14" customFormat="1">
      <c r="C48" s="49"/>
      <c r="D48" s="49"/>
      <c r="E48" s="10"/>
      <c r="F48" s="10"/>
      <c r="G48" s="11"/>
      <c r="H48" s="12"/>
      <c r="I48" s="12"/>
      <c r="J48" s="12"/>
      <c r="K48" s="12"/>
      <c r="L48" s="12"/>
      <c r="M48" s="12"/>
      <c r="N48" s="12"/>
      <c r="O48" s="12"/>
      <c r="P48" s="13"/>
      <c r="AA48" s="15"/>
    </row>
    <row r="49" spans="3:27" s="14" customFormat="1">
      <c r="C49" s="49"/>
      <c r="D49" s="49"/>
      <c r="E49" s="10"/>
      <c r="F49" s="10"/>
      <c r="G49" s="11"/>
      <c r="H49" s="12"/>
      <c r="I49" s="12"/>
      <c r="J49" s="12"/>
      <c r="K49" s="12"/>
      <c r="L49" s="12"/>
      <c r="M49" s="12"/>
      <c r="N49" s="12"/>
      <c r="O49" s="12"/>
      <c r="P49" s="13"/>
      <c r="AA49" s="15"/>
    </row>
    <row r="50" spans="3:27" s="14" customFormat="1">
      <c r="C50" s="49"/>
      <c r="D50" s="49"/>
      <c r="E50" s="10"/>
      <c r="F50" s="10"/>
      <c r="G50" s="11"/>
      <c r="H50" s="12"/>
      <c r="I50" s="12"/>
      <c r="J50" s="12"/>
      <c r="K50" s="12"/>
      <c r="L50" s="12"/>
      <c r="M50" s="12"/>
      <c r="N50" s="12"/>
      <c r="O50" s="12"/>
      <c r="P50" s="13"/>
      <c r="AA50" s="15"/>
    </row>
    <row r="51" spans="3:27" s="14" customFormat="1">
      <c r="C51" s="49"/>
      <c r="D51" s="49"/>
      <c r="E51" s="10"/>
      <c r="F51" s="10"/>
      <c r="G51" s="11"/>
      <c r="H51" s="12"/>
      <c r="I51" s="12"/>
      <c r="J51" s="12"/>
      <c r="K51" s="12"/>
      <c r="L51" s="12"/>
      <c r="M51" s="12"/>
      <c r="N51" s="12"/>
      <c r="O51" s="12"/>
      <c r="P51" s="13"/>
      <c r="AA51" s="15"/>
    </row>
    <row r="52" spans="3:27" s="14" customFormat="1">
      <c r="C52" s="49"/>
      <c r="D52" s="49"/>
      <c r="E52" s="10"/>
      <c r="F52" s="10"/>
      <c r="G52" s="11"/>
      <c r="H52" s="12"/>
      <c r="I52" s="12"/>
      <c r="J52" s="12"/>
      <c r="K52" s="12"/>
      <c r="L52" s="12"/>
      <c r="M52" s="12"/>
      <c r="N52" s="12"/>
      <c r="O52" s="12"/>
      <c r="P52" s="13"/>
      <c r="AA52" s="15"/>
    </row>
    <row r="53" spans="3:27" s="14" customFormat="1">
      <c r="C53" s="49"/>
      <c r="D53" s="49"/>
      <c r="E53" s="10"/>
      <c r="F53" s="10"/>
      <c r="G53" s="11"/>
      <c r="H53" s="12"/>
      <c r="I53" s="12"/>
      <c r="J53" s="12"/>
      <c r="K53" s="12"/>
      <c r="L53" s="12"/>
      <c r="M53" s="12"/>
      <c r="N53" s="12"/>
      <c r="O53" s="12"/>
      <c r="P53" s="13"/>
      <c r="AA53" s="15"/>
    </row>
    <row r="54" spans="3:27" s="14" customFormat="1">
      <c r="C54" s="49"/>
      <c r="D54" s="49"/>
      <c r="E54" s="10"/>
      <c r="F54" s="10"/>
      <c r="G54" s="11"/>
      <c r="H54" s="12"/>
      <c r="I54" s="12"/>
      <c r="J54" s="12"/>
      <c r="K54" s="12"/>
      <c r="L54" s="12"/>
      <c r="M54" s="12"/>
      <c r="N54" s="12"/>
      <c r="O54" s="12"/>
      <c r="P54" s="13"/>
      <c r="AA54" s="15"/>
    </row>
    <row r="55" spans="3:27" s="14" customFormat="1">
      <c r="C55" s="49"/>
      <c r="D55" s="49"/>
      <c r="E55" s="10"/>
      <c r="F55" s="10"/>
      <c r="G55" s="11"/>
      <c r="H55" s="12"/>
      <c r="I55" s="12"/>
      <c r="J55" s="12"/>
      <c r="K55" s="12"/>
      <c r="L55" s="12"/>
      <c r="M55" s="12"/>
      <c r="N55" s="12"/>
      <c r="O55" s="12"/>
      <c r="P55" s="13"/>
      <c r="AA55" s="15"/>
    </row>
    <row r="56" spans="3:27" s="14" customFormat="1">
      <c r="C56" s="49"/>
      <c r="D56" s="49"/>
      <c r="E56" s="10"/>
      <c r="F56" s="10"/>
      <c r="G56" s="11"/>
      <c r="H56" s="12"/>
      <c r="I56" s="12"/>
      <c r="J56" s="12"/>
      <c r="K56" s="12"/>
      <c r="L56" s="12"/>
      <c r="M56" s="12"/>
      <c r="N56" s="12"/>
      <c r="O56" s="12"/>
      <c r="P56" s="13"/>
      <c r="AA56" s="15"/>
    </row>
    <row r="57" spans="3:27" s="14" customFormat="1">
      <c r="C57" s="49"/>
      <c r="D57" s="49"/>
      <c r="E57" s="10"/>
      <c r="F57" s="10"/>
      <c r="G57" s="11"/>
      <c r="H57" s="12"/>
      <c r="I57" s="12"/>
      <c r="J57" s="12"/>
      <c r="K57" s="12"/>
      <c r="L57" s="12"/>
      <c r="M57" s="12"/>
      <c r="N57" s="12"/>
      <c r="O57" s="12"/>
      <c r="P57" s="13"/>
      <c r="AA57" s="15"/>
    </row>
    <row r="58" spans="3:27" s="14" customFormat="1">
      <c r="C58" s="49"/>
      <c r="D58" s="49"/>
      <c r="E58" s="10"/>
      <c r="F58" s="10"/>
      <c r="G58" s="11"/>
      <c r="H58" s="12"/>
      <c r="I58" s="12"/>
      <c r="J58" s="12"/>
      <c r="K58" s="12"/>
      <c r="L58" s="12"/>
      <c r="M58" s="12"/>
      <c r="N58" s="12"/>
      <c r="O58" s="12"/>
      <c r="P58" s="13"/>
      <c r="AA58" s="15"/>
    </row>
    <row r="59" spans="3:27" s="14" customFormat="1">
      <c r="C59" s="49"/>
      <c r="D59" s="49"/>
      <c r="E59" s="10"/>
      <c r="F59" s="10"/>
      <c r="G59" s="11"/>
      <c r="H59" s="12"/>
      <c r="I59" s="12"/>
      <c r="J59" s="12"/>
      <c r="K59" s="12"/>
      <c r="L59" s="12"/>
      <c r="M59" s="12"/>
      <c r="N59" s="12"/>
      <c r="O59" s="12"/>
      <c r="P59" s="13"/>
      <c r="AA59" s="15"/>
    </row>
    <row r="60" spans="3:27" s="14" customFormat="1">
      <c r="C60" s="49"/>
      <c r="D60" s="49"/>
      <c r="E60" s="10"/>
      <c r="F60" s="10"/>
      <c r="G60" s="11"/>
      <c r="H60" s="12"/>
      <c r="I60" s="12"/>
      <c r="J60" s="12"/>
      <c r="K60" s="12"/>
      <c r="L60" s="12"/>
      <c r="M60" s="12"/>
      <c r="N60" s="12"/>
      <c r="O60" s="12"/>
      <c r="P60" s="13"/>
      <c r="AA60" s="15"/>
    </row>
    <row r="61" spans="3:27" s="14" customFormat="1">
      <c r="C61" s="49"/>
      <c r="D61" s="49"/>
      <c r="E61" s="10"/>
      <c r="F61" s="10"/>
      <c r="G61" s="11"/>
      <c r="H61" s="12"/>
      <c r="I61" s="12"/>
      <c r="J61" s="12"/>
      <c r="K61" s="12"/>
      <c r="L61" s="12"/>
      <c r="M61" s="12"/>
      <c r="N61" s="12"/>
      <c r="O61" s="12"/>
      <c r="P61" s="13"/>
      <c r="AA61" s="15"/>
    </row>
    <row r="62" spans="3:27" s="14" customFormat="1">
      <c r="C62" s="49"/>
      <c r="D62" s="49"/>
      <c r="E62" s="10"/>
      <c r="F62" s="10"/>
      <c r="G62" s="11"/>
      <c r="H62" s="12"/>
      <c r="I62" s="12"/>
      <c r="J62" s="12"/>
      <c r="K62" s="12"/>
      <c r="L62" s="12"/>
      <c r="M62" s="12"/>
      <c r="N62" s="12"/>
      <c r="O62" s="12"/>
      <c r="P62" s="13"/>
      <c r="AA62" s="15"/>
    </row>
    <row r="63" spans="3:27" s="14" customFormat="1">
      <c r="C63" s="49"/>
      <c r="D63" s="49"/>
      <c r="E63" s="10"/>
      <c r="F63" s="10"/>
      <c r="G63" s="11"/>
      <c r="H63" s="12"/>
      <c r="I63" s="12"/>
      <c r="J63" s="12"/>
      <c r="K63" s="12"/>
      <c r="L63" s="12"/>
      <c r="M63" s="12"/>
      <c r="N63" s="12"/>
      <c r="O63" s="12"/>
      <c r="P63" s="13"/>
      <c r="AA63" s="15"/>
    </row>
    <row r="64" spans="3:27" s="14" customFormat="1">
      <c r="C64" s="49"/>
      <c r="D64" s="49"/>
      <c r="E64" s="10"/>
      <c r="F64" s="10"/>
      <c r="G64" s="11"/>
      <c r="H64" s="12"/>
      <c r="I64" s="12"/>
      <c r="J64" s="12"/>
      <c r="K64" s="12"/>
      <c r="L64" s="12"/>
      <c r="M64" s="12"/>
      <c r="N64" s="12"/>
      <c r="O64" s="12"/>
      <c r="P64" s="13"/>
      <c r="AA64" s="15"/>
    </row>
    <row r="65" spans="3:27" s="14" customFormat="1">
      <c r="C65" s="49"/>
      <c r="D65" s="49"/>
      <c r="E65" s="10"/>
      <c r="F65" s="10"/>
      <c r="G65" s="11"/>
      <c r="H65" s="12"/>
      <c r="I65" s="12"/>
      <c r="J65" s="12"/>
      <c r="K65" s="12"/>
      <c r="L65" s="12"/>
      <c r="M65" s="12"/>
      <c r="N65" s="12"/>
      <c r="O65" s="12"/>
      <c r="P65" s="13"/>
      <c r="AA65" s="15"/>
    </row>
    <row r="66" spans="3:27" s="14" customFormat="1">
      <c r="C66" s="49"/>
      <c r="D66" s="49"/>
      <c r="E66" s="10"/>
      <c r="F66" s="10"/>
      <c r="G66" s="11"/>
      <c r="H66" s="12"/>
      <c r="I66" s="12"/>
      <c r="J66" s="12"/>
      <c r="K66" s="12"/>
      <c r="L66" s="12"/>
      <c r="M66" s="12"/>
      <c r="N66" s="12"/>
      <c r="O66" s="12"/>
      <c r="P66" s="13"/>
      <c r="AA66" s="15"/>
    </row>
    <row r="67" spans="3:27" s="14" customFormat="1">
      <c r="C67" s="49"/>
      <c r="D67" s="49"/>
      <c r="E67" s="10"/>
      <c r="F67" s="10"/>
      <c r="G67" s="11"/>
      <c r="H67" s="12"/>
      <c r="I67" s="12"/>
      <c r="J67" s="12"/>
      <c r="K67" s="12"/>
      <c r="L67" s="12"/>
      <c r="M67" s="12"/>
      <c r="N67" s="12"/>
      <c r="O67" s="12"/>
      <c r="P67" s="13"/>
      <c r="AA67" s="15"/>
    </row>
    <row r="68" spans="3:27" s="14" customFormat="1">
      <c r="C68" s="49"/>
      <c r="D68" s="49"/>
      <c r="E68" s="10"/>
      <c r="F68" s="10"/>
      <c r="G68" s="11"/>
      <c r="H68" s="12"/>
      <c r="I68" s="12"/>
      <c r="J68" s="12"/>
      <c r="K68" s="12"/>
      <c r="L68" s="12"/>
      <c r="M68" s="12"/>
      <c r="N68" s="12"/>
      <c r="O68" s="12"/>
      <c r="P68" s="13"/>
      <c r="AA68" s="15"/>
    </row>
    <row r="69" spans="3:27" s="14" customFormat="1">
      <c r="C69" s="49"/>
      <c r="D69" s="49"/>
      <c r="E69" s="10"/>
      <c r="F69" s="10"/>
      <c r="G69" s="11"/>
      <c r="H69" s="12"/>
      <c r="I69" s="12"/>
      <c r="J69" s="12"/>
      <c r="K69" s="12"/>
      <c r="L69" s="12"/>
      <c r="M69" s="12"/>
      <c r="N69" s="12"/>
      <c r="O69" s="12"/>
      <c r="P69" s="13"/>
      <c r="AA69" s="15"/>
    </row>
    <row r="70" spans="3:27" s="14" customFormat="1">
      <c r="C70" s="49"/>
      <c r="D70" s="49"/>
      <c r="E70" s="10"/>
      <c r="F70" s="10"/>
      <c r="G70" s="11"/>
      <c r="H70" s="12"/>
      <c r="I70" s="12"/>
      <c r="J70" s="12"/>
      <c r="K70" s="12"/>
      <c r="L70" s="12"/>
      <c r="M70" s="12"/>
      <c r="N70" s="12"/>
      <c r="O70" s="12"/>
      <c r="P70" s="13"/>
      <c r="AA70" s="15"/>
    </row>
    <row r="71" spans="3:27" s="14" customFormat="1">
      <c r="C71" s="49"/>
      <c r="D71" s="49"/>
      <c r="E71" s="10"/>
      <c r="F71" s="10"/>
      <c r="G71" s="11"/>
      <c r="H71" s="12"/>
      <c r="I71" s="12"/>
      <c r="J71" s="12"/>
      <c r="K71" s="12"/>
      <c r="L71" s="12"/>
      <c r="M71" s="12"/>
      <c r="N71" s="12"/>
      <c r="O71" s="12"/>
      <c r="P71" s="13"/>
      <c r="AA71" s="15"/>
    </row>
  </sheetData>
  <phoneticPr fontId="0"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sheetPr codeName="Blad18">
    <tabColor indexed="12"/>
  </sheetPr>
  <dimension ref="C1:AB56"/>
  <sheetViews>
    <sheetView showZeros="0" workbookViewId="0">
      <selection activeCell="Y31" sqref="Y31"/>
    </sheetView>
  </sheetViews>
  <sheetFormatPr defaultRowHeight="12.75"/>
  <cols>
    <col min="1" max="1" width="2.7109375" customWidth="1"/>
    <col min="2" max="2" width="3.42578125" customWidth="1"/>
    <col min="3" max="4" width="12.28515625" style="8" customWidth="1"/>
    <col min="5" max="6" width="5.28515625" style="2" customWidth="1"/>
    <col min="7" max="7" width="5.42578125" style="5" customWidth="1"/>
    <col min="8" max="15" width="5.42578125" style="3" customWidth="1"/>
    <col min="16" max="16" width="5.42578125" style="4" customWidth="1"/>
    <col min="17" max="25" width="5.42578125" customWidth="1"/>
    <col min="26" max="26" width="6.85546875" customWidth="1"/>
    <col min="27" max="27" width="6.28515625" style="1" customWidth="1"/>
    <col min="28" max="28" width="15" customWidth="1"/>
  </cols>
  <sheetData>
    <row r="1" spans="3:28">
      <c r="C1" s="17" t="s">
        <v>42</v>
      </c>
      <c r="D1" s="17"/>
      <c r="E1" s="3"/>
    </row>
    <row r="2" spans="3:28">
      <c r="C2" s="1"/>
      <c r="D2" s="1"/>
      <c r="G2" s="3"/>
    </row>
    <row r="3" spans="3:28" s="4" customFormat="1" ht="13.5" thickBot="1">
      <c r="C3" s="30"/>
      <c r="D3" s="35"/>
      <c r="E3" s="9">
        <f>Score!C1</f>
        <v>1</v>
      </c>
      <c r="F3" s="9">
        <f>Score!E1</f>
        <v>3</v>
      </c>
      <c r="G3" s="9">
        <f>Score!F1</f>
        <v>4</v>
      </c>
      <c r="H3" s="9">
        <f>Score!G1</f>
        <v>5</v>
      </c>
      <c r="I3" s="9">
        <f>Score!H1</f>
        <v>6</v>
      </c>
      <c r="J3" s="9">
        <f>Score!I1</f>
        <v>7</v>
      </c>
      <c r="K3" s="9">
        <f>Score!J1</f>
        <v>8</v>
      </c>
      <c r="L3" s="9">
        <f>Score!K1</f>
        <v>9</v>
      </c>
      <c r="M3" s="9">
        <f>Score!L1</f>
        <v>10</v>
      </c>
      <c r="N3" s="9">
        <f>Score!M1</f>
        <v>11</v>
      </c>
      <c r="O3" s="9">
        <f>Score!N1</f>
        <v>12</v>
      </c>
      <c r="P3" s="9">
        <f>Score!O1</f>
        <v>13</v>
      </c>
      <c r="Q3" s="9">
        <f>Score!P1</f>
        <v>14</v>
      </c>
      <c r="R3" s="9">
        <f>Score!Q1</f>
        <v>15</v>
      </c>
      <c r="S3" s="9">
        <f>Score!R1</f>
        <v>16</v>
      </c>
      <c r="T3" s="9">
        <f>Score!S1</f>
        <v>17</v>
      </c>
      <c r="U3" s="9">
        <f>Score!T1</f>
        <v>18</v>
      </c>
      <c r="V3" s="9">
        <f>Score!U1</f>
        <v>19</v>
      </c>
      <c r="W3" s="9">
        <f>Score!V1</f>
        <v>20</v>
      </c>
      <c r="X3" s="9">
        <f>Score!W1</f>
        <v>21</v>
      </c>
      <c r="Y3" s="9" t="e">
        <f>Score!#REF!</f>
        <v>#REF!</v>
      </c>
      <c r="Z3" s="9" t="s">
        <v>2</v>
      </c>
      <c r="AA3" s="7"/>
    </row>
    <row r="4" spans="3:28">
      <c r="C4"/>
      <c r="D4"/>
      <c r="E4" s="2" t="e">
        <f>VLOOKUP($C4,Score!$B$2:$X$78,2,0)</f>
        <v>#N/A</v>
      </c>
      <c r="F4" s="2" t="e">
        <f>VLOOKUP($C4,Score!$B$2:$X$78,3,0)</f>
        <v>#N/A</v>
      </c>
      <c r="G4" s="2" t="e">
        <f>VLOOKUP($C4,Score!$B$2:$X$78,4,0)</f>
        <v>#N/A</v>
      </c>
      <c r="H4" s="2" t="e">
        <f>VLOOKUP($C4,Score!$B$2:$X$78,5,0)</f>
        <v>#N/A</v>
      </c>
      <c r="I4" s="2" t="e">
        <f>VLOOKUP($C4,Score!$B$2:$X$78,6,0)</f>
        <v>#N/A</v>
      </c>
      <c r="J4" s="2" t="e">
        <f>VLOOKUP($C4,Score!$B$2:$X$78,7,0)</f>
        <v>#N/A</v>
      </c>
      <c r="K4" s="2" t="e">
        <f>VLOOKUP($C4,Score!$B$2:$X$78,8,0)</f>
        <v>#N/A</v>
      </c>
      <c r="L4" s="2" t="e">
        <f>VLOOKUP($C4,Score!$B$2:$X$78,9,0)</f>
        <v>#N/A</v>
      </c>
      <c r="M4" s="2" t="e">
        <f>VLOOKUP($C4,Score!$B$2:$X$78,10,0)</f>
        <v>#N/A</v>
      </c>
      <c r="N4" s="2" t="e">
        <f>VLOOKUP($C4,Score!$B$2:$X$78,11,0)</f>
        <v>#N/A</v>
      </c>
      <c r="O4" s="2" t="e">
        <f>VLOOKUP($C4,Score!$B$2:$X$78,12,0)</f>
        <v>#N/A</v>
      </c>
      <c r="P4" s="2" t="e">
        <f>VLOOKUP($C4,Score!$B$2:$X$78,13,0)</f>
        <v>#N/A</v>
      </c>
      <c r="Q4" s="2" t="e">
        <f>VLOOKUP($C4,Score!$B$2:$X$78,14,0)</f>
        <v>#N/A</v>
      </c>
      <c r="R4" s="2" t="e">
        <f>VLOOKUP($C4,Score!$B$2:$X$78,15,0)</f>
        <v>#N/A</v>
      </c>
      <c r="S4" s="2" t="e">
        <f>VLOOKUP($C4,Score!$B$2:$X$78,16,0)</f>
        <v>#N/A</v>
      </c>
      <c r="T4" s="2" t="e">
        <f>VLOOKUP($C4,Score!$B$2:$X$78,17,0)</f>
        <v>#N/A</v>
      </c>
      <c r="U4" s="2" t="e">
        <f>VLOOKUP($C4,Score!$B$2:$X$78,18,0)</f>
        <v>#N/A</v>
      </c>
      <c r="V4" s="2" t="e">
        <f>VLOOKUP($C4,Score!$B$2:$X$78,19,0)</f>
        <v>#N/A</v>
      </c>
      <c r="W4" s="2" t="e">
        <f>VLOOKUP($C4,Score!$B$2:$X$78,20,0)</f>
        <v>#N/A</v>
      </c>
      <c r="X4" s="2" t="e">
        <f>VLOOKUP($C4,Score!$B$2:$Z$77,21,0)</f>
        <v>#N/A</v>
      </c>
      <c r="Y4" s="2" t="e">
        <f>VLOOKUP($C4,Score!$B$2:$Z$77,22,0)</f>
        <v>#N/A</v>
      </c>
      <c r="Z4" s="2" t="e">
        <f>VLOOKUP($C4,Score!$B$2:$Z$77,24,0)</f>
        <v>#N/A</v>
      </c>
      <c r="AA4" s="6" t="e">
        <f t="shared" ref="AA4:AA20" si="0">SUM(E4:Z4)</f>
        <v>#N/A</v>
      </c>
      <c r="AB4">
        <f t="shared" ref="AB4:AB20" si="1">C4</f>
        <v>0</v>
      </c>
    </row>
    <row r="5" spans="3:28">
      <c r="C5"/>
      <c r="D5"/>
      <c r="E5" s="2" t="e">
        <f>VLOOKUP($C5,Score!$B$2:$X$78,2,0)</f>
        <v>#N/A</v>
      </c>
      <c r="F5" s="2" t="e">
        <f>VLOOKUP($C5,Score!$B$2:$X$78,3,0)</f>
        <v>#N/A</v>
      </c>
      <c r="G5" s="2" t="e">
        <f>VLOOKUP($C5,Score!$B$2:$X$78,4,0)</f>
        <v>#N/A</v>
      </c>
      <c r="H5" s="2" t="e">
        <f>VLOOKUP($C5,Score!$B$2:$X$78,5,0)</f>
        <v>#N/A</v>
      </c>
      <c r="I5" s="2" t="e">
        <f>VLOOKUP($C5,Score!$B$2:$X$78,6,0)</f>
        <v>#N/A</v>
      </c>
      <c r="J5" s="2" t="e">
        <f>VLOOKUP($C5,Score!$B$2:$X$78,7,0)</f>
        <v>#N/A</v>
      </c>
      <c r="K5" s="2" t="e">
        <f>VLOOKUP($C5,Score!$B$2:$X$78,8,0)</f>
        <v>#N/A</v>
      </c>
      <c r="L5" s="2" t="e">
        <f>VLOOKUP($C5,Score!$B$2:$X$78,9,0)</f>
        <v>#N/A</v>
      </c>
      <c r="M5" s="2" t="e">
        <f>VLOOKUP($C5,Score!$B$2:$X$78,10,0)</f>
        <v>#N/A</v>
      </c>
      <c r="N5" s="2" t="e">
        <f>VLOOKUP($C5,Score!$B$2:$X$78,11,0)</f>
        <v>#N/A</v>
      </c>
      <c r="O5" s="2" t="e">
        <f>VLOOKUP($C5,Score!$B$2:$X$78,12,0)</f>
        <v>#N/A</v>
      </c>
      <c r="P5" s="2" t="e">
        <f>VLOOKUP($C5,Score!$B$2:$X$78,13,0)</f>
        <v>#N/A</v>
      </c>
      <c r="Q5" s="2" t="e">
        <f>VLOOKUP($C5,Score!$B$2:$X$78,14,0)</f>
        <v>#N/A</v>
      </c>
      <c r="R5" s="2" t="e">
        <f>VLOOKUP($C5,Score!$B$2:$X$78,15,0)</f>
        <v>#N/A</v>
      </c>
      <c r="S5" s="2" t="e">
        <f>VLOOKUP($C5,Score!$B$2:$X$78,16,0)</f>
        <v>#N/A</v>
      </c>
      <c r="T5" s="2" t="e">
        <f>VLOOKUP($C5,Score!$B$2:$X$78,17,0)</f>
        <v>#N/A</v>
      </c>
      <c r="U5" s="2" t="e">
        <f>VLOOKUP($C5,Score!$B$2:$X$78,18,0)</f>
        <v>#N/A</v>
      </c>
      <c r="V5" s="2" t="e">
        <f>VLOOKUP($C5,Score!$B$2:$X$78,19,0)</f>
        <v>#N/A</v>
      </c>
      <c r="W5" s="2" t="e">
        <f>VLOOKUP($C5,Score!$B$2:$X$78,20,0)</f>
        <v>#N/A</v>
      </c>
      <c r="X5" s="2" t="e">
        <f>VLOOKUP($C5,Score!$B$2:$Z$77,21,0)</f>
        <v>#N/A</v>
      </c>
      <c r="Y5" s="2" t="e">
        <f>VLOOKUP($C5,Score!$B$2:$Z$77,22,0)</f>
        <v>#N/A</v>
      </c>
      <c r="Z5" s="2" t="e">
        <f>VLOOKUP($C5,Score!$B$2:$Z$77,24,0)</f>
        <v>#N/A</v>
      </c>
      <c r="AA5" s="6" t="e">
        <f t="shared" si="0"/>
        <v>#N/A</v>
      </c>
      <c r="AB5">
        <f t="shared" si="1"/>
        <v>0</v>
      </c>
    </row>
    <row r="6" spans="3:28">
      <c r="C6"/>
      <c r="D6"/>
      <c r="E6" s="2" t="e">
        <f>VLOOKUP($C6,Score!$B$2:$X$78,2,0)</f>
        <v>#N/A</v>
      </c>
      <c r="F6" s="2" t="e">
        <f>VLOOKUP($C6,Score!$B$2:$X$78,3,0)</f>
        <v>#N/A</v>
      </c>
      <c r="G6" s="2" t="e">
        <f>VLOOKUP($C6,Score!$B$2:$X$78,4,0)</f>
        <v>#N/A</v>
      </c>
      <c r="H6" s="2" t="e">
        <f>VLOOKUP($C6,Score!$B$2:$X$78,5,0)</f>
        <v>#N/A</v>
      </c>
      <c r="I6" s="2" t="e">
        <f>VLOOKUP($C6,Score!$B$2:$X$78,6,0)</f>
        <v>#N/A</v>
      </c>
      <c r="J6" s="2" t="e">
        <f>VLOOKUP($C6,Score!$B$2:$X$78,7,0)</f>
        <v>#N/A</v>
      </c>
      <c r="K6" s="2" t="e">
        <f>VLOOKUP($C6,Score!$B$2:$X$78,8,0)</f>
        <v>#N/A</v>
      </c>
      <c r="L6" s="2" t="e">
        <f>VLOOKUP($C6,Score!$B$2:$X$78,9,0)</f>
        <v>#N/A</v>
      </c>
      <c r="M6" s="2" t="e">
        <f>VLOOKUP($C6,Score!$B$2:$X$78,10,0)</f>
        <v>#N/A</v>
      </c>
      <c r="N6" s="2" t="e">
        <f>VLOOKUP($C6,Score!$B$2:$X$78,11,0)</f>
        <v>#N/A</v>
      </c>
      <c r="O6" s="2" t="e">
        <f>VLOOKUP($C6,Score!$B$2:$X$78,12,0)</f>
        <v>#N/A</v>
      </c>
      <c r="P6" s="2" t="e">
        <f>VLOOKUP($C6,Score!$B$2:$X$78,13,0)</f>
        <v>#N/A</v>
      </c>
      <c r="Q6" s="2" t="e">
        <f>VLOOKUP($C6,Score!$B$2:$X$78,14,0)</f>
        <v>#N/A</v>
      </c>
      <c r="R6" s="2" t="e">
        <f>VLOOKUP($C6,Score!$B$2:$X$78,15,0)</f>
        <v>#N/A</v>
      </c>
      <c r="S6" s="2" t="e">
        <f>VLOOKUP($C6,Score!$B$2:$X$78,16,0)</f>
        <v>#N/A</v>
      </c>
      <c r="T6" s="2" t="e">
        <f>VLOOKUP($C6,Score!$B$2:$X$78,17,0)</f>
        <v>#N/A</v>
      </c>
      <c r="U6" s="2" t="e">
        <f>VLOOKUP($C6,Score!$B$2:$X$78,18,0)</f>
        <v>#N/A</v>
      </c>
      <c r="V6" s="2" t="e">
        <f>VLOOKUP($C6,Score!$B$2:$X$78,19,0)</f>
        <v>#N/A</v>
      </c>
      <c r="W6" s="2" t="e">
        <f>VLOOKUP($C6,Score!$B$2:$X$78,20,0)</f>
        <v>#N/A</v>
      </c>
      <c r="X6" s="2" t="e">
        <f>VLOOKUP($C6,Score!$B$2:$Z$77,21,0)</f>
        <v>#N/A</v>
      </c>
      <c r="Y6" s="2" t="e">
        <f>VLOOKUP($C6,Score!$B$2:$Z$77,22,0)</f>
        <v>#N/A</v>
      </c>
      <c r="Z6" s="2" t="e">
        <f>VLOOKUP($C6,Score!$B$2:$Z$77,24,0)</f>
        <v>#N/A</v>
      </c>
      <c r="AA6" s="6" t="e">
        <f t="shared" si="0"/>
        <v>#N/A</v>
      </c>
      <c r="AB6">
        <f t="shared" si="1"/>
        <v>0</v>
      </c>
    </row>
    <row r="7" spans="3:28">
      <c r="C7"/>
      <c r="D7"/>
      <c r="E7" s="2" t="e">
        <f>VLOOKUP($C7,Score!$B$2:$X$78,2,0)</f>
        <v>#N/A</v>
      </c>
      <c r="F7" s="2" t="e">
        <f>VLOOKUP($C7,Score!$B$2:$X$78,3,0)</f>
        <v>#N/A</v>
      </c>
      <c r="G7" s="2" t="e">
        <f>VLOOKUP($C7,Score!$B$2:$X$78,4,0)</f>
        <v>#N/A</v>
      </c>
      <c r="H7" s="2" t="e">
        <f>VLOOKUP($C7,Score!$B$2:$X$78,5,0)</f>
        <v>#N/A</v>
      </c>
      <c r="I7" s="2" t="e">
        <f>VLOOKUP($C7,Score!$B$2:$X$78,6,0)</f>
        <v>#N/A</v>
      </c>
      <c r="J7" s="2" t="e">
        <f>VLOOKUP($C7,Score!$B$2:$X$78,7,0)</f>
        <v>#N/A</v>
      </c>
      <c r="K7" s="2" t="e">
        <f>VLOOKUP($C7,Score!$B$2:$X$78,8,0)</f>
        <v>#N/A</v>
      </c>
      <c r="L7" s="2" t="e">
        <f>VLOOKUP($C7,Score!$B$2:$X$78,9,0)</f>
        <v>#N/A</v>
      </c>
      <c r="M7" s="2" t="e">
        <f>VLOOKUP($C7,Score!$B$2:$X$78,10,0)</f>
        <v>#N/A</v>
      </c>
      <c r="N7" s="2" t="e">
        <f>VLOOKUP($C7,Score!$B$2:$X$78,11,0)</f>
        <v>#N/A</v>
      </c>
      <c r="O7" s="2" t="e">
        <f>VLOOKUP($C7,Score!$B$2:$X$78,12,0)</f>
        <v>#N/A</v>
      </c>
      <c r="P7" s="2" t="e">
        <f>VLOOKUP($C7,Score!$B$2:$X$78,13,0)</f>
        <v>#N/A</v>
      </c>
      <c r="Q7" s="2" t="e">
        <f>VLOOKUP($C7,Score!$B$2:$X$78,14,0)</f>
        <v>#N/A</v>
      </c>
      <c r="R7" s="2" t="e">
        <f>VLOOKUP($C7,Score!$B$2:$X$78,15,0)</f>
        <v>#N/A</v>
      </c>
      <c r="S7" s="2" t="e">
        <f>VLOOKUP($C7,Score!$B$2:$X$78,16,0)</f>
        <v>#N/A</v>
      </c>
      <c r="T7" s="2" t="e">
        <f>VLOOKUP($C7,Score!$B$2:$X$78,17,0)</f>
        <v>#N/A</v>
      </c>
      <c r="U7" s="2" t="e">
        <f>VLOOKUP($C7,Score!$B$2:$X$78,18,0)</f>
        <v>#N/A</v>
      </c>
      <c r="V7" s="2" t="e">
        <f>VLOOKUP($C7,Score!$B$2:$X$78,19,0)</f>
        <v>#N/A</v>
      </c>
      <c r="W7" s="2" t="e">
        <f>VLOOKUP($C7,Score!$B$2:$X$78,20,0)</f>
        <v>#N/A</v>
      </c>
      <c r="X7" s="2" t="e">
        <f>VLOOKUP($C7,Score!$B$2:$Z$77,21,0)</f>
        <v>#N/A</v>
      </c>
      <c r="Y7" s="2" t="e">
        <f>VLOOKUP($C7,Score!$B$2:$Z$77,22,0)</f>
        <v>#N/A</v>
      </c>
      <c r="Z7" s="2" t="e">
        <f>VLOOKUP($C7,Score!$B$2:$Z$77,24,0)</f>
        <v>#N/A</v>
      </c>
      <c r="AA7" s="6" t="e">
        <f t="shared" si="0"/>
        <v>#N/A</v>
      </c>
      <c r="AB7">
        <f t="shared" si="1"/>
        <v>0</v>
      </c>
    </row>
    <row r="8" spans="3:28">
      <c r="C8"/>
      <c r="D8"/>
      <c r="E8" s="2" t="e">
        <f>VLOOKUP($C8,Score!$B$2:$X$78,2,0)</f>
        <v>#N/A</v>
      </c>
      <c r="F8" s="2" t="e">
        <f>VLOOKUP($C8,Score!$B$2:$X$78,3,0)</f>
        <v>#N/A</v>
      </c>
      <c r="G8" s="2" t="e">
        <f>VLOOKUP($C8,Score!$B$2:$X$78,4,0)</f>
        <v>#N/A</v>
      </c>
      <c r="H8" s="2" t="e">
        <f>VLOOKUP($C8,Score!$B$2:$X$78,5,0)</f>
        <v>#N/A</v>
      </c>
      <c r="I8" s="2" t="e">
        <f>VLOOKUP($C8,Score!$B$2:$X$78,6,0)</f>
        <v>#N/A</v>
      </c>
      <c r="J8" s="2" t="e">
        <f>VLOOKUP($C8,Score!$B$2:$X$78,7,0)</f>
        <v>#N/A</v>
      </c>
      <c r="K8" s="2" t="e">
        <f>VLOOKUP($C8,Score!$B$2:$X$78,8,0)</f>
        <v>#N/A</v>
      </c>
      <c r="L8" s="2" t="e">
        <f>VLOOKUP($C8,Score!$B$2:$X$78,9,0)</f>
        <v>#N/A</v>
      </c>
      <c r="M8" s="2" t="e">
        <f>VLOOKUP($C8,Score!$B$2:$X$78,10,0)</f>
        <v>#N/A</v>
      </c>
      <c r="N8" s="2" t="e">
        <f>VLOOKUP($C8,Score!$B$2:$X$78,11,0)</f>
        <v>#N/A</v>
      </c>
      <c r="O8" s="2" t="e">
        <f>VLOOKUP($C8,Score!$B$2:$X$78,12,0)</f>
        <v>#N/A</v>
      </c>
      <c r="P8" s="2" t="e">
        <f>VLOOKUP($C8,Score!$B$2:$X$78,13,0)</f>
        <v>#N/A</v>
      </c>
      <c r="Q8" s="2" t="e">
        <f>VLOOKUP($C8,Score!$B$2:$X$78,14,0)</f>
        <v>#N/A</v>
      </c>
      <c r="R8" s="2" t="e">
        <f>VLOOKUP($C8,Score!$B$2:$X$78,15,0)</f>
        <v>#N/A</v>
      </c>
      <c r="S8" s="2" t="e">
        <f>VLOOKUP($C8,Score!$B$2:$X$78,16,0)</f>
        <v>#N/A</v>
      </c>
      <c r="T8" s="2" t="e">
        <f>VLOOKUP($C8,Score!$B$2:$X$78,17,0)</f>
        <v>#N/A</v>
      </c>
      <c r="U8" s="2" t="e">
        <f>VLOOKUP($C8,Score!$B$2:$X$78,18,0)</f>
        <v>#N/A</v>
      </c>
      <c r="V8" s="2" t="e">
        <f>VLOOKUP($C8,Score!$B$2:$X$78,19,0)</f>
        <v>#N/A</v>
      </c>
      <c r="W8" s="2" t="e">
        <f>VLOOKUP($C8,Score!$B$2:$X$78,20,0)</f>
        <v>#N/A</v>
      </c>
      <c r="X8" s="2" t="e">
        <f>VLOOKUP($C8,Score!$B$2:$Z$77,21,0)</f>
        <v>#N/A</v>
      </c>
      <c r="Y8" s="2" t="e">
        <f>VLOOKUP($C8,Score!$B$2:$Z$77,22,0)</f>
        <v>#N/A</v>
      </c>
      <c r="Z8" s="2" t="e">
        <f>VLOOKUP($C8,Score!$B$2:$Z$77,24,0)</f>
        <v>#N/A</v>
      </c>
      <c r="AA8" s="6" t="e">
        <f t="shared" si="0"/>
        <v>#N/A</v>
      </c>
      <c r="AB8">
        <f t="shared" si="1"/>
        <v>0</v>
      </c>
    </row>
    <row r="9" spans="3:28">
      <c r="C9"/>
      <c r="D9"/>
      <c r="E9" s="2" t="e">
        <f>VLOOKUP($C9,Score!$B$2:$X$78,2,0)</f>
        <v>#N/A</v>
      </c>
      <c r="F9" s="2" t="e">
        <f>VLOOKUP($C9,Score!$B$2:$X$78,3,0)</f>
        <v>#N/A</v>
      </c>
      <c r="G9" s="2" t="e">
        <f>VLOOKUP($C9,Score!$B$2:$X$78,4,0)</f>
        <v>#N/A</v>
      </c>
      <c r="H9" s="2" t="e">
        <f>VLOOKUP($C9,Score!$B$2:$X$78,5,0)</f>
        <v>#N/A</v>
      </c>
      <c r="I9" s="2" t="e">
        <f>VLOOKUP($C9,Score!$B$2:$X$78,6,0)</f>
        <v>#N/A</v>
      </c>
      <c r="J9" s="2" t="e">
        <f>VLOOKUP($C9,Score!$B$2:$X$78,7,0)</f>
        <v>#N/A</v>
      </c>
      <c r="K9" s="2" t="e">
        <f>VLOOKUP($C9,Score!$B$2:$X$78,8,0)</f>
        <v>#N/A</v>
      </c>
      <c r="L9" s="2" t="e">
        <f>VLOOKUP($C9,Score!$B$2:$X$78,9,0)</f>
        <v>#N/A</v>
      </c>
      <c r="M9" s="2" t="e">
        <f>VLOOKUP($C9,Score!$B$2:$X$78,10,0)</f>
        <v>#N/A</v>
      </c>
      <c r="N9" s="2" t="e">
        <f>VLOOKUP($C9,Score!$B$2:$X$78,11,0)</f>
        <v>#N/A</v>
      </c>
      <c r="O9" s="2" t="e">
        <f>VLOOKUP($C9,Score!$B$2:$X$78,12,0)</f>
        <v>#N/A</v>
      </c>
      <c r="P9" s="2" t="e">
        <f>VLOOKUP($C9,Score!$B$2:$X$78,13,0)</f>
        <v>#N/A</v>
      </c>
      <c r="Q9" s="2" t="e">
        <f>VLOOKUP($C9,Score!$B$2:$X$78,14,0)</f>
        <v>#N/A</v>
      </c>
      <c r="R9" s="2" t="e">
        <f>VLOOKUP($C9,Score!$B$2:$X$78,15,0)</f>
        <v>#N/A</v>
      </c>
      <c r="S9" s="2" t="e">
        <f>VLOOKUP($C9,Score!$B$2:$X$78,16,0)</f>
        <v>#N/A</v>
      </c>
      <c r="T9" s="2" t="e">
        <f>VLOOKUP($C9,Score!$B$2:$X$78,17,0)</f>
        <v>#N/A</v>
      </c>
      <c r="U9" s="2" t="e">
        <f>VLOOKUP($C9,Score!$B$2:$X$78,18,0)</f>
        <v>#N/A</v>
      </c>
      <c r="V9" s="2" t="e">
        <f>VLOOKUP($C9,Score!$B$2:$X$78,19,0)</f>
        <v>#N/A</v>
      </c>
      <c r="W9" s="2" t="e">
        <f>VLOOKUP($C9,Score!$B$2:$X$78,20,0)</f>
        <v>#N/A</v>
      </c>
      <c r="X9" s="2" t="e">
        <f>VLOOKUP($C9,Score!$B$2:$Z$77,21,0)</f>
        <v>#N/A</v>
      </c>
      <c r="Y9" s="2" t="e">
        <f>VLOOKUP($C9,Score!$B$2:$Z$77,22,0)</f>
        <v>#N/A</v>
      </c>
      <c r="Z9" s="2" t="e">
        <f>VLOOKUP($C9,Score!$B$2:$Z$77,24,0)</f>
        <v>#N/A</v>
      </c>
      <c r="AA9" s="6" t="e">
        <f t="shared" si="0"/>
        <v>#N/A</v>
      </c>
      <c r="AB9">
        <f t="shared" si="1"/>
        <v>0</v>
      </c>
    </row>
    <row r="10" spans="3:28">
      <c r="C10"/>
      <c r="D10"/>
      <c r="E10" s="2" t="e">
        <f>VLOOKUP($C10,Score!$B$2:$X$78,2,0)</f>
        <v>#N/A</v>
      </c>
      <c r="F10" s="2" t="e">
        <f>VLOOKUP($C10,Score!$B$2:$X$78,3,0)</f>
        <v>#N/A</v>
      </c>
      <c r="G10" s="2" t="e">
        <f>VLOOKUP($C10,Score!$B$2:$X$78,4,0)</f>
        <v>#N/A</v>
      </c>
      <c r="H10" s="2" t="e">
        <f>VLOOKUP($C10,Score!$B$2:$X$78,5,0)</f>
        <v>#N/A</v>
      </c>
      <c r="I10" s="2" t="e">
        <f>VLOOKUP($C10,Score!$B$2:$X$78,6,0)</f>
        <v>#N/A</v>
      </c>
      <c r="J10" s="2" t="e">
        <f>VLOOKUP($C10,Score!$B$2:$X$78,7,0)</f>
        <v>#N/A</v>
      </c>
      <c r="K10" s="2" t="e">
        <f>VLOOKUP($C10,Score!$B$2:$X$78,8,0)</f>
        <v>#N/A</v>
      </c>
      <c r="L10" s="2" t="e">
        <f>VLOOKUP($C10,Score!$B$2:$X$78,9,0)</f>
        <v>#N/A</v>
      </c>
      <c r="M10" s="2" t="e">
        <f>VLOOKUP($C10,Score!$B$2:$X$78,10,0)</f>
        <v>#N/A</v>
      </c>
      <c r="N10" s="2" t="e">
        <f>VLOOKUP($C10,Score!$B$2:$X$78,11,0)</f>
        <v>#N/A</v>
      </c>
      <c r="O10" s="2" t="e">
        <f>VLOOKUP($C10,Score!$B$2:$X$78,12,0)</f>
        <v>#N/A</v>
      </c>
      <c r="P10" s="2" t="e">
        <f>VLOOKUP($C10,Score!$B$2:$X$78,13,0)</f>
        <v>#N/A</v>
      </c>
      <c r="Q10" s="2" t="e">
        <f>VLOOKUP($C10,Score!$B$2:$X$78,14,0)</f>
        <v>#N/A</v>
      </c>
      <c r="R10" s="2" t="e">
        <f>VLOOKUP($C10,Score!$B$2:$X$78,15,0)</f>
        <v>#N/A</v>
      </c>
      <c r="S10" s="2" t="e">
        <f>VLOOKUP($C10,Score!$B$2:$X$78,16,0)</f>
        <v>#N/A</v>
      </c>
      <c r="T10" s="2" t="e">
        <f>VLOOKUP($C10,Score!$B$2:$X$78,17,0)</f>
        <v>#N/A</v>
      </c>
      <c r="U10" s="2" t="e">
        <f>VLOOKUP($C10,Score!$B$2:$X$78,18,0)</f>
        <v>#N/A</v>
      </c>
      <c r="V10" s="2" t="e">
        <f>VLOOKUP($C10,Score!$B$2:$X$78,19,0)</f>
        <v>#N/A</v>
      </c>
      <c r="W10" s="2" t="e">
        <f>VLOOKUP($C10,Score!$B$2:$X$78,20,0)</f>
        <v>#N/A</v>
      </c>
      <c r="X10" s="2" t="e">
        <f>VLOOKUP($C10,Score!$B$2:$Z$77,21,0)</f>
        <v>#N/A</v>
      </c>
      <c r="Y10" s="2" t="e">
        <f>VLOOKUP($C10,Score!$B$2:$Z$77,22,0)</f>
        <v>#N/A</v>
      </c>
      <c r="Z10" s="2" t="e">
        <f>VLOOKUP($C10,Score!$B$2:$Z$77,24,0)</f>
        <v>#N/A</v>
      </c>
      <c r="AA10" s="6" t="e">
        <f t="shared" si="0"/>
        <v>#N/A</v>
      </c>
      <c r="AB10">
        <f t="shared" si="1"/>
        <v>0</v>
      </c>
    </row>
    <row r="11" spans="3:28">
      <c r="C11"/>
      <c r="D11"/>
      <c r="E11" s="2" t="e">
        <f>VLOOKUP($C11,Score!$B$2:$X$78,2,0)</f>
        <v>#N/A</v>
      </c>
      <c r="F11" s="2" t="e">
        <f>VLOOKUP($C11,Score!$B$2:$X$78,3,0)</f>
        <v>#N/A</v>
      </c>
      <c r="G11" s="2" t="e">
        <f>VLOOKUP($C11,Score!$B$2:$X$78,4,0)</f>
        <v>#N/A</v>
      </c>
      <c r="H11" s="2" t="e">
        <f>VLOOKUP($C11,Score!$B$2:$X$78,5,0)</f>
        <v>#N/A</v>
      </c>
      <c r="I11" s="2" t="e">
        <f>VLOOKUP($C11,Score!$B$2:$X$78,6,0)</f>
        <v>#N/A</v>
      </c>
      <c r="J11" s="2" t="e">
        <f>VLOOKUP($C11,Score!$B$2:$X$78,7,0)</f>
        <v>#N/A</v>
      </c>
      <c r="K11" s="2" t="e">
        <f>VLOOKUP($C11,Score!$B$2:$X$78,8,0)</f>
        <v>#N/A</v>
      </c>
      <c r="L11" s="2" t="e">
        <f>VLOOKUP($C11,Score!$B$2:$X$78,9,0)</f>
        <v>#N/A</v>
      </c>
      <c r="M11" s="2" t="e">
        <f>VLOOKUP($C11,Score!$B$2:$X$78,10,0)</f>
        <v>#N/A</v>
      </c>
      <c r="N11" s="2" t="e">
        <f>VLOOKUP($C11,Score!$B$2:$X$78,11,0)</f>
        <v>#N/A</v>
      </c>
      <c r="O11" s="2" t="e">
        <f>VLOOKUP($C11,Score!$B$2:$X$78,12,0)</f>
        <v>#N/A</v>
      </c>
      <c r="P11" s="2" t="e">
        <f>VLOOKUP($C11,Score!$B$2:$X$78,13,0)</f>
        <v>#N/A</v>
      </c>
      <c r="Q11" s="2" t="e">
        <f>VLOOKUP($C11,Score!$B$2:$X$78,14,0)</f>
        <v>#N/A</v>
      </c>
      <c r="R11" s="2" t="e">
        <f>VLOOKUP($C11,Score!$B$2:$X$78,15,0)</f>
        <v>#N/A</v>
      </c>
      <c r="S11" s="2" t="e">
        <f>VLOOKUP($C11,Score!$B$2:$X$78,16,0)</f>
        <v>#N/A</v>
      </c>
      <c r="T11" s="2" t="e">
        <f>VLOOKUP($C11,Score!$B$2:$X$78,17,0)</f>
        <v>#N/A</v>
      </c>
      <c r="U11" s="2" t="e">
        <f>VLOOKUP($C11,Score!$B$2:$X$78,18,0)</f>
        <v>#N/A</v>
      </c>
      <c r="V11" s="2" t="e">
        <f>VLOOKUP($C11,Score!$B$2:$X$78,19,0)</f>
        <v>#N/A</v>
      </c>
      <c r="W11" s="2" t="e">
        <f>VLOOKUP($C11,Score!$B$2:$X$78,20,0)</f>
        <v>#N/A</v>
      </c>
      <c r="X11" s="2" t="e">
        <f>VLOOKUP($C11,Score!$B$2:$Z$77,21,0)</f>
        <v>#N/A</v>
      </c>
      <c r="Y11" s="2" t="e">
        <f>VLOOKUP($C11,Score!$B$2:$Z$77,22,0)</f>
        <v>#N/A</v>
      </c>
      <c r="Z11" s="2" t="e">
        <f>VLOOKUP($C11,Score!$B$2:$Z$77,24,0)</f>
        <v>#N/A</v>
      </c>
      <c r="AA11" s="6" t="e">
        <f t="shared" si="0"/>
        <v>#N/A</v>
      </c>
      <c r="AB11">
        <f t="shared" si="1"/>
        <v>0</v>
      </c>
    </row>
    <row r="12" spans="3:28">
      <c r="C12"/>
      <c r="D12"/>
      <c r="E12" s="2" t="e">
        <f>VLOOKUP($C12,Score!$B$2:$X$78,2,0)</f>
        <v>#N/A</v>
      </c>
      <c r="F12" s="2" t="e">
        <f>VLOOKUP($C12,Score!$B$2:$X$78,3,0)</f>
        <v>#N/A</v>
      </c>
      <c r="G12" s="2" t="e">
        <f>VLOOKUP($C12,Score!$B$2:$X$78,4,0)</f>
        <v>#N/A</v>
      </c>
      <c r="H12" s="2" t="e">
        <f>VLOOKUP($C12,Score!$B$2:$X$78,5,0)</f>
        <v>#N/A</v>
      </c>
      <c r="I12" s="2" t="e">
        <f>VLOOKUP($C12,Score!$B$2:$X$78,6,0)</f>
        <v>#N/A</v>
      </c>
      <c r="J12" s="2" t="e">
        <f>VLOOKUP($C12,Score!$B$2:$X$78,7,0)</f>
        <v>#N/A</v>
      </c>
      <c r="K12" s="2" t="e">
        <f>VLOOKUP($C12,Score!$B$2:$X$78,8,0)</f>
        <v>#N/A</v>
      </c>
      <c r="L12" s="2" t="e">
        <f>VLOOKUP($C12,Score!$B$2:$X$78,9,0)</f>
        <v>#N/A</v>
      </c>
      <c r="M12" s="2" t="e">
        <f>VLOOKUP($C12,Score!$B$2:$X$78,10,0)</f>
        <v>#N/A</v>
      </c>
      <c r="N12" s="2" t="e">
        <f>VLOOKUP($C12,Score!$B$2:$X$78,11,0)</f>
        <v>#N/A</v>
      </c>
      <c r="O12" s="2" t="e">
        <f>VLOOKUP($C12,Score!$B$2:$X$78,12,0)</f>
        <v>#N/A</v>
      </c>
      <c r="P12" s="2" t="e">
        <f>VLOOKUP($C12,Score!$B$2:$X$78,13,0)</f>
        <v>#N/A</v>
      </c>
      <c r="Q12" s="2" t="e">
        <f>VLOOKUP($C12,Score!$B$2:$X$78,14,0)</f>
        <v>#N/A</v>
      </c>
      <c r="R12" s="2" t="e">
        <f>VLOOKUP($C12,Score!$B$2:$X$78,15,0)</f>
        <v>#N/A</v>
      </c>
      <c r="S12" s="2" t="e">
        <f>VLOOKUP($C12,Score!$B$2:$X$78,16,0)</f>
        <v>#N/A</v>
      </c>
      <c r="T12" s="2" t="e">
        <f>VLOOKUP($C12,Score!$B$2:$X$78,17,0)</f>
        <v>#N/A</v>
      </c>
      <c r="U12" s="2" t="e">
        <f>VLOOKUP($C12,Score!$B$2:$X$78,18,0)</f>
        <v>#N/A</v>
      </c>
      <c r="V12" s="2" t="e">
        <f>VLOOKUP($C12,Score!$B$2:$X$78,19,0)</f>
        <v>#N/A</v>
      </c>
      <c r="W12" s="2" t="e">
        <f>VLOOKUP($C12,Score!$B$2:$X$78,20,0)</f>
        <v>#N/A</v>
      </c>
      <c r="X12" s="2" t="e">
        <f>VLOOKUP($C12,Score!$B$2:$Z$77,21,0)</f>
        <v>#N/A</v>
      </c>
      <c r="Y12" s="2" t="e">
        <f>VLOOKUP($C12,Score!$B$2:$Z$77,22,0)</f>
        <v>#N/A</v>
      </c>
      <c r="Z12" s="2" t="e">
        <f>VLOOKUP($C12,Score!$B$2:$Z$77,24,0)</f>
        <v>#N/A</v>
      </c>
      <c r="AA12" s="6" t="e">
        <f t="shared" si="0"/>
        <v>#N/A</v>
      </c>
      <c r="AB12">
        <f t="shared" si="1"/>
        <v>0</v>
      </c>
    </row>
    <row r="13" spans="3:28">
      <c r="C13"/>
      <c r="D13"/>
      <c r="E13" s="2" t="e">
        <f>VLOOKUP($C13,Score!$B$2:$X$78,2,0)</f>
        <v>#N/A</v>
      </c>
      <c r="F13" s="2" t="e">
        <f>VLOOKUP($C13,Score!$B$2:$X$78,3,0)</f>
        <v>#N/A</v>
      </c>
      <c r="G13" s="2" t="e">
        <f>VLOOKUP($C13,Score!$B$2:$X$78,4,0)</f>
        <v>#N/A</v>
      </c>
      <c r="H13" s="2" t="e">
        <f>VLOOKUP($C13,Score!$B$2:$X$78,5,0)</f>
        <v>#N/A</v>
      </c>
      <c r="I13" s="2" t="e">
        <f>VLOOKUP($C13,Score!$B$2:$X$78,6,0)</f>
        <v>#N/A</v>
      </c>
      <c r="J13" s="2" t="e">
        <f>VLOOKUP($C13,Score!$B$2:$X$78,7,0)</f>
        <v>#N/A</v>
      </c>
      <c r="K13" s="2" t="e">
        <f>VLOOKUP($C13,Score!$B$2:$X$78,8,0)</f>
        <v>#N/A</v>
      </c>
      <c r="L13" s="2" t="e">
        <f>VLOOKUP($C13,Score!$B$2:$X$78,9,0)</f>
        <v>#N/A</v>
      </c>
      <c r="M13" s="2" t="e">
        <f>VLOOKUP($C13,Score!$B$2:$X$78,10,0)</f>
        <v>#N/A</v>
      </c>
      <c r="N13" s="2" t="e">
        <f>VLOOKUP($C13,Score!$B$2:$X$78,11,0)</f>
        <v>#N/A</v>
      </c>
      <c r="O13" s="2" t="e">
        <f>VLOOKUP($C13,Score!$B$2:$X$78,12,0)</f>
        <v>#N/A</v>
      </c>
      <c r="P13" s="2" t="e">
        <f>VLOOKUP($C13,Score!$B$2:$X$78,13,0)</f>
        <v>#N/A</v>
      </c>
      <c r="Q13" s="2" t="e">
        <f>VLOOKUP($C13,Score!$B$2:$X$78,14,0)</f>
        <v>#N/A</v>
      </c>
      <c r="R13" s="2" t="e">
        <f>VLOOKUP($C13,Score!$B$2:$X$78,15,0)</f>
        <v>#N/A</v>
      </c>
      <c r="S13" s="2" t="e">
        <f>VLOOKUP($C13,Score!$B$2:$X$78,16,0)</f>
        <v>#N/A</v>
      </c>
      <c r="T13" s="2" t="e">
        <f>VLOOKUP($C13,Score!$B$2:$X$78,17,0)</f>
        <v>#N/A</v>
      </c>
      <c r="U13" s="2" t="e">
        <f>VLOOKUP($C13,Score!$B$2:$X$78,18,0)</f>
        <v>#N/A</v>
      </c>
      <c r="V13" s="2" t="e">
        <f>VLOOKUP($C13,Score!$B$2:$X$78,19,0)</f>
        <v>#N/A</v>
      </c>
      <c r="W13" s="2" t="e">
        <f>VLOOKUP($C13,Score!$B$2:$X$78,20,0)</f>
        <v>#N/A</v>
      </c>
      <c r="X13" s="2" t="e">
        <f>VLOOKUP($C13,Score!$B$2:$Z$77,21,0)</f>
        <v>#N/A</v>
      </c>
      <c r="Y13" s="2" t="e">
        <f>VLOOKUP($C13,Score!$B$2:$Z$77,22,0)</f>
        <v>#N/A</v>
      </c>
      <c r="Z13" s="2" t="e">
        <f>VLOOKUP($C13,Score!$B$2:$Z$77,24,0)</f>
        <v>#N/A</v>
      </c>
      <c r="AA13" s="6" t="e">
        <f t="shared" si="0"/>
        <v>#N/A</v>
      </c>
      <c r="AB13">
        <f t="shared" si="1"/>
        <v>0</v>
      </c>
    </row>
    <row r="14" spans="3:28">
      <c r="C14"/>
      <c r="D14"/>
      <c r="E14" s="2" t="e">
        <f>VLOOKUP($C14,Score!$B$2:$X$78,2,0)</f>
        <v>#N/A</v>
      </c>
      <c r="F14" s="2" t="e">
        <f>VLOOKUP($C14,Score!$B$2:$X$78,3,0)</f>
        <v>#N/A</v>
      </c>
      <c r="G14" s="2" t="e">
        <f>VLOOKUP($C14,Score!$B$2:$X$78,4,0)</f>
        <v>#N/A</v>
      </c>
      <c r="H14" s="2" t="e">
        <f>VLOOKUP($C14,Score!$B$2:$X$78,5,0)</f>
        <v>#N/A</v>
      </c>
      <c r="I14" s="2" t="e">
        <f>VLOOKUP($C14,Score!$B$2:$X$78,6,0)</f>
        <v>#N/A</v>
      </c>
      <c r="J14" s="2" t="e">
        <f>VLOOKUP($C14,Score!$B$2:$X$78,7,0)</f>
        <v>#N/A</v>
      </c>
      <c r="K14" s="2" t="e">
        <f>VLOOKUP($C14,Score!$B$2:$X$78,8,0)</f>
        <v>#N/A</v>
      </c>
      <c r="L14" s="2" t="e">
        <f>VLOOKUP($C14,Score!$B$2:$X$78,9,0)</f>
        <v>#N/A</v>
      </c>
      <c r="M14" s="2" t="e">
        <f>VLOOKUP($C14,Score!$B$2:$X$78,10,0)</f>
        <v>#N/A</v>
      </c>
      <c r="N14" s="2" t="e">
        <f>VLOOKUP($C14,Score!$B$2:$X$78,11,0)</f>
        <v>#N/A</v>
      </c>
      <c r="O14" s="2" t="e">
        <f>VLOOKUP($C14,Score!$B$2:$X$78,12,0)</f>
        <v>#N/A</v>
      </c>
      <c r="P14" s="2" t="e">
        <f>VLOOKUP($C14,Score!$B$2:$X$78,13,0)</f>
        <v>#N/A</v>
      </c>
      <c r="Q14" s="2" t="e">
        <f>VLOOKUP($C14,Score!$B$2:$X$78,14,0)</f>
        <v>#N/A</v>
      </c>
      <c r="R14" s="2" t="e">
        <f>VLOOKUP($C14,Score!$B$2:$X$78,15,0)</f>
        <v>#N/A</v>
      </c>
      <c r="S14" s="2" t="e">
        <f>VLOOKUP($C14,Score!$B$2:$X$78,16,0)</f>
        <v>#N/A</v>
      </c>
      <c r="T14" s="2" t="e">
        <f>VLOOKUP($C14,Score!$B$2:$X$78,17,0)</f>
        <v>#N/A</v>
      </c>
      <c r="U14" s="2" t="e">
        <f>VLOOKUP($C14,Score!$B$2:$X$78,18,0)</f>
        <v>#N/A</v>
      </c>
      <c r="V14" s="2" t="e">
        <f>VLOOKUP($C14,Score!$B$2:$X$78,19,0)</f>
        <v>#N/A</v>
      </c>
      <c r="W14" s="2" t="e">
        <f>VLOOKUP($C14,Score!$B$2:$X$78,20,0)</f>
        <v>#N/A</v>
      </c>
      <c r="X14" s="2" t="e">
        <f>VLOOKUP($C14,Score!$B$2:$Z$77,21,0)</f>
        <v>#N/A</v>
      </c>
      <c r="Y14" s="2" t="e">
        <f>VLOOKUP($C14,Score!$B$2:$Z$77,22,0)</f>
        <v>#N/A</v>
      </c>
      <c r="Z14" s="2" t="e">
        <f>VLOOKUP($C14,Score!$B$2:$Z$77,24,0)</f>
        <v>#N/A</v>
      </c>
      <c r="AA14" s="6" t="e">
        <f t="shared" si="0"/>
        <v>#N/A</v>
      </c>
      <c r="AB14">
        <f t="shared" si="1"/>
        <v>0</v>
      </c>
    </row>
    <row r="15" spans="3:28">
      <c r="C15"/>
      <c r="D15"/>
      <c r="E15" s="2" t="e">
        <f>VLOOKUP($C15,Score!$B$2:$X$78,2,0)</f>
        <v>#N/A</v>
      </c>
      <c r="F15" s="2" t="e">
        <f>VLOOKUP($C15,Score!$B$2:$X$78,3,0)</f>
        <v>#N/A</v>
      </c>
      <c r="G15" s="2" t="e">
        <f>VLOOKUP($C15,Score!$B$2:$X$78,4,0)</f>
        <v>#N/A</v>
      </c>
      <c r="H15" s="2" t="e">
        <f>VLOOKUP($C15,Score!$B$2:$X$78,5,0)</f>
        <v>#N/A</v>
      </c>
      <c r="I15" s="2" t="e">
        <f>VLOOKUP($C15,Score!$B$2:$X$78,6,0)</f>
        <v>#N/A</v>
      </c>
      <c r="J15" s="2" t="e">
        <f>VLOOKUP($C15,Score!$B$2:$X$78,7,0)</f>
        <v>#N/A</v>
      </c>
      <c r="K15" s="2" t="e">
        <f>VLOOKUP($C15,Score!$B$2:$X$78,8,0)</f>
        <v>#N/A</v>
      </c>
      <c r="L15" s="2" t="e">
        <f>VLOOKUP($C15,Score!$B$2:$X$78,9,0)</f>
        <v>#N/A</v>
      </c>
      <c r="M15" s="2" t="e">
        <f>VLOOKUP($C15,Score!$B$2:$X$78,10,0)</f>
        <v>#N/A</v>
      </c>
      <c r="N15" s="2" t="e">
        <f>VLOOKUP($C15,Score!$B$2:$X$78,11,0)</f>
        <v>#N/A</v>
      </c>
      <c r="O15" s="2" t="e">
        <f>VLOOKUP($C15,Score!$B$2:$X$78,12,0)</f>
        <v>#N/A</v>
      </c>
      <c r="P15" s="2" t="e">
        <f>VLOOKUP($C15,Score!$B$2:$X$78,13,0)</f>
        <v>#N/A</v>
      </c>
      <c r="Q15" s="2" t="e">
        <f>VLOOKUP($C15,Score!$B$2:$X$78,14,0)</f>
        <v>#N/A</v>
      </c>
      <c r="R15" s="2" t="e">
        <f>VLOOKUP($C15,Score!$B$2:$X$78,15,0)</f>
        <v>#N/A</v>
      </c>
      <c r="S15" s="2" t="e">
        <f>VLOOKUP($C15,Score!$B$2:$X$78,16,0)</f>
        <v>#N/A</v>
      </c>
      <c r="T15" s="2" t="e">
        <f>VLOOKUP($C15,Score!$B$2:$X$78,17,0)</f>
        <v>#N/A</v>
      </c>
      <c r="U15" s="2" t="e">
        <f>VLOOKUP($C15,Score!$B$2:$X$78,18,0)</f>
        <v>#N/A</v>
      </c>
      <c r="V15" s="2" t="e">
        <f>VLOOKUP($C15,Score!$B$2:$X$78,19,0)</f>
        <v>#N/A</v>
      </c>
      <c r="W15" s="2" t="e">
        <f>VLOOKUP($C15,Score!$B$2:$X$78,20,0)</f>
        <v>#N/A</v>
      </c>
      <c r="X15" s="2" t="e">
        <f>VLOOKUP($C15,Score!$B$2:$Z$77,21,0)</f>
        <v>#N/A</v>
      </c>
      <c r="Y15" s="2" t="e">
        <f>VLOOKUP($C15,Score!$B$2:$Z$77,22,0)</f>
        <v>#N/A</v>
      </c>
      <c r="Z15" s="2" t="e">
        <f>VLOOKUP($C15,Score!$B$2:$Z$77,24,0)</f>
        <v>#N/A</v>
      </c>
      <c r="AA15" s="6" t="e">
        <f t="shared" si="0"/>
        <v>#N/A</v>
      </c>
      <c r="AB15">
        <f t="shared" si="1"/>
        <v>0</v>
      </c>
    </row>
    <row r="16" spans="3:28">
      <c r="C16"/>
      <c r="D16"/>
      <c r="E16" s="2" t="e">
        <f>VLOOKUP($C16,Score!$B$2:$X$78,2,0)</f>
        <v>#N/A</v>
      </c>
      <c r="F16" s="2" t="e">
        <f>VLOOKUP($C16,Score!$B$2:$X$78,3,0)</f>
        <v>#N/A</v>
      </c>
      <c r="G16" s="2" t="e">
        <f>VLOOKUP($C16,Score!$B$2:$X$78,4,0)</f>
        <v>#N/A</v>
      </c>
      <c r="H16" s="2" t="e">
        <f>VLOOKUP($C16,Score!$B$2:$X$78,5,0)</f>
        <v>#N/A</v>
      </c>
      <c r="I16" s="2" t="e">
        <f>VLOOKUP($C16,Score!$B$2:$X$78,6,0)</f>
        <v>#N/A</v>
      </c>
      <c r="J16" s="2" t="e">
        <f>VLOOKUP($C16,Score!$B$2:$X$78,7,0)</f>
        <v>#N/A</v>
      </c>
      <c r="K16" s="2" t="e">
        <f>VLOOKUP($C16,Score!$B$2:$X$78,8,0)</f>
        <v>#N/A</v>
      </c>
      <c r="L16" s="2" t="e">
        <f>VLOOKUP($C16,Score!$B$2:$X$78,9,0)</f>
        <v>#N/A</v>
      </c>
      <c r="M16" s="2" t="e">
        <f>VLOOKUP($C16,Score!$B$2:$X$78,10,0)</f>
        <v>#N/A</v>
      </c>
      <c r="N16" s="2" t="e">
        <f>VLOOKUP($C16,Score!$B$2:$X$78,11,0)</f>
        <v>#N/A</v>
      </c>
      <c r="O16" s="2" t="e">
        <f>VLOOKUP($C16,Score!$B$2:$X$78,12,0)</f>
        <v>#N/A</v>
      </c>
      <c r="P16" s="2" t="e">
        <f>VLOOKUP($C16,Score!$B$2:$X$78,13,0)</f>
        <v>#N/A</v>
      </c>
      <c r="Q16" s="2" t="e">
        <f>VLOOKUP($C16,Score!$B$2:$X$78,14,0)</f>
        <v>#N/A</v>
      </c>
      <c r="R16" s="2" t="e">
        <f>VLOOKUP($C16,Score!$B$2:$X$78,15,0)</f>
        <v>#N/A</v>
      </c>
      <c r="S16" s="2" t="e">
        <f>VLOOKUP($C16,Score!$B$2:$X$78,16,0)</f>
        <v>#N/A</v>
      </c>
      <c r="T16" s="2" t="e">
        <f>VLOOKUP($C16,Score!$B$2:$X$78,17,0)</f>
        <v>#N/A</v>
      </c>
      <c r="U16" s="2" t="e">
        <f>VLOOKUP($C16,Score!$B$2:$X$78,18,0)</f>
        <v>#N/A</v>
      </c>
      <c r="V16" s="2" t="e">
        <f>VLOOKUP($C16,Score!$B$2:$X$78,19,0)</f>
        <v>#N/A</v>
      </c>
      <c r="W16" s="2" t="e">
        <f>VLOOKUP($C16,Score!$B$2:$X$78,20,0)</f>
        <v>#N/A</v>
      </c>
      <c r="X16" s="2" t="e">
        <f>VLOOKUP($C16,Score!$B$2:$Z$77,21,0)</f>
        <v>#N/A</v>
      </c>
      <c r="Y16" s="2" t="e">
        <f>VLOOKUP($C16,Score!$B$2:$Z$77,22,0)</f>
        <v>#N/A</v>
      </c>
      <c r="Z16" s="2" t="e">
        <f>VLOOKUP($C16,Score!$B$2:$Z$77,24,0)</f>
        <v>#N/A</v>
      </c>
      <c r="AA16" s="6" t="e">
        <f t="shared" si="0"/>
        <v>#N/A</v>
      </c>
      <c r="AB16">
        <f t="shared" si="1"/>
        <v>0</v>
      </c>
    </row>
    <row r="17" spans="3:28">
      <c r="C17"/>
      <c r="D17"/>
      <c r="E17" s="2" t="e">
        <f>VLOOKUP($C17,Score!$B$2:$X$78,2,0)</f>
        <v>#N/A</v>
      </c>
      <c r="F17" s="2" t="e">
        <f>VLOOKUP($C17,Score!$B$2:$X$78,3,0)</f>
        <v>#N/A</v>
      </c>
      <c r="G17" s="2" t="e">
        <f>VLOOKUP($C17,Score!$B$2:$X$78,4,0)</f>
        <v>#N/A</v>
      </c>
      <c r="H17" s="2" t="e">
        <f>VLOOKUP($C17,Score!$B$2:$X$78,5,0)</f>
        <v>#N/A</v>
      </c>
      <c r="I17" s="2" t="e">
        <f>VLOOKUP($C17,Score!$B$2:$X$78,6,0)</f>
        <v>#N/A</v>
      </c>
      <c r="J17" s="2" t="e">
        <f>VLOOKUP($C17,Score!$B$2:$X$78,7,0)</f>
        <v>#N/A</v>
      </c>
      <c r="K17" s="2" t="e">
        <f>VLOOKUP($C17,Score!$B$2:$X$78,8,0)</f>
        <v>#N/A</v>
      </c>
      <c r="L17" s="2" t="e">
        <f>VLOOKUP($C17,Score!$B$2:$X$78,9,0)</f>
        <v>#N/A</v>
      </c>
      <c r="M17" s="2" t="e">
        <f>VLOOKUP($C17,Score!$B$2:$X$78,10,0)</f>
        <v>#N/A</v>
      </c>
      <c r="N17" s="2" t="e">
        <f>VLOOKUP($C17,Score!$B$2:$X$78,11,0)</f>
        <v>#N/A</v>
      </c>
      <c r="O17" s="2" t="e">
        <f>VLOOKUP($C17,Score!$B$2:$X$78,12,0)</f>
        <v>#N/A</v>
      </c>
      <c r="P17" s="2" t="e">
        <f>VLOOKUP($C17,Score!$B$2:$X$78,13,0)</f>
        <v>#N/A</v>
      </c>
      <c r="Q17" s="2" t="e">
        <f>VLOOKUP($C17,Score!$B$2:$X$78,14,0)</f>
        <v>#N/A</v>
      </c>
      <c r="R17" s="2" t="e">
        <f>VLOOKUP($C17,Score!$B$2:$X$78,15,0)</f>
        <v>#N/A</v>
      </c>
      <c r="S17" s="2" t="e">
        <f>VLOOKUP($C17,Score!$B$2:$X$78,16,0)</f>
        <v>#N/A</v>
      </c>
      <c r="T17" s="2" t="e">
        <f>VLOOKUP($C17,Score!$B$2:$X$78,17,0)</f>
        <v>#N/A</v>
      </c>
      <c r="U17" s="2" t="e">
        <f>VLOOKUP($C17,Score!$B$2:$X$78,18,0)</f>
        <v>#N/A</v>
      </c>
      <c r="V17" s="2" t="e">
        <f>VLOOKUP($C17,Score!$B$2:$X$78,19,0)</f>
        <v>#N/A</v>
      </c>
      <c r="W17" s="2" t="e">
        <f>VLOOKUP($C17,Score!$B$2:$X$78,20,0)</f>
        <v>#N/A</v>
      </c>
      <c r="X17" s="2" t="e">
        <f>VLOOKUP($C17,Score!$B$2:$Z$77,21,0)</f>
        <v>#N/A</v>
      </c>
      <c r="Y17" s="2" t="e">
        <f>VLOOKUP($C17,Score!$B$2:$Z$77,22,0)</f>
        <v>#N/A</v>
      </c>
      <c r="Z17" s="2" t="e">
        <f>VLOOKUP($C17,Score!$B$2:$Z$77,24,0)</f>
        <v>#N/A</v>
      </c>
      <c r="AA17" s="6" t="e">
        <f t="shared" si="0"/>
        <v>#N/A</v>
      </c>
      <c r="AB17">
        <f t="shared" si="1"/>
        <v>0</v>
      </c>
    </row>
    <row r="18" spans="3:28">
      <c r="C18"/>
      <c r="D18"/>
      <c r="E18" s="2" t="e">
        <f>VLOOKUP($C18,Score!$B$2:$X$78,2,0)</f>
        <v>#N/A</v>
      </c>
      <c r="F18" s="2" t="e">
        <f>VLOOKUP($C18,Score!$B$2:$X$78,3,0)</f>
        <v>#N/A</v>
      </c>
      <c r="G18" s="2" t="e">
        <f>VLOOKUP($C18,Score!$B$2:$X$78,4,0)</f>
        <v>#N/A</v>
      </c>
      <c r="H18" s="2" t="e">
        <f>VLOOKUP($C18,Score!$B$2:$X$78,5,0)</f>
        <v>#N/A</v>
      </c>
      <c r="I18" s="2" t="e">
        <f>VLOOKUP($C18,Score!$B$2:$X$78,6,0)</f>
        <v>#N/A</v>
      </c>
      <c r="J18" s="2" t="e">
        <f>VLOOKUP($C18,Score!$B$2:$X$78,7,0)</f>
        <v>#N/A</v>
      </c>
      <c r="K18" s="2" t="e">
        <f>VLOOKUP($C18,Score!$B$2:$X$78,8,0)</f>
        <v>#N/A</v>
      </c>
      <c r="L18" s="2" t="e">
        <f>VLOOKUP($C18,Score!$B$2:$X$78,9,0)</f>
        <v>#N/A</v>
      </c>
      <c r="M18" s="2" t="e">
        <f>VLOOKUP($C18,Score!$B$2:$X$78,10,0)</f>
        <v>#N/A</v>
      </c>
      <c r="N18" s="2" t="e">
        <f>VLOOKUP($C18,Score!$B$2:$X$78,11,0)</f>
        <v>#N/A</v>
      </c>
      <c r="O18" s="2" t="e">
        <f>VLOOKUP($C18,Score!$B$2:$X$78,12,0)</f>
        <v>#N/A</v>
      </c>
      <c r="P18" s="2" t="e">
        <f>VLOOKUP($C18,Score!$B$2:$X$78,13,0)</f>
        <v>#N/A</v>
      </c>
      <c r="Q18" s="2" t="e">
        <f>VLOOKUP($C18,Score!$B$2:$X$78,14,0)</f>
        <v>#N/A</v>
      </c>
      <c r="R18" s="2" t="e">
        <f>VLOOKUP($C18,Score!$B$2:$X$78,15,0)</f>
        <v>#N/A</v>
      </c>
      <c r="S18" s="2" t="e">
        <f>VLOOKUP($C18,Score!$B$2:$X$78,16,0)</f>
        <v>#N/A</v>
      </c>
      <c r="T18" s="2" t="e">
        <f>VLOOKUP($C18,Score!$B$2:$X$78,17,0)</f>
        <v>#N/A</v>
      </c>
      <c r="U18" s="2" t="e">
        <f>VLOOKUP($C18,Score!$B$2:$X$78,18,0)</f>
        <v>#N/A</v>
      </c>
      <c r="V18" s="2" t="e">
        <f>VLOOKUP($C18,Score!$B$2:$X$78,19,0)</f>
        <v>#N/A</v>
      </c>
      <c r="W18" s="2" t="e">
        <f>VLOOKUP($C18,Score!$B$2:$X$78,20,0)</f>
        <v>#N/A</v>
      </c>
      <c r="X18" s="2" t="e">
        <f>VLOOKUP($C18,Score!$B$2:$Z$77,21,0)</f>
        <v>#N/A</v>
      </c>
      <c r="Y18" s="2" t="e">
        <f>VLOOKUP($C18,Score!$B$2:$Z$77,22,0)</f>
        <v>#N/A</v>
      </c>
      <c r="Z18" s="2" t="e">
        <f>VLOOKUP($C18,Score!$B$2:$Z$77,24,0)</f>
        <v>#N/A</v>
      </c>
      <c r="AA18" s="6" t="e">
        <f t="shared" si="0"/>
        <v>#N/A</v>
      </c>
      <c r="AB18">
        <f t="shared" si="1"/>
        <v>0</v>
      </c>
    </row>
    <row r="19" spans="3:28">
      <c r="C19"/>
      <c r="D19"/>
      <c r="E19" s="2" t="e">
        <f>VLOOKUP($C19,Score!$B$2:$X$78,2,0)</f>
        <v>#N/A</v>
      </c>
      <c r="F19" s="2" t="e">
        <f>VLOOKUP($C19,Score!$B$2:$X$78,3,0)</f>
        <v>#N/A</v>
      </c>
      <c r="G19" s="2" t="e">
        <f>VLOOKUP($C19,Score!$B$2:$X$78,4,0)</f>
        <v>#N/A</v>
      </c>
      <c r="H19" s="2" t="e">
        <f>VLOOKUP($C19,Score!$B$2:$X$78,5,0)</f>
        <v>#N/A</v>
      </c>
      <c r="I19" s="2" t="e">
        <f>VLOOKUP($C19,Score!$B$2:$X$78,6,0)</f>
        <v>#N/A</v>
      </c>
      <c r="J19" s="2" t="e">
        <f>VLOOKUP($C19,Score!$B$2:$X$78,7,0)</f>
        <v>#N/A</v>
      </c>
      <c r="K19" s="2" t="e">
        <f>VLOOKUP($C19,Score!$B$2:$X$78,8,0)</f>
        <v>#N/A</v>
      </c>
      <c r="L19" s="2" t="e">
        <f>VLOOKUP($C19,Score!$B$2:$X$78,9,0)</f>
        <v>#N/A</v>
      </c>
      <c r="M19" s="2" t="e">
        <f>VLOOKUP($C19,Score!$B$2:$X$78,10,0)</f>
        <v>#N/A</v>
      </c>
      <c r="N19" s="2" t="e">
        <f>VLOOKUP($C19,Score!$B$2:$X$78,11,0)</f>
        <v>#N/A</v>
      </c>
      <c r="O19" s="2" t="e">
        <f>VLOOKUP($C19,Score!$B$2:$X$78,12,0)</f>
        <v>#N/A</v>
      </c>
      <c r="P19" s="2" t="e">
        <f>VLOOKUP($C19,Score!$B$2:$X$78,13,0)</f>
        <v>#N/A</v>
      </c>
      <c r="Q19" s="2" t="e">
        <f>VLOOKUP($C19,Score!$B$2:$X$78,14,0)</f>
        <v>#N/A</v>
      </c>
      <c r="R19" s="2" t="e">
        <f>VLOOKUP($C19,Score!$B$2:$X$78,15,0)</f>
        <v>#N/A</v>
      </c>
      <c r="S19" s="2" t="e">
        <f>VLOOKUP($C19,Score!$B$2:$X$78,16,0)</f>
        <v>#N/A</v>
      </c>
      <c r="T19" s="2" t="e">
        <f>VLOOKUP($C19,Score!$B$2:$X$78,17,0)</f>
        <v>#N/A</v>
      </c>
      <c r="U19" s="2" t="e">
        <f>VLOOKUP($C19,Score!$B$2:$X$78,18,0)</f>
        <v>#N/A</v>
      </c>
      <c r="V19" s="2" t="e">
        <f>VLOOKUP($C19,Score!$B$2:$X$78,19,0)</f>
        <v>#N/A</v>
      </c>
      <c r="W19" s="2" t="e">
        <f>VLOOKUP($C19,Score!$B$2:$X$78,20,0)</f>
        <v>#N/A</v>
      </c>
      <c r="X19" s="2" t="e">
        <f>VLOOKUP($C19,Score!$B$2:$Z$77,21,0)</f>
        <v>#N/A</v>
      </c>
      <c r="Y19" s="2" t="e">
        <f>VLOOKUP($C19,Score!$B$2:$Z$77,22,0)</f>
        <v>#N/A</v>
      </c>
      <c r="Z19" s="2" t="e">
        <f>VLOOKUP($C19,Score!$B$2:$Z$77,24,0)</f>
        <v>#N/A</v>
      </c>
      <c r="AA19" s="6" t="e">
        <f t="shared" si="0"/>
        <v>#N/A</v>
      </c>
      <c r="AB19">
        <f t="shared" si="1"/>
        <v>0</v>
      </c>
    </row>
    <row r="20" spans="3:28">
      <c r="C20"/>
      <c r="D20"/>
      <c r="E20" s="2" t="e">
        <f>VLOOKUP($C20,Score!$B$2:$X$78,2,0)</f>
        <v>#N/A</v>
      </c>
      <c r="F20" s="2" t="e">
        <f>VLOOKUP($C20,Score!$B$2:$X$78,3,0)</f>
        <v>#N/A</v>
      </c>
      <c r="G20" s="2" t="e">
        <f>VLOOKUP($C20,Score!$B$2:$X$78,4,0)</f>
        <v>#N/A</v>
      </c>
      <c r="H20" s="2" t="e">
        <f>VLOOKUP($C20,Score!$B$2:$X$78,5,0)</f>
        <v>#N/A</v>
      </c>
      <c r="I20" s="2" t="e">
        <f>VLOOKUP($C20,Score!$B$2:$X$78,6,0)</f>
        <v>#N/A</v>
      </c>
      <c r="J20" s="2" t="e">
        <f>VLOOKUP($C20,Score!$B$2:$X$78,7,0)</f>
        <v>#N/A</v>
      </c>
      <c r="K20" s="2" t="e">
        <f>VLOOKUP($C20,Score!$B$2:$X$78,8,0)</f>
        <v>#N/A</v>
      </c>
      <c r="L20" s="2" t="e">
        <f>VLOOKUP($C20,Score!$B$2:$X$78,9,0)</f>
        <v>#N/A</v>
      </c>
      <c r="M20" s="2" t="e">
        <f>VLOOKUP($C20,Score!$B$2:$X$78,10,0)</f>
        <v>#N/A</v>
      </c>
      <c r="N20" s="2" t="e">
        <f>VLOOKUP($C20,Score!$B$2:$X$78,11,0)</f>
        <v>#N/A</v>
      </c>
      <c r="O20" s="2" t="e">
        <f>VLOOKUP($C20,Score!$B$2:$X$78,12,0)</f>
        <v>#N/A</v>
      </c>
      <c r="P20" s="2" t="e">
        <f>VLOOKUP($C20,Score!$B$2:$X$78,13,0)</f>
        <v>#N/A</v>
      </c>
      <c r="Q20" s="2" t="e">
        <f>VLOOKUP($C20,Score!$B$2:$X$78,14,0)</f>
        <v>#N/A</v>
      </c>
      <c r="R20" s="2" t="e">
        <f>VLOOKUP($C20,Score!$B$2:$X$78,15,0)</f>
        <v>#N/A</v>
      </c>
      <c r="S20" s="2" t="e">
        <f>VLOOKUP($C20,Score!$B$2:$X$78,16,0)</f>
        <v>#N/A</v>
      </c>
      <c r="T20" s="2" t="e">
        <f>VLOOKUP($C20,Score!$B$2:$X$78,17,0)</f>
        <v>#N/A</v>
      </c>
      <c r="U20" s="2" t="e">
        <f>VLOOKUP($C20,Score!$B$2:$X$78,18,0)</f>
        <v>#N/A</v>
      </c>
      <c r="V20" s="2" t="e">
        <f>VLOOKUP($C20,Score!$B$2:$X$78,19,0)</f>
        <v>#N/A</v>
      </c>
      <c r="W20" s="2" t="e">
        <f>VLOOKUP($C20,Score!$B$2:$X$78,20,0)</f>
        <v>#N/A</v>
      </c>
      <c r="X20" s="2" t="e">
        <f>VLOOKUP($C20,Score!$B$2:$Z$77,21,0)</f>
        <v>#N/A</v>
      </c>
      <c r="Y20" s="2" t="e">
        <f>VLOOKUP($C20,Score!$B$2:$Z$77,22,0)</f>
        <v>#N/A</v>
      </c>
      <c r="Z20" s="2" t="e">
        <f>VLOOKUP($C20,Score!$B$2:$Z$77,24,0)</f>
        <v>#N/A</v>
      </c>
      <c r="AA20" s="6" t="e">
        <f t="shared" si="0"/>
        <v>#N/A</v>
      </c>
      <c r="AB20">
        <f t="shared" si="1"/>
        <v>0</v>
      </c>
    </row>
    <row r="21" spans="3:28" s="66" customFormat="1">
      <c r="C21" s="66" t="s">
        <v>15</v>
      </c>
      <c r="E21" s="67"/>
      <c r="F21" s="68"/>
      <c r="G21" s="67"/>
      <c r="H21" s="67"/>
      <c r="I21" s="67"/>
      <c r="J21" s="67"/>
      <c r="K21" s="67"/>
      <c r="L21" s="67"/>
      <c r="M21" s="67"/>
      <c r="N21" s="67"/>
      <c r="O21" s="67"/>
      <c r="P21" s="67"/>
      <c r="Q21" s="67"/>
      <c r="R21" s="67"/>
      <c r="S21" s="67"/>
      <c r="T21" s="67"/>
      <c r="U21" s="67"/>
      <c r="V21" s="67"/>
      <c r="W21" s="67"/>
      <c r="X21" s="67"/>
      <c r="Y21" s="67"/>
      <c r="Z21" s="67"/>
      <c r="AA21" s="69"/>
    </row>
    <row r="22" spans="3:28" s="1" customFormat="1">
      <c r="C22"/>
      <c r="D22"/>
      <c r="E22" s="64" t="e">
        <f t="shared" ref="E22:AA22" si="2">SUM(E4:E21)</f>
        <v>#N/A</v>
      </c>
      <c r="F22" s="64" t="e">
        <f t="shared" si="2"/>
        <v>#N/A</v>
      </c>
      <c r="G22" s="64" t="e">
        <f t="shared" si="2"/>
        <v>#N/A</v>
      </c>
      <c r="H22" s="64" t="e">
        <f t="shared" si="2"/>
        <v>#N/A</v>
      </c>
      <c r="I22" s="64" t="e">
        <f t="shared" si="2"/>
        <v>#N/A</v>
      </c>
      <c r="J22" s="64" t="e">
        <f t="shared" si="2"/>
        <v>#N/A</v>
      </c>
      <c r="K22" s="64" t="e">
        <f t="shared" si="2"/>
        <v>#N/A</v>
      </c>
      <c r="L22" s="64" t="e">
        <f t="shared" si="2"/>
        <v>#N/A</v>
      </c>
      <c r="M22" s="64" t="e">
        <f t="shared" si="2"/>
        <v>#N/A</v>
      </c>
      <c r="N22" s="64" t="e">
        <f t="shared" si="2"/>
        <v>#N/A</v>
      </c>
      <c r="O22" s="64" t="e">
        <f t="shared" si="2"/>
        <v>#N/A</v>
      </c>
      <c r="P22" s="64" t="e">
        <f t="shared" si="2"/>
        <v>#N/A</v>
      </c>
      <c r="Q22" s="64" t="e">
        <f t="shared" si="2"/>
        <v>#N/A</v>
      </c>
      <c r="R22" s="64" t="e">
        <f t="shared" si="2"/>
        <v>#N/A</v>
      </c>
      <c r="S22" s="64" t="e">
        <f t="shared" si="2"/>
        <v>#N/A</v>
      </c>
      <c r="T22" s="64" t="e">
        <f t="shared" si="2"/>
        <v>#N/A</v>
      </c>
      <c r="U22" s="64" t="e">
        <f t="shared" si="2"/>
        <v>#N/A</v>
      </c>
      <c r="V22" s="64" t="e">
        <f t="shared" si="2"/>
        <v>#N/A</v>
      </c>
      <c r="W22" s="64" t="e">
        <f t="shared" si="2"/>
        <v>#N/A</v>
      </c>
      <c r="X22" s="64" t="e">
        <f t="shared" si="2"/>
        <v>#N/A</v>
      </c>
      <c r="Y22" s="64" t="e">
        <f t="shared" si="2"/>
        <v>#N/A</v>
      </c>
      <c r="Z22" s="64" t="e">
        <f t="shared" si="2"/>
        <v>#N/A</v>
      </c>
      <c r="AA22" s="65" t="e">
        <f t="shared" si="2"/>
        <v>#N/A</v>
      </c>
    </row>
    <row r="23" spans="3:28" s="50" customFormat="1">
      <c r="C23"/>
      <c r="D23"/>
      <c r="E23" s="51"/>
      <c r="F23" s="51"/>
      <c r="G23" s="46"/>
      <c r="H23" s="51"/>
      <c r="I23" s="51"/>
      <c r="J23" s="51"/>
      <c r="K23" s="51"/>
      <c r="L23" s="51"/>
      <c r="M23" s="51"/>
      <c r="N23" s="51"/>
      <c r="O23" s="51"/>
      <c r="P23" s="51"/>
      <c r="Q23" s="51"/>
      <c r="R23" s="51"/>
      <c r="S23" s="51"/>
      <c r="T23" s="51"/>
      <c r="U23" s="51"/>
      <c r="V23" s="51"/>
      <c r="W23" s="51"/>
      <c r="X23" s="51"/>
      <c r="Y23" s="51"/>
      <c r="Z23" s="51"/>
      <c r="AA23" s="58"/>
    </row>
    <row r="24" spans="3:28" s="61" customFormat="1">
      <c r="C24" s="59"/>
      <c r="D24" s="59"/>
      <c r="E24" s="60" t="e">
        <f>VLOOKUP($C24,Score!$B$2:$X$78,2,0)</f>
        <v>#N/A</v>
      </c>
      <c r="F24" s="60" t="e">
        <f>VLOOKUP($C24,Score!$B$2:$X$78,2,0)</f>
        <v>#N/A</v>
      </c>
      <c r="G24" s="60" t="e">
        <f>VLOOKUP($C24,Score!$B$2:$X$78,2,0)</f>
        <v>#N/A</v>
      </c>
      <c r="H24" s="60" t="e">
        <f>VLOOKUP($C24,Score!$B$2:$X$78,2,0)</f>
        <v>#N/A</v>
      </c>
      <c r="I24" s="60" t="e">
        <f>VLOOKUP($C24,Score!$B$2:$X$78,2,0)</f>
        <v>#N/A</v>
      </c>
      <c r="J24" s="60" t="e">
        <f>VLOOKUP($C24,Score!$B$2:$X$78,2,0)</f>
        <v>#N/A</v>
      </c>
      <c r="K24" s="60" t="e">
        <f>VLOOKUP($C24,Score!$B$2:$X$78,2,0)</f>
        <v>#N/A</v>
      </c>
      <c r="L24" s="60" t="e">
        <f>VLOOKUP($C24,Score!$B$2:$X$78,2,0)</f>
        <v>#N/A</v>
      </c>
      <c r="M24" s="60" t="e">
        <f>VLOOKUP($C24,Score!$B$2:$X$78,2,0)</f>
        <v>#N/A</v>
      </c>
      <c r="N24" s="60" t="e">
        <f>VLOOKUP($C24,Score!$B$2:$X$78,2,0)</f>
        <v>#N/A</v>
      </c>
      <c r="O24" s="60" t="e">
        <f>VLOOKUP($C24,Score!$B$2:$X$78,2,0)</f>
        <v>#N/A</v>
      </c>
      <c r="P24" s="60" t="e">
        <f>VLOOKUP($C24,Score!$B$2:$X$78,2,0)</f>
        <v>#N/A</v>
      </c>
      <c r="Q24" s="60" t="e">
        <f>VLOOKUP($C24,Score!$B$2:$X$78,2,0)</f>
        <v>#N/A</v>
      </c>
      <c r="R24" s="60" t="e">
        <f>VLOOKUP($C24,Score!$B$2:$X$78,2,0)</f>
        <v>#N/A</v>
      </c>
      <c r="S24" s="60" t="e">
        <f>VLOOKUP($C24,Score!$B$2:$X$78,2,0)</f>
        <v>#N/A</v>
      </c>
      <c r="T24" s="60" t="e">
        <f>VLOOKUP($C24,Score!$B$2:$X$78,2,0)</f>
        <v>#N/A</v>
      </c>
      <c r="U24" s="60" t="e">
        <f>VLOOKUP($C24,Score!$B$2:$X$78,2,0)</f>
        <v>#N/A</v>
      </c>
      <c r="V24" s="60" t="e">
        <f>VLOOKUP($C24,Score!$B$2:$X$78,2,0)</f>
        <v>#N/A</v>
      </c>
      <c r="W24" s="60" t="e">
        <f>VLOOKUP($C24,Score!$B$2:$X$78,2,0)</f>
        <v>#N/A</v>
      </c>
      <c r="X24" s="60" t="e">
        <f>VLOOKUP($C24,Score!$B$2:$X$78,2,0)</f>
        <v>#N/A</v>
      </c>
      <c r="Y24" s="60" t="e">
        <f>VLOOKUP($C24,Score!$B$2:$X$78,2,0)</f>
        <v>#N/A</v>
      </c>
      <c r="Z24" s="60" t="e">
        <f>VLOOKUP($C24,Score!$B$2:$X$78,2,0)</f>
        <v>#N/A</v>
      </c>
      <c r="AA24" s="60" t="e">
        <f>VLOOKUP($C24,Score!$B$2:$X$78,2,0)</f>
        <v>#N/A</v>
      </c>
    </row>
    <row r="25" spans="3:28" s="61" customFormat="1">
      <c r="C25" s="59"/>
      <c r="D25" s="59"/>
      <c r="E25" s="60" t="e">
        <f>VLOOKUP($C25,Score!$B$2:$X$78,2,0)</f>
        <v>#N/A</v>
      </c>
      <c r="F25" s="60" t="e">
        <f>VLOOKUP($C25,Score!$B$2:$X$78,2,0)</f>
        <v>#N/A</v>
      </c>
      <c r="G25" s="60" t="e">
        <f>VLOOKUP($C25,Score!$B$2:$X$78,2,0)</f>
        <v>#N/A</v>
      </c>
      <c r="H25" s="60" t="e">
        <f>VLOOKUP($C25,Score!$B$2:$X$78,2,0)</f>
        <v>#N/A</v>
      </c>
      <c r="I25" s="60" t="e">
        <f>VLOOKUP($C25,Score!$B$2:$X$78,2,0)</f>
        <v>#N/A</v>
      </c>
      <c r="J25" s="60" t="e">
        <f>VLOOKUP($C25,Score!$B$2:$X$78,2,0)</f>
        <v>#N/A</v>
      </c>
      <c r="K25" s="60" t="e">
        <f>VLOOKUP($C25,Score!$B$2:$X$78,2,0)</f>
        <v>#N/A</v>
      </c>
      <c r="L25" s="60" t="e">
        <f>VLOOKUP($C25,Score!$B$2:$X$78,2,0)</f>
        <v>#N/A</v>
      </c>
      <c r="M25" s="60" t="e">
        <f>VLOOKUP($C25,Score!$B$2:$X$78,2,0)</f>
        <v>#N/A</v>
      </c>
      <c r="N25" s="60" t="e">
        <f>VLOOKUP($C25,Score!$B$2:$X$78,2,0)</f>
        <v>#N/A</v>
      </c>
      <c r="O25" s="60" t="e">
        <f>VLOOKUP($C25,Score!$B$2:$X$78,2,0)</f>
        <v>#N/A</v>
      </c>
      <c r="P25" s="60" t="e">
        <f>VLOOKUP($C25,Score!$B$2:$X$78,2,0)</f>
        <v>#N/A</v>
      </c>
      <c r="Q25" s="60" t="e">
        <f>VLOOKUP($C25,Score!$B$2:$X$78,2,0)</f>
        <v>#N/A</v>
      </c>
      <c r="R25" s="60" t="e">
        <f>VLOOKUP($C25,Score!$B$2:$X$78,2,0)</f>
        <v>#N/A</v>
      </c>
      <c r="S25" s="60" t="e">
        <f>VLOOKUP($C25,Score!$B$2:$X$78,2,0)</f>
        <v>#N/A</v>
      </c>
      <c r="T25" s="60" t="e">
        <f>VLOOKUP($C25,Score!$B$2:$X$78,2,0)</f>
        <v>#N/A</v>
      </c>
      <c r="U25" s="60" t="e">
        <f>VLOOKUP($C25,Score!$B$2:$X$78,2,0)</f>
        <v>#N/A</v>
      </c>
      <c r="V25" s="60" t="e">
        <f>VLOOKUP($C25,Score!$B$2:$X$78,2,0)</f>
        <v>#N/A</v>
      </c>
      <c r="W25" s="60" t="e">
        <f>VLOOKUP($C25,Score!$B$2:$X$78,2,0)</f>
        <v>#N/A</v>
      </c>
      <c r="X25" s="60" t="e">
        <f>VLOOKUP($C25,Score!$B$2:$X$78,2,0)</f>
        <v>#N/A</v>
      </c>
      <c r="Y25" s="60" t="e">
        <f>VLOOKUP($C25,Score!$B$2:$X$78,2,0)</f>
        <v>#N/A</v>
      </c>
      <c r="Z25" s="60" t="e">
        <f>VLOOKUP($C25,Score!$B$2:$X$78,2,0)</f>
        <v>#N/A</v>
      </c>
      <c r="AA25" s="60" t="e">
        <f>VLOOKUP($C25,Score!$B$2:$X$78,2,0)</f>
        <v>#N/A</v>
      </c>
    </row>
    <row r="26" spans="3:28" s="61" customFormat="1">
      <c r="C26" s="59"/>
      <c r="D26" s="59"/>
      <c r="E26" s="60" t="e">
        <f>VLOOKUP($C26,Score!$B$2:$X$78,2,0)</f>
        <v>#N/A</v>
      </c>
      <c r="F26" s="60" t="e">
        <f>VLOOKUP($C26,Score!$B$2:$X$78,2,0)</f>
        <v>#N/A</v>
      </c>
      <c r="G26" s="60" t="e">
        <f>VLOOKUP($C26,Score!$B$2:$X$78,2,0)</f>
        <v>#N/A</v>
      </c>
      <c r="H26" s="60" t="e">
        <f>VLOOKUP($C26,Score!$B$2:$X$78,2,0)</f>
        <v>#N/A</v>
      </c>
      <c r="I26" s="60" t="e">
        <f>VLOOKUP($C26,Score!$B$2:$X$78,2,0)</f>
        <v>#N/A</v>
      </c>
      <c r="J26" s="60" t="e">
        <f>VLOOKUP($C26,Score!$B$2:$X$78,2,0)</f>
        <v>#N/A</v>
      </c>
      <c r="K26" s="60" t="e">
        <f>VLOOKUP($C26,Score!$B$2:$X$78,2,0)</f>
        <v>#N/A</v>
      </c>
      <c r="L26" s="60" t="e">
        <f>VLOOKUP($C26,Score!$B$2:$X$78,2,0)</f>
        <v>#N/A</v>
      </c>
      <c r="M26" s="60" t="e">
        <f>VLOOKUP($C26,Score!$B$2:$X$78,2,0)</f>
        <v>#N/A</v>
      </c>
      <c r="N26" s="60" t="e">
        <f>VLOOKUP($C26,Score!$B$2:$X$78,2,0)</f>
        <v>#N/A</v>
      </c>
      <c r="O26" s="60" t="e">
        <f>VLOOKUP($C26,Score!$B$2:$X$78,2,0)</f>
        <v>#N/A</v>
      </c>
      <c r="P26" s="60" t="e">
        <f>VLOOKUP($C26,Score!$B$2:$X$78,2,0)</f>
        <v>#N/A</v>
      </c>
      <c r="Q26" s="60" t="e">
        <f>VLOOKUP($C26,Score!$B$2:$X$78,2,0)</f>
        <v>#N/A</v>
      </c>
      <c r="R26" s="60" t="e">
        <f>VLOOKUP($C26,Score!$B$2:$X$78,2,0)</f>
        <v>#N/A</v>
      </c>
      <c r="S26" s="60" t="e">
        <f>VLOOKUP($C26,Score!$B$2:$X$78,2,0)</f>
        <v>#N/A</v>
      </c>
      <c r="T26" s="60" t="e">
        <f>VLOOKUP($C26,Score!$B$2:$X$78,2,0)</f>
        <v>#N/A</v>
      </c>
      <c r="U26" s="60" t="e">
        <f>VLOOKUP($C26,Score!$B$2:$X$78,2,0)</f>
        <v>#N/A</v>
      </c>
      <c r="V26" s="60" t="e">
        <f>VLOOKUP($C26,Score!$B$2:$X$78,2,0)</f>
        <v>#N/A</v>
      </c>
      <c r="W26" s="60" t="e">
        <f>VLOOKUP($C26,Score!$B$2:$X$78,2,0)</f>
        <v>#N/A</v>
      </c>
      <c r="X26" s="60" t="e">
        <f>VLOOKUP($C26,Score!$B$2:$X$78,2,0)</f>
        <v>#N/A</v>
      </c>
      <c r="Y26" s="60" t="e">
        <f>VLOOKUP($C26,Score!$B$2:$X$78,2,0)</f>
        <v>#N/A</v>
      </c>
      <c r="Z26" s="60" t="e">
        <f>VLOOKUP($C26,Score!$B$2:$X$78,2,0)</f>
        <v>#N/A</v>
      </c>
      <c r="AA26" s="60" t="e">
        <f>VLOOKUP($C26,Score!$B$2:$X$78,2,0)</f>
        <v>#N/A</v>
      </c>
    </row>
    <row r="27" spans="3:28" s="40" customFormat="1">
      <c r="C27" s="39"/>
      <c r="D27" s="39"/>
      <c r="E27" s="39"/>
      <c r="F27" s="39"/>
      <c r="G27" s="38"/>
      <c r="H27" s="39"/>
      <c r="I27" s="39"/>
      <c r="J27" s="39"/>
      <c r="K27" s="39"/>
      <c r="L27" s="39"/>
      <c r="M27" s="39"/>
      <c r="N27" s="39"/>
      <c r="O27" s="39"/>
      <c r="AA27" s="41"/>
    </row>
    <row r="28" spans="3:28" s="40" customFormat="1">
      <c r="C28" s="53"/>
      <c r="D28" s="53"/>
      <c r="E28" s="39"/>
      <c r="F28" s="39"/>
      <c r="G28" s="38"/>
      <c r="H28" s="39"/>
      <c r="I28" s="39"/>
      <c r="J28" s="39"/>
      <c r="K28" s="39"/>
      <c r="L28" s="39"/>
      <c r="M28" s="39"/>
      <c r="N28" s="39"/>
      <c r="O28" s="39"/>
      <c r="AA28" s="41"/>
    </row>
    <row r="29" spans="3:28" s="40" customFormat="1">
      <c r="C29" s="52"/>
      <c r="D29" s="52"/>
      <c r="E29" s="39"/>
      <c r="F29" s="39"/>
      <c r="G29" s="38"/>
      <c r="H29" s="39"/>
      <c r="I29" s="39"/>
      <c r="J29" s="39"/>
      <c r="K29" s="39"/>
      <c r="L29" s="39"/>
      <c r="M29" s="39"/>
      <c r="N29" s="39"/>
      <c r="O29" s="39"/>
      <c r="AA29" s="41"/>
    </row>
    <row r="30" spans="3:28" s="40" customFormat="1">
      <c r="C30" s="52"/>
      <c r="D30" s="52"/>
      <c r="E30" s="39"/>
      <c r="F30" s="39"/>
      <c r="G30" s="38"/>
      <c r="H30" s="39"/>
      <c r="I30" s="39"/>
      <c r="J30" s="39"/>
      <c r="K30" s="39"/>
      <c r="L30" s="39"/>
      <c r="M30" s="39"/>
      <c r="N30" s="39"/>
      <c r="O30" s="39"/>
      <c r="AA30" s="41"/>
    </row>
    <row r="31" spans="3:28" s="42" customFormat="1">
      <c r="C31" s="43"/>
      <c r="D31" s="43"/>
      <c r="E31" s="43"/>
      <c r="F31" s="43"/>
      <c r="G31" s="44"/>
      <c r="H31" s="43"/>
      <c r="I31" s="43"/>
      <c r="J31" s="43"/>
      <c r="K31" s="43"/>
      <c r="L31" s="43"/>
      <c r="M31" s="43"/>
      <c r="N31" s="43"/>
      <c r="O31" s="43"/>
      <c r="AA31" s="45"/>
    </row>
    <row r="44" spans="3:27" s="14" customFormat="1">
      <c r="C44" s="31"/>
      <c r="D44" s="31"/>
      <c r="E44" s="10"/>
      <c r="F44" s="10"/>
      <c r="G44" s="11"/>
      <c r="H44" s="12"/>
      <c r="I44" s="12"/>
      <c r="J44" s="12"/>
      <c r="K44" s="12"/>
      <c r="L44" s="12"/>
      <c r="M44" s="12"/>
      <c r="N44" s="12"/>
      <c r="O44" s="12"/>
      <c r="P44" s="13"/>
      <c r="AA44" s="15"/>
    </row>
    <row r="45" spans="3:27" s="14" customFormat="1">
      <c r="C45" s="31"/>
      <c r="D45" s="31"/>
      <c r="E45" s="10"/>
      <c r="F45" s="10"/>
      <c r="G45" s="11"/>
      <c r="H45" s="12"/>
      <c r="I45" s="12"/>
      <c r="J45" s="12"/>
      <c r="K45" s="12"/>
      <c r="L45" s="12"/>
      <c r="M45" s="12"/>
      <c r="N45" s="12"/>
      <c r="O45" s="12"/>
      <c r="P45" s="13"/>
      <c r="AA45" s="15"/>
    </row>
    <row r="46" spans="3:27" s="14" customFormat="1">
      <c r="C46" s="31"/>
      <c r="D46" s="31"/>
      <c r="E46" s="10"/>
      <c r="F46" s="10"/>
      <c r="G46" s="11"/>
      <c r="H46" s="12"/>
      <c r="I46" s="12"/>
      <c r="J46" s="12"/>
      <c r="K46" s="12"/>
      <c r="L46" s="12"/>
      <c r="M46" s="12"/>
      <c r="N46" s="12"/>
      <c r="O46" s="12"/>
      <c r="P46" s="13"/>
      <c r="AA46" s="15"/>
    </row>
    <row r="47" spans="3:27" s="14" customFormat="1">
      <c r="C47" s="31"/>
      <c r="D47" s="31"/>
      <c r="E47" s="10"/>
      <c r="F47" s="10"/>
      <c r="G47" s="11"/>
      <c r="H47" s="12"/>
      <c r="I47" s="12"/>
      <c r="J47" s="12"/>
      <c r="K47" s="12"/>
      <c r="L47" s="12"/>
      <c r="M47" s="12"/>
      <c r="N47" s="12"/>
      <c r="O47" s="12"/>
      <c r="P47" s="13"/>
      <c r="AA47" s="15"/>
    </row>
    <row r="48" spans="3:27" s="14" customFormat="1">
      <c r="C48" s="31"/>
      <c r="D48" s="31"/>
      <c r="E48" s="10"/>
      <c r="F48" s="10"/>
      <c r="G48" s="11"/>
      <c r="H48" s="12"/>
      <c r="I48" s="12"/>
      <c r="J48" s="12"/>
      <c r="K48" s="12"/>
      <c r="L48" s="12"/>
      <c r="M48" s="12"/>
      <c r="N48" s="12"/>
      <c r="O48" s="12"/>
      <c r="P48" s="13"/>
      <c r="AA48" s="15"/>
    </row>
    <row r="49" spans="3:27" s="14" customFormat="1">
      <c r="C49" s="31"/>
      <c r="D49" s="31"/>
      <c r="E49" s="10"/>
      <c r="F49" s="10"/>
      <c r="G49" s="11"/>
      <c r="H49" s="12"/>
      <c r="I49" s="12"/>
      <c r="J49" s="12"/>
      <c r="K49" s="12"/>
      <c r="L49" s="12"/>
      <c r="M49" s="12"/>
      <c r="N49" s="12"/>
      <c r="O49" s="12"/>
      <c r="P49" s="13"/>
      <c r="AA49" s="15"/>
    </row>
    <row r="50" spans="3:27" s="14" customFormat="1">
      <c r="C50" s="31"/>
      <c r="D50" s="31"/>
      <c r="E50" s="10"/>
      <c r="F50" s="10"/>
      <c r="G50" s="11"/>
      <c r="H50" s="12"/>
      <c r="I50" s="12"/>
      <c r="J50" s="12"/>
      <c r="K50" s="12"/>
      <c r="L50" s="12"/>
      <c r="M50" s="12"/>
      <c r="N50" s="12"/>
      <c r="O50" s="12"/>
      <c r="P50" s="13"/>
      <c r="AA50" s="15"/>
    </row>
    <row r="51" spans="3:27" s="14" customFormat="1">
      <c r="C51" s="31"/>
      <c r="D51" s="31"/>
      <c r="E51" s="10"/>
      <c r="F51" s="10"/>
      <c r="G51" s="11"/>
      <c r="H51" s="12"/>
      <c r="I51" s="12"/>
      <c r="J51" s="12"/>
      <c r="K51" s="12"/>
      <c r="L51" s="12"/>
      <c r="M51" s="12"/>
      <c r="N51" s="12"/>
      <c r="O51" s="12"/>
      <c r="P51" s="13"/>
      <c r="AA51" s="15"/>
    </row>
    <row r="52" spans="3:27" s="14" customFormat="1">
      <c r="C52" s="31"/>
      <c r="D52" s="31"/>
      <c r="E52" s="10"/>
      <c r="F52" s="10"/>
      <c r="G52" s="11"/>
      <c r="H52" s="12"/>
      <c r="I52" s="12"/>
      <c r="J52" s="12"/>
      <c r="K52" s="12"/>
      <c r="L52" s="12"/>
      <c r="M52" s="12"/>
      <c r="N52" s="12"/>
      <c r="O52" s="12"/>
      <c r="P52" s="13"/>
      <c r="AA52" s="15"/>
    </row>
    <row r="53" spans="3:27" s="14" customFormat="1">
      <c r="C53" s="31"/>
      <c r="D53" s="31"/>
      <c r="E53" s="10"/>
      <c r="F53" s="10"/>
      <c r="G53" s="11"/>
      <c r="H53" s="12"/>
      <c r="I53" s="12"/>
      <c r="J53" s="12"/>
      <c r="K53" s="12"/>
      <c r="L53" s="12"/>
      <c r="M53" s="12"/>
      <c r="N53" s="12"/>
      <c r="O53" s="12"/>
      <c r="P53" s="13"/>
      <c r="AA53" s="15"/>
    </row>
    <row r="54" spans="3:27" s="14" customFormat="1">
      <c r="C54" s="31"/>
      <c r="D54" s="31"/>
      <c r="E54" s="10"/>
      <c r="F54" s="10"/>
      <c r="G54" s="11"/>
      <c r="H54" s="12"/>
      <c r="I54" s="12"/>
      <c r="J54" s="12"/>
      <c r="K54" s="12"/>
      <c r="L54" s="12"/>
      <c r="M54" s="12"/>
      <c r="N54" s="12"/>
      <c r="O54" s="12"/>
      <c r="P54" s="13"/>
      <c r="AA54" s="15"/>
    </row>
    <row r="55" spans="3:27" s="14" customFormat="1">
      <c r="C55" s="31"/>
      <c r="D55" s="31"/>
      <c r="E55" s="10"/>
      <c r="F55" s="10"/>
      <c r="G55" s="11"/>
      <c r="H55" s="12"/>
      <c r="I55" s="12"/>
      <c r="J55" s="12"/>
      <c r="K55" s="12"/>
      <c r="L55" s="12"/>
      <c r="M55" s="12"/>
      <c r="N55" s="12"/>
      <c r="O55" s="12"/>
      <c r="P55" s="13"/>
      <c r="AA55" s="15"/>
    </row>
    <row r="56" spans="3:27" s="14" customFormat="1">
      <c r="C56" s="31"/>
      <c r="D56" s="31"/>
      <c r="E56" s="10"/>
      <c r="F56" s="10"/>
      <c r="G56" s="11"/>
      <c r="H56" s="12"/>
      <c r="I56" s="12"/>
      <c r="J56" s="12"/>
      <c r="K56" s="12"/>
      <c r="L56" s="12"/>
      <c r="M56" s="12"/>
      <c r="N56" s="12"/>
      <c r="O56" s="12"/>
      <c r="P56" s="13"/>
      <c r="AA56" s="15"/>
    </row>
  </sheetData>
  <phoneticPr fontId="0"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sheetPr codeName="Blad20">
    <tabColor indexed="12"/>
  </sheetPr>
  <dimension ref="C1:AB71"/>
  <sheetViews>
    <sheetView showZeros="0" workbookViewId="0">
      <selection activeCell="Y31" sqref="Y31"/>
    </sheetView>
  </sheetViews>
  <sheetFormatPr defaultRowHeight="12.75"/>
  <cols>
    <col min="1" max="1" width="2.7109375" customWidth="1"/>
    <col min="2" max="2" width="3.42578125" customWidth="1"/>
    <col min="3" max="4" width="12.28515625" style="8" customWidth="1"/>
    <col min="5" max="6" width="5.28515625" style="2" customWidth="1"/>
    <col min="7" max="7" width="5.42578125" style="5" customWidth="1"/>
    <col min="8" max="15" width="5.42578125" style="3" customWidth="1"/>
    <col min="16" max="16" width="5.42578125" style="4" customWidth="1"/>
    <col min="17" max="26" width="5.42578125" customWidth="1"/>
    <col min="27" max="27" width="6.28515625" style="1" customWidth="1"/>
    <col min="28" max="28" width="15" customWidth="1"/>
  </cols>
  <sheetData>
    <row r="1" spans="3:28">
      <c r="C1" s="17" t="s">
        <v>42</v>
      </c>
      <c r="D1" s="17"/>
    </row>
    <row r="2" spans="3:28">
      <c r="C2" s="1"/>
      <c r="D2" s="1"/>
      <c r="G2" s="3"/>
    </row>
    <row r="3" spans="3:28" s="4" customFormat="1" ht="13.5" thickBot="1">
      <c r="C3"/>
      <c r="D3"/>
      <c r="E3" s="9">
        <f>Score!C1</f>
        <v>1</v>
      </c>
      <c r="F3" s="9">
        <f>Score!E1</f>
        <v>3</v>
      </c>
      <c r="G3" s="9">
        <f>Score!F1</f>
        <v>4</v>
      </c>
      <c r="H3" s="9">
        <f>Score!G1</f>
        <v>5</v>
      </c>
      <c r="I3" s="9">
        <f>Score!H1</f>
        <v>6</v>
      </c>
      <c r="J3" s="9">
        <f>Score!I1</f>
        <v>7</v>
      </c>
      <c r="K3" s="9">
        <f>Score!J1</f>
        <v>8</v>
      </c>
      <c r="L3" s="9">
        <f>Score!K1</f>
        <v>9</v>
      </c>
      <c r="M3" s="9">
        <f>Score!L1</f>
        <v>10</v>
      </c>
      <c r="N3" s="9">
        <f>Score!M1</f>
        <v>11</v>
      </c>
      <c r="O3" s="9">
        <f>Score!N1</f>
        <v>12</v>
      </c>
      <c r="P3" s="9">
        <f>Score!O1</f>
        <v>13</v>
      </c>
      <c r="Q3" s="9">
        <f>Score!P1</f>
        <v>14</v>
      </c>
      <c r="R3" s="9">
        <f>Score!Q1</f>
        <v>15</v>
      </c>
      <c r="S3" s="9">
        <f>Score!R1</f>
        <v>16</v>
      </c>
      <c r="T3" s="9">
        <f>Score!S1</f>
        <v>17</v>
      </c>
      <c r="U3" s="9">
        <f>Score!T1</f>
        <v>18</v>
      </c>
      <c r="V3" s="9">
        <f>Score!U1</f>
        <v>19</v>
      </c>
      <c r="W3" s="9">
        <f>Score!V1</f>
        <v>20</v>
      </c>
      <c r="X3" s="9">
        <f>Score!W1</f>
        <v>21</v>
      </c>
      <c r="Y3" s="9" t="e">
        <f>Score!#REF!</f>
        <v>#REF!</v>
      </c>
      <c r="Z3" s="9" t="s">
        <v>2</v>
      </c>
      <c r="AA3" s="7"/>
    </row>
    <row r="4" spans="3:28">
      <c r="C4"/>
      <c r="D4"/>
      <c r="E4" s="2" t="e">
        <f>VLOOKUP($C4,Score!$B$2:$X$78,2,0)</f>
        <v>#N/A</v>
      </c>
      <c r="F4" s="2" t="e">
        <f>VLOOKUP($C4,Score!$B$2:$X$78,3,0)</f>
        <v>#N/A</v>
      </c>
      <c r="G4" s="2" t="e">
        <f>VLOOKUP($C4,Score!$B$2:$X$78,4,0)</f>
        <v>#N/A</v>
      </c>
      <c r="H4" s="2" t="e">
        <f>VLOOKUP($C4,Score!$B$2:$X$78,5,0)</f>
        <v>#N/A</v>
      </c>
      <c r="I4" s="2" t="e">
        <f>VLOOKUP($C4,Score!$B$2:$X$78,6,0)</f>
        <v>#N/A</v>
      </c>
      <c r="J4" s="2" t="e">
        <f>VLOOKUP($C4,Score!$B$2:$X$78,7,0)</f>
        <v>#N/A</v>
      </c>
      <c r="K4" s="2" t="e">
        <f>VLOOKUP($C4,Score!$B$2:$X$78,8,0)</f>
        <v>#N/A</v>
      </c>
      <c r="L4" s="2" t="e">
        <f>VLOOKUP($C4,Score!$B$2:$X$78,9,0)</f>
        <v>#N/A</v>
      </c>
      <c r="M4" s="2" t="e">
        <f>VLOOKUP($C4,Score!$B$2:$X$78,10,0)</f>
        <v>#N/A</v>
      </c>
      <c r="N4" s="2" t="e">
        <f>VLOOKUP($C4,Score!$B$2:$X$78,11,0)</f>
        <v>#N/A</v>
      </c>
      <c r="O4" s="2" t="e">
        <f>VLOOKUP($C4,Score!$B$2:$X$78,12,0)</f>
        <v>#N/A</v>
      </c>
      <c r="P4" s="2" t="e">
        <f>VLOOKUP($C4,Score!$B$2:$X$78,13,0)</f>
        <v>#N/A</v>
      </c>
      <c r="Q4" s="2" t="e">
        <f>VLOOKUP($C4,Score!$B$2:$X$78,14,0)</f>
        <v>#N/A</v>
      </c>
      <c r="R4" s="2" t="e">
        <f>VLOOKUP($C4,Score!$B$2:$X$78,15,0)</f>
        <v>#N/A</v>
      </c>
      <c r="S4" s="2" t="e">
        <f>VLOOKUP($C4,Score!$B$2:$X$78,16,0)</f>
        <v>#N/A</v>
      </c>
      <c r="T4" s="2" t="e">
        <f>VLOOKUP($C4,Score!$B$2:$X$78,17,0)</f>
        <v>#N/A</v>
      </c>
      <c r="U4" s="2" t="e">
        <f>VLOOKUP($C4,Score!$B$2:$X$78,18,0)</f>
        <v>#N/A</v>
      </c>
      <c r="V4" s="2" t="e">
        <f>VLOOKUP($C4,Score!$B$2:$X$78,19,0)</f>
        <v>#N/A</v>
      </c>
      <c r="W4" s="2" t="e">
        <f>VLOOKUP($C4,Score!$B$2:$X$78,20,0)</f>
        <v>#N/A</v>
      </c>
      <c r="X4" s="2" t="e">
        <f>VLOOKUP($C4,Score!$B$2:$Z$77,21,0)</f>
        <v>#N/A</v>
      </c>
      <c r="Y4" s="2" t="e">
        <f>VLOOKUP($C4,Score!$B$2:$Z$77,22,0)</f>
        <v>#N/A</v>
      </c>
      <c r="Z4" s="2" t="e">
        <f>VLOOKUP($C4,Score!$B$2:$Z$77,24,0)</f>
        <v>#N/A</v>
      </c>
      <c r="AA4" s="6" t="e">
        <f t="shared" ref="AA4:AA19" si="0">SUM(E4:Z4)</f>
        <v>#N/A</v>
      </c>
      <c r="AB4">
        <f t="shared" ref="AB4:AB20" si="1">C4</f>
        <v>0</v>
      </c>
    </row>
    <row r="5" spans="3:28">
      <c r="C5"/>
      <c r="D5"/>
      <c r="E5" s="2" t="e">
        <f>VLOOKUP($C5,Score!$B$2:$X$78,2,0)</f>
        <v>#N/A</v>
      </c>
      <c r="F5" s="2" t="e">
        <f>VLOOKUP($C5,Score!$B$2:$X$78,3,0)</f>
        <v>#N/A</v>
      </c>
      <c r="G5" s="2" t="e">
        <f>VLOOKUP($C5,Score!$B$2:$X$78,4,0)</f>
        <v>#N/A</v>
      </c>
      <c r="H5" s="2" t="e">
        <f>VLOOKUP($C5,Score!$B$2:$X$78,5,0)</f>
        <v>#N/A</v>
      </c>
      <c r="I5" s="2" t="e">
        <f>VLOOKUP($C5,Score!$B$2:$X$78,6,0)</f>
        <v>#N/A</v>
      </c>
      <c r="J5" s="2" t="e">
        <f>VLOOKUP($C5,Score!$B$2:$X$78,7,0)</f>
        <v>#N/A</v>
      </c>
      <c r="K5" s="2" t="e">
        <f>VLOOKUP($C5,Score!$B$2:$X$78,8,0)</f>
        <v>#N/A</v>
      </c>
      <c r="L5" s="2" t="e">
        <f>VLOOKUP($C5,Score!$B$2:$X$78,9,0)</f>
        <v>#N/A</v>
      </c>
      <c r="M5" s="2" t="e">
        <f>VLOOKUP($C5,Score!$B$2:$X$78,10,0)</f>
        <v>#N/A</v>
      </c>
      <c r="N5" s="2" t="e">
        <f>VLOOKUP($C5,Score!$B$2:$X$78,11,0)</f>
        <v>#N/A</v>
      </c>
      <c r="O5" s="2" t="e">
        <f>VLOOKUP($C5,Score!$B$2:$X$78,12,0)</f>
        <v>#N/A</v>
      </c>
      <c r="P5" s="2" t="e">
        <f>VLOOKUP($C5,Score!$B$2:$X$78,13,0)</f>
        <v>#N/A</v>
      </c>
      <c r="Q5" s="2" t="e">
        <f>VLOOKUP($C5,Score!$B$2:$X$78,14,0)</f>
        <v>#N/A</v>
      </c>
      <c r="R5" s="2" t="e">
        <f>VLOOKUP($C5,Score!$B$2:$X$78,15,0)</f>
        <v>#N/A</v>
      </c>
      <c r="S5" s="2" t="e">
        <f>VLOOKUP($C5,Score!$B$2:$X$78,16,0)</f>
        <v>#N/A</v>
      </c>
      <c r="T5" s="2" t="e">
        <f>VLOOKUP($C5,Score!$B$2:$X$78,17,0)</f>
        <v>#N/A</v>
      </c>
      <c r="U5" s="2" t="e">
        <f>VLOOKUP($C5,Score!$B$2:$X$78,18,0)</f>
        <v>#N/A</v>
      </c>
      <c r="V5" s="2" t="e">
        <f>VLOOKUP($C5,Score!$B$2:$X$78,19,0)</f>
        <v>#N/A</v>
      </c>
      <c r="W5" s="2" t="e">
        <f>VLOOKUP($C5,Score!$B$2:$X$78,20,0)</f>
        <v>#N/A</v>
      </c>
      <c r="X5" s="2" t="e">
        <f>VLOOKUP($C5,Score!$B$2:$Z$77,21,0)</f>
        <v>#N/A</v>
      </c>
      <c r="Y5" s="2" t="e">
        <f>VLOOKUP($C5,Score!$B$2:$Z$77,22,0)</f>
        <v>#N/A</v>
      </c>
      <c r="Z5" s="2" t="e">
        <f>VLOOKUP($C5,Score!$B$2:$Z$77,24,0)</f>
        <v>#N/A</v>
      </c>
      <c r="AA5" s="6" t="e">
        <f t="shared" si="0"/>
        <v>#N/A</v>
      </c>
      <c r="AB5">
        <f t="shared" si="1"/>
        <v>0</v>
      </c>
    </row>
    <row r="6" spans="3:28">
      <c r="C6"/>
      <c r="D6"/>
      <c r="E6" s="2" t="e">
        <f>VLOOKUP($C6,Score!$B$2:$X$78,2,0)</f>
        <v>#N/A</v>
      </c>
      <c r="F6" s="2" t="e">
        <f>VLOOKUP($C6,Score!$B$2:$X$78,3,0)</f>
        <v>#N/A</v>
      </c>
      <c r="G6" s="2" t="e">
        <f>VLOOKUP($C6,Score!$B$2:$X$78,4,0)</f>
        <v>#N/A</v>
      </c>
      <c r="H6" s="2" t="e">
        <f>VLOOKUP($C6,Score!$B$2:$X$78,5,0)</f>
        <v>#N/A</v>
      </c>
      <c r="I6" s="2" t="e">
        <f>VLOOKUP($C6,Score!$B$2:$X$78,6,0)</f>
        <v>#N/A</v>
      </c>
      <c r="J6" s="2" t="e">
        <f>VLOOKUP($C6,Score!$B$2:$X$78,7,0)</f>
        <v>#N/A</v>
      </c>
      <c r="K6" s="2" t="e">
        <f>VLOOKUP($C6,Score!$B$2:$X$78,8,0)</f>
        <v>#N/A</v>
      </c>
      <c r="L6" s="2" t="e">
        <f>VLOOKUP($C6,Score!$B$2:$X$78,9,0)</f>
        <v>#N/A</v>
      </c>
      <c r="M6" s="2" t="e">
        <f>VLOOKUP($C6,Score!$B$2:$X$78,10,0)</f>
        <v>#N/A</v>
      </c>
      <c r="N6" s="2" t="e">
        <f>VLOOKUP($C6,Score!$B$2:$X$78,11,0)</f>
        <v>#N/A</v>
      </c>
      <c r="O6" s="2" t="e">
        <f>VLOOKUP($C6,Score!$B$2:$X$78,12,0)</f>
        <v>#N/A</v>
      </c>
      <c r="P6" s="2" t="e">
        <f>VLOOKUP($C6,Score!$B$2:$X$78,13,0)</f>
        <v>#N/A</v>
      </c>
      <c r="Q6" s="2" t="e">
        <f>VLOOKUP($C6,Score!$B$2:$X$78,14,0)</f>
        <v>#N/A</v>
      </c>
      <c r="R6" s="2" t="e">
        <f>VLOOKUP($C6,Score!$B$2:$X$78,15,0)</f>
        <v>#N/A</v>
      </c>
      <c r="S6" s="2" t="e">
        <f>VLOOKUP($C6,Score!$B$2:$X$78,16,0)</f>
        <v>#N/A</v>
      </c>
      <c r="T6" s="2" t="e">
        <f>VLOOKUP($C6,Score!$B$2:$X$78,17,0)</f>
        <v>#N/A</v>
      </c>
      <c r="U6" s="2" t="e">
        <f>VLOOKUP($C6,Score!$B$2:$X$78,18,0)</f>
        <v>#N/A</v>
      </c>
      <c r="V6" s="2" t="e">
        <f>VLOOKUP($C6,Score!$B$2:$X$78,19,0)</f>
        <v>#N/A</v>
      </c>
      <c r="W6" s="2" t="e">
        <f>VLOOKUP($C6,Score!$B$2:$X$78,20,0)</f>
        <v>#N/A</v>
      </c>
      <c r="X6" s="2" t="e">
        <f>VLOOKUP($C6,Score!$B$2:$Z$77,21,0)</f>
        <v>#N/A</v>
      </c>
      <c r="Y6" s="2" t="e">
        <f>VLOOKUP($C6,Score!$B$2:$Z$77,22,0)</f>
        <v>#N/A</v>
      </c>
      <c r="Z6" s="2" t="e">
        <f>VLOOKUP($C6,Score!$B$2:$Z$77,24,0)</f>
        <v>#N/A</v>
      </c>
      <c r="AA6" s="6" t="e">
        <f t="shared" si="0"/>
        <v>#N/A</v>
      </c>
      <c r="AB6">
        <f t="shared" si="1"/>
        <v>0</v>
      </c>
    </row>
    <row r="7" spans="3:28">
      <c r="C7"/>
      <c r="D7"/>
      <c r="E7" s="2" t="e">
        <f>VLOOKUP($C7,Score!$B$2:$X$78,2,0)</f>
        <v>#N/A</v>
      </c>
      <c r="F7" s="2" t="e">
        <f>VLOOKUP($C7,Score!$B$2:$X$78,3,0)</f>
        <v>#N/A</v>
      </c>
      <c r="G7" s="2" t="e">
        <f>VLOOKUP($C7,Score!$B$2:$X$78,4,0)</f>
        <v>#N/A</v>
      </c>
      <c r="H7" s="2" t="e">
        <f>VLOOKUP($C7,Score!$B$2:$X$78,5,0)</f>
        <v>#N/A</v>
      </c>
      <c r="I7" s="2" t="e">
        <f>VLOOKUP($C7,Score!$B$2:$X$78,6,0)</f>
        <v>#N/A</v>
      </c>
      <c r="J7" s="2" t="e">
        <f>VLOOKUP($C7,Score!$B$2:$X$78,7,0)</f>
        <v>#N/A</v>
      </c>
      <c r="K7" s="2" t="e">
        <f>VLOOKUP($C7,Score!$B$2:$X$78,8,0)</f>
        <v>#N/A</v>
      </c>
      <c r="L7" s="2" t="e">
        <f>VLOOKUP($C7,Score!$B$2:$X$78,9,0)</f>
        <v>#N/A</v>
      </c>
      <c r="M7" s="2" t="e">
        <f>VLOOKUP($C7,Score!$B$2:$X$78,10,0)</f>
        <v>#N/A</v>
      </c>
      <c r="N7" s="2" t="e">
        <f>VLOOKUP($C7,Score!$B$2:$X$78,11,0)</f>
        <v>#N/A</v>
      </c>
      <c r="O7" s="2" t="e">
        <f>VLOOKUP($C7,Score!$B$2:$X$78,12,0)</f>
        <v>#N/A</v>
      </c>
      <c r="P7" s="2" t="e">
        <f>VLOOKUP($C7,Score!$B$2:$X$78,13,0)</f>
        <v>#N/A</v>
      </c>
      <c r="Q7" s="2" t="e">
        <f>VLOOKUP($C7,Score!$B$2:$X$78,14,0)</f>
        <v>#N/A</v>
      </c>
      <c r="R7" s="2" t="e">
        <f>VLOOKUP($C7,Score!$B$2:$X$78,15,0)</f>
        <v>#N/A</v>
      </c>
      <c r="S7" s="2" t="e">
        <f>VLOOKUP($C7,Score!$B$2:$X$78,16,0)</f>
        <v>#N/A</v>
      </c>
      <c r="T7" s="2" t="e">
        <f>VLOOKUP($C7,Score!$B$2:$X$78,17,0)</f>
        <v>#N/A</v>
      </c>
      <c r="U7" s="2" t="e">
        <f>VLOOKUP($C7,Score!$B$2:$X$78,18,0)</f>
        <v>#N/A</v>
      </c>
      <c r="V7" s="2" t="e">
        <f>VLOOKUP($C7,Score!$B$2:$X$78,19,0)</f>
        <v>#N/A</v>
      </c>
      <c r="W7" s="2" t="e">
        <f>VLOOKUP($C7,Score!$B$2:$X$78,20,0)</f>
        <v>#N/A</v>
      </c>
      <c r="X7" s="2" t="e">
        <f>VLOOKUP($C7,Score!$B$2:$Z$77,21,0)</f>
        <v>#N/A</v>
      </c>
      <c r="Y7" s="2" t="e">
        <f>VLOOKUP($C7,Score!$B$2:$Z$77,22,0)</f>
        <v>#N/A</v>
      </c>
      <c r="Z7" s="2" t="e">
        <f>VLOOKUP($C7,Score!$B$2:$Z$77,24,0)</f>
        <v>#N/A</v>
      </c>
      <c r="AA7" s="6" t="e">
        <f t="shared" si="0"/>
        <v>#N/A</v>
      </c>
      <c r="AB7">
        <f t="shared" si="1"/>
        <v>0</v>
      </c>
    </row>
    <row r="8" spans="3:28">
      <c r="C8"/>
      <c r="D8"/>
      <c r="E8" s="2" t="e">
        <f>VLOOKUP($C8,Score!$B$2:$X$78,2,0)</f>
        <v>#N/A</v>
      </c>
      <c r="F8" s="2" t="e">
        <f>VLOOKUP($C8,Score!$B$2:$X$78,3,0)</f>
        <v>#N/A</v>
      </c>
      <c r="G8" s="2" t="e">
        <f>VLOOKUP($C8,Score!$B$2:$X$78,4,0)</f>
        <v>#N/A</v>
      </c>
      <c r="H8" s="2" t="e">
        <f>VLOOKUP($C8,Score!$B$2:$X$78,5,0)</f>
        <v>#N/A</v>
      </c>
      <c r="I8" s="2" t="e">
        <f>VLOOKUP($C8,Score!$B$2:$X$78,6,0)</f>
        <v>#N/A</v>
      </c>
      <c r="J8" s="2" t="e">
        <f>VLOOKUP($C8,Score!$B$2:$X$78,7,0)</f>
        <v>#N/A</v>
      </c>
      <c r="K8" s="2" t="e">
        <f>VLOOKUP($C8,Score!$B$2:$X$78,8,0)</f>
        <v>#N/A</v>
      </c>
      <c r="L8" s="2" t="e">
        <f>VLOOKUP($C8,Score!$B$2:$X$78,9,0)</f>
        <v>#N/A</v>
      </c>
      <c r="M8" s="2" t="e">
        <f>VLOOKUP($C8,Score!$B$2:$X$78,10,0)</f>
        <v>#N/A</v>
      </c>
      <c r="N8" s="2" t="e">
        <f>VLOOKUP($C8,Score!$B$2:$X$78,11,0)</f>
        <v>#N/A</v>
      </c>
      <c r="O8" s="2" t="e">
        <f>VLOOKUP($C8,Score!$B$2:$X$78,12,0)</f>
        <v>#N/A</v>
      </c>
      <c r="P8" s="2" t="e">
        <f>VLOOKUP($C8,Score!$B$2:$X$78,13,0)</f>
        <v>#N/A</v>
      </c>
      <c r="Q8" s="2" t="e">
        <f>VLOOKUP($C8,Score!$B$2:$X$78,14,0)</f>
        <v>#N/A</v>
      </c>
      <c r="R8" s="2" t="e">
        <f>VLOOKUP($C8,Score!$B$2:$X$78,15,0)</f>
        <v>#N/A</v>
      </c>
      <c r="S8" s="2" t="e">
        <f>VLOOKUP($C8,Score!$B$2:$X$78,16,0)</f>
        <v>#N/A</v>
      </c>
      <c r="T8" s="2" t="e">
        <f>VLOOKUP($C8,Score!$B$2:$X$78,17,0)</f>
        <v>#N/A</v>
      </c>
      <c r="U8" s="2" t="e">
        <f>VLOOKUP($C8,Score!$B$2:$X$78,18,0)</f>
        <v>#N/A</v>
      </c>
      <c r="V8" s="2" t="e">
        <f>VLOOKUP($C8,Score!$B$2:$X$78,19,0)</f>
        <v>#N/A</v>
      </c>
      <c r="W8" s="2" t="e">
        <f>VLOOKUP($C8,Score!$B$2:$X$78,20,0)</f>
        <v>#N/A</v>
      </c>
      <c r="X8" s="2" t="e">
        <f>VLOOKUP($C8,Score!$B$2:$Z$77,21,0)</f>
        <v>#N/A</v>
      </c>
      <c r="Y8" s="2" t="e">
        <f>VLOOKUP($C8,Score!$B$2:$Z$77,22,0)</f>
        <v>#N/A</v>
      </c>
      <c r="Z8" s="2" t="e">
        <f>VLOOKUP($C8,Score!$B$2:$Z$77,24,0)</f>
        <v>#N/A</v>
      </c>
      <c r="AA8" s="6" t="e">
        <f t="shared" si="0"/>
        <v>#N/A</v>
      </c>
      <c r="AB8">
        <f t="shared" si="1"/>
        <v>0</v>
      </c>
    </row>
    <row r="9" spans="3:28">
      <c r="C9"/>
      <c r="D9"/>
      <c r="E9" s="2" t="e">
        <f>VLOOKUP($C9,Score!$B$2:$X$78,2,0)</f>
        <v>#N/A</v>
      </c>
      <c r="F9" s="2" t="e">
        <f>VLOOKUP($C9,Score!$B$2:$X$78,3,0)</f>
        <v>#N/A</v>
      </c>
      <c r="G9" s="2" t="e">
        <f>VLOOKUP($C9,Score!$B$2:$X$78,4,0)</f>
        <v>#N/A</v>
      </c>
      <c r="H9" s="2" t="e">
        <f>VLOOKUP($C9,Score!$B$2:$X$78,5,0)</f>
        <v>#N/A</v>
      </c>
      <c r="I9" s="2" t="e">
        <f>VLOOKUP($C9,Score!$B$2:$X$78,6,0)</f>
        <v>#N/A</v>
      </c>
      <c r="J9" s="2" t="e">
        <f>VLOOKUP($C9,Score!$B$2:$X$78,7,0)</f>
        <v>#N/A</v>
      </c>
      <c r="K9" s="2" t="e">
        <f>VLOOKUP($C9,Score!$B$2:$X$78,8,0)</f>
        <v>#N/A</v>
      </c>
      <c r="L9" s="2" t="e">
        <f>VLOOKUP($C9,Score!$B$2:$X$78,9,0)</f>
        <v>#N/A</v>
      </c>
      <c r="M9" s="2" t="e">
        <f>VLOOKUP($C9,Score!$B$2:$X$78,10,0)</f>
        <v>#N/A</v>
      </c>
      <c r="N9" s="2" t="e">
        <f>VLOOKUP($C9,Score!$B$2:$X$78,11,0)</f>
        <v>#N/A</v>
      </c>
      <c r="O9" s="2" t="e">
        <f>VLOOKUP($C9,Score!$B$2:$X$78,12,0)</f>
        <v>#N/A</v>
      </c>
      <c r="P9" s="2" t="e">
        <f>VLOOKUP($C9,Score!$B$2:$X$78,13,0)</f>
        <v>#N/A</v>
      </c>
      <c r="Q9" s="2" t="e">
        <f>VLOOKUP($C9,Score!$B$2:$X$78,14,0)</f>
        <v>#N/A</v>
      </c>
      <c r="R9" s="2" t="e">
        <f>VLOOKUP($C9,Score!$B$2:$X$78,15,0)</f>
        <v>#N/A</v>
      </c>
      <c r="S9" s="2" t="e">
        <f>VLOOKUP($C9,Score!$B$2:$X$78,16,0)</f>
        <v>#N/A</v>
      </c>
      <c r="T9" s="2" t="e">
        <f>VLOOKUP($C9,Score!$B$2:$X$78,17,0)</f>
        <v>#N/A</v>
      </c>
      <c r="U9" s="2" t="e">
        <f>VLOOKUP($C9,Score!$B$2:$X$78,18,0)</f>
        <v>#N/A</v>
      </c>
      <c r="V9" s="2" t="e">
        <f>VLOOKUP($C9,Score!$B$2:$X$78,19,0)</f>
        <v>#N/A</v>
      </c>
      <c r="W9" s="2" t="e">
        <f>VLOOKUP($C9,Score!$B$2:$X$78,20,0)</f>
        <v>#N/A</v>
      </c>
      <c r="X9" s="2" t="e">
        <f>VLOOKUP($C9,Score!$B$2:$Z$77,21,0)</f>
        <v>#N/A</v>
      </c>
      <c r="Y9" s="2" t="e">
        <f>VLOOKUP($C9,Score!$B$2:$Z$77,22,0)</f>
        <v>#N/A</v>
      </c>
      <c r="Z9" s="2" t="e">
        <f>VLOOKUP($C9,Score!$B$2:$Z$77,24,0)</f>
        <v>#N/A</v>
      </c>
      <c r="AA9" s="6" t="e">
        <f t="shared" si="0"/>
        <v>#N/A</v>
      </c>
      <c r="AB9">
        <f t="shared" si="1"/>
        <v>0</v>
      </c>
    </row>
    <row r="10" spans="3:28">
      <c r="C10"/>
      <c r="D10"/>
      <c r="E10" s="2" t="e">
        <f>VLOOKUP($C10,Score!$B$2:$X$78,2,0)</f>
        <v>#N/A</v>
      </c>
      <c r="F10" s="2" t="e">
        <f>VLOOKUP($C10,Score!$B$2:$X$78,3,0)</f>
        <v>#N/A</v>
      </c>
      <c r="G10" s="2" t="e">
        <f>VLOOKUP($C10,Score!$B$2:$X$78,4,0)</f>
        <v>#N/A</v>
      </c>
      <c r="H10" s="2" t="e">
        <f>VLOOKUP($C10,Score!$B$2:$X$78,5,0)</f>
        <v>#N/A</v>
      </c>
      <c r="I10" s="2" t="e">
        <f>VLOOKUP($C10,Score!$B$2:$X$78,6,0)</f>
        <v>#N/A</v>
      </c>
      <c r="J10" s="2" t="e">
        <f>VLOOKUP($C10,Score!$B$2:$X$78,7,0)</f>
        <v>#N/A</v>
      </c>
      <c r="K10" s="2" t="e">
        <f>VLOOKUP($C10,Score!$B$2:$X$78,8,0)</f>
        <v>#N/A</v>
      </c>
      <c r="L10" s="2" t="e">
        <f>VLOOKUP($C10,Score!$B$2:$X$78,9,0)</f>
        <v>#N/A</v>
      </c>
      <c r="M10" s="2" t="e">
        <f>VLOOKUP($C10,Score!$B$2:$X$78,10,0)</f>
        <v>#N/A</v>
      </c>
      <c r="N10" s="2" t="e">
        <f>VLOOKUP($C10,Score!$B$2:$X$78,11,0)</f>
        <v>#N/A</v>
      </c>
      <c r="O10" s="2" t="e">
        <f>VLOOKUP($C10,Score!$B$2:$X$78,12,0)</f>
        <v>#N/A</v>
      </c>
      <c r="P10" s="2" t="e">
        <f>VLOOKUP($C10,Score!$B$2:$X$78,13,0)</f>
        <v>#N/A</v>
      </c>
      <c r="Q10" s="2" t="e">
        <f>VLOOKUP($C10,Score!$B$2:$X$78,14,0)</f>
        <v>#N/A</v>
      </c>
      <c r="R10" s="2" t="e">
        <f>VLOOKUP($C10,Score!$B$2:$X$78,15,0)</f>
        <v>#N/A</v>
      </c>
      <c r="S10" s="2" t="e">
        <f>VLOOKUP($C10,Score!$B$2:$X$78,16,0)</f>
        <v>#N/A</v>
      </c>
      <c r="T10" s="2" t="e">
        <f>VLOOKUP($C10,Score!$B$2:$X$78,17,0)</f>
        <v>#N/A</v>
      </c>
      <c r="U10" s="2" t="e">
        <f>VLOOKUP($C10,Score!$B$2:$X$78,18,0)</f>
        <v>#N/A</v>
      </c>
      <c r="V10" s="2" t="e">
        <f>VLOOKUP($C10,Score!$B$2:$X$78,19,0)</f>
        <v>#N/A</v>
      </c>
      <c r="W10" s="2" t="e">
        <f>VLOOKUP($C10,Score!$B$2:$X$78,20,0)</f>
        <v>#N/A</v>
      </c>
      <c r="X10" s="2" t="e">
        <f>VLOOKUP($C10,Score!$B$2:$Z$77,21,0)</f>
        <v>#N/A</v>
      </c>
      <c r="Y10" s="2" t="e">
        <f>VLOOKUP($C10,Score!$B$2:$Z$77,22,0)</f>
        <v>#N/A</v>
      </c>
      <c r="Z10" s="2" t="e">
        <f>VLOOKUP($C10,Score!$B$2:$Z$77,24,0)</f>
        <v>#N/A</v>
      </c>
      <c r="AA10" s="6" t="e">
        <f t="shared" si="0"/>
        <v>#N/A</v>
      </c>
      <c r="AB10">
        <f t="shared" si="1"/>
        <v>0</v>
      </c>
    </row>
    <row r="11" spans="3:28">
      <c r="C11"/>
      <c r="D11"/>
      <c r="E11" s="2" t="e">
        <f>VLOOKUP($C11,Score!$B$2:$X$78,2,0)</f>
        <v>#N/A</v>
      </c>
      <c r="F11" s="2" t="e">
        <f>VLOOKUP($C11,Score!$B$2:$X$78,3,0)</f>
        <v>#N/A</v>
      </c>
      <c r="G11" s="2" t="e">
        <f>VLOOKUP($C11,Score!$B$2:$X$78,4,0)</f>
        <v>#N/A</v>
      </c>
      <c r="H11" s="2" t="e">
        <f>VLOOKUP($C11,Score!$B$2:$X$78,5,0)</f>
        <v>#N/A</v>
      </c>
      <c r="I11" s="2" t="e">
        <f>VLOOKUP($C11,Score!$B$2:$X$78,6,0)</f>
        <v>#N/A</v>
      </c>
      <c r="J11" s="2" t="e">
        <f>VLOOKUP($C11,Score!$B$2:$X$78,7,0)</f>
        <v>#N/A</v>
      </c>
      <c r="K11" s="2" t="e">
        <f>VLOOKUP($C11,Score!$B$2:$X$78,8,0)</f>
        <v>#N/A</v>
      </c>
      <c r="L11" s="2" t="e">
        <f>VLOOKUP($C11,Score!$B$2:$X$78,9,0)</f>
        <v>#N/A</v>
      </c>
      <c r="M11" s="2" t="e">
        <f>VLOOKUP($C11,Score!$B$2:$X$78,10,0)</f>
        <v>#N/A</v>
      </c>
      <c r="N11" s="2" t="e">
        <f>VLOOKUP($C11,Score!$B$2:$X$78,11,0)</f>
        <v>#N/A</v>
      </c>
      <c r="O11" s="2" t="e">
        <f>VLOOKUP($C11,Score!$B$2:$X$78,12,0)</f>
        <v>#N/A</v>
      </c>
      <c r="P11" s="2" t="e">
        <f>VLOOKUP($C11,Score!$B$2:$X$78,13,0)</f>
        <v>#N/A</v>
      </c>
      <c r="Q11" s="2" t="e">
        <f>VLOOKUP($C11,Score!$B$2:$X$78,14,0)</f>
        <v>#N/A</v>
      </c>
      <c r="R11" s="2" t="e">
        <f>VLOOKUP($C11,Score!$B$2:$X$78,15,0)</f>
        <v>#N/A</v>
      </c>
      <c r="S11" s="2" t="e">
        <f>VLOOKUP($C11,Score!$B$2:$X$78,16,0)</f>
        <v>#N/A</v>
      </c>
      <c r="T11" s="2" t="e">
        <f>VLOOKUP($C11,Score!$B$2:$X$78,17,0)</f>
        <v>#N/A</v>
      </c>
      <c r="U11" s="2" t="e">
        <f>VLOOKUP($C11,Score!$B$2:$X$78,18,0)</f>
        <v>#N/A</v>
      </c>
      <c r="V11" s="2" t="e">
        <f>VLOOKUP($C11,Score!$B$2:$X$78,19,0)</f>
        <v>#N/A</v>
      </c>
      <c r="W11" s="2" t="e">
        <f>VLOOKUP($C11,Score!$B$2:$X$78,20,0)</f>
        <v>#N/A</v>
      </c>
      <c r="X11" s="2" t="e">
        <f>VLOOKUP($C11,Score!$B$2:$Z$77,21,0)</f>
        <v>#N/A</v>
      </c>
      <c r="Y11" s="2" t="e">
        <f>VLOOKUP($C11,Score!$B$2:$Z$77,22,0)</f>
        <v>#N/A</v>
      </c>
      <c r="Z11" s="2" t="e">
        <f>VLOOKUP($C11,Score!$B$2:$Z$77,24,0)</f>
        <v>#N/A</v>
      </c>
      <c r="AA11" s="6" t="e">
        <f t="shared" si="0"/>
        <v>#N/A</v>
      </c>
      <c r="AB11">
        <f t="shared" si="1"/>
        <v>0</v>
      </c>
    </row>
    <row r="12" spans="3:28">
      <c r="C12"/>
      <c r="D12"/>
      <c r="E12" s="2" t="e">
        <f>VLOOKUP($C12,Score!$B$2:$X$78,2,0)</f>
        <v>#N/A</v>
      </c>
      <c r="F12" s="2" t="e">
        <f>VLOOKUP($C12,Score!$B$2:$X$78,3,0)</f>
        <v>#N/A</v>
      </c>
      <c r="G12" s="2" t="e">
        <f>VLOOKUP($C12,Score!$B$2:$X$78,4,0)</f>
        <v>#N/A</v>
      </c>
      <c r="H12" s="2" t="e">
        <f>VLOOKUP($C12,Score!$B$2:$X$78,5,0)</f>
        <v>#N/A</v>
      </c>
      <c r="I12" s="2" t="e">
        <f>VLOOKUP($C12,Score!$B$2:$X$78,6,0)</f>
        <v>#N/A</v>
      </c>
      <c r="J12" s="2" t="e">
        <f>VLOOKUP($C12,Score!$B$2:$X$78,7,0)</f>
        <v>#N/A</v>
      </c>
      <c r="K12" s="2" t="e">
        <f>VLOOKUP($C12,Score!$B$2:$X$78,8,0)</f>
        <v>#N/A</v>
      </c>
      <c r="L12" s="2" t="e">
        <f>VLOOKUP($C12,Score!$B$2:$X$78,9,0)</f>
        <v>#N/A</v>
      </c>
      <c r="M12" s="2" t="e">
        <f>VLOOKUP($C12,Score!$B$2:$X$78,10,0)</f>
        <v>#N/A</v>
      </c>
      <c r="N12" s="2" t="e">
        <f>VLOOKUP($C12,Score!$B$2:$X$78,11,0)</f>
        <v>#N/A</v>
      </c>
      <c r="O12" s="2" t="e">
        <f>VLOOKUP($C12,Score!$B$2:$X$78,12,0)</f>
        <v>#N/A</v>
      </c>
      <c r="P12" s="2" t="e">
        <f>VLOOKUP($C12,Score!$B$2:$X$78,13,0)</f>
        <v>#N/A</v>
      </c>
      <c r="Q12" s="2" t="e">
        <f>VLOOKUP($C12,Score!$B$2:$X$78,14,0)</f>
        <v>#N/A</v>
      </c>
      <c r="R12" s="2" t="e">
        <f>VLOOKUP($C12,Score!$B$2:$X$78,15,0)</f>
        <v>#N/A</v>
      </c>
      <c r="S12" s="2" t="e">
        <f>VLOOKUP($C12,Score!$B$2:$X$78,16,0)</f>
        <v>#N/A</v>
      </c>
      <c r="T12" s="2" t="e">
        <f>VLOOKUP($C12,Score!$B$2:$X$78,17,0)</f>
        <v>#N/A</v>
      </c>
      <c r="U12" s="2" t="e">
        <f>VLOOKUP($C12,Score!$B$2:$X$78,18,0)</f>
        <v>#N/A</v>
      </c>
      <c r="V12" s="2" t="e">
        <f>VLOOKUP($C12,Score!$B$2:$X$78,19,0)</f>
        <v>#N/A</v>
      </c>
      <c r="W12" s="2" t="e">
        <f>VLOOKUP($C12,Score!$B$2:$X$78,20,0)</f>
        <v>#N/A</v>
      </c>
      <c r="X12" s="2" t="e">
        <f>VLOOKUP($C12,Score!$B$2:$Z$77,21,0)</f>
        <v>#N/A</v>
      </c>
      <c r="Y12" s="2" t="e">
        <f>VLOOKUP($C12,Score!$B$2:$Z$77,22,0)</f>
        <v>#N/A</v>
      </c>
      <c r="Z12" s="2" t="e">
        <f>VLOOKUP($C12,Score!$B$2:$Z$77,24,0)</f>
        <v>#N/A</v>
      </c>
      <c r="AA12" s="6" t="e">
        <f t="shared" si="0"/>
        <v>#N/A</v>
      </c>
      <c r="AB12">
        <f t="shared" si="1"/>
        <v>0</v>
      </c>
    </row>
    <row r="13" spans="3:28">
      <c r="C13"/>
      <c r="D13"/>
      <c r="E13" s="2" t="e">
        <f>VLOOKUP($C13,Score!$B$2:$X$78,2,0)</f>
        <v>#N/A</v>
      </c>
      <c r="F13" s="2" t="e">
        <f>VLOOKUP($C13,Score!$B$2:$X$78,3,0)</f>
        <v>#N/A</v>
      </c>
      <c r="G13" s="2" t="e">
        <f>VLOOKUP($C13,Score!$B$2:$X$78,4,0)</f>
        <v>#N/A</v>
      </c>
      <c r="H13" s="2" t="e">
        <f>VLOOKUP($C13,Score!$B$2:$X$78,5,0)</f>
        <v>#N/A</v>
      </c>
      <c r="I13" s="2" t="e">
        <f>VLOOKUP($C13,Score!$B$2:$X$78,6,0)</f>
        <v>#N/A</v>
      </c>
      <c r="J13" s="2" t="e">
        <f>VLOOKUP($C13,Score!$B$2:$X$78,7,0)</f>
        <v>#N/A</v>
      </c>
      <c r="K13" s="2" t="e">
        <f>VLOOKUP($C13,Score!$B$2:$X$78,8,0)</f>
        <v>#N/A</v>
      </c>
      <c r="L13" s="2" t="e">
        <f>VLOOKUP($C13,Score!$B$2:$X$78,9,0)</f>
        <v>#N/A</v>
      </c>
      <c r="M13" s="2" t="e">
        <f>VLOOKUP($C13,Score!$B$2:$X$78,10,0)</f>
        <v>#N/A</v>
      </c>
      <c r="N13" s="2" t="e">
        <f>VLOOKUP($C13,Score!$B$2:$X$78,11,0)</f>
        <v>#N/A</v>
      </c>
      <c r="O13" s="2" t="e">
        <f>VLOOKUP($C13,Score!$B$2:$X$78,12,0)</f>
        <v>#N/A</v>
      </c>
      <c r="P13" s="2" t="e">
        <f>VLOOKUP($C13,Score!$B$2:$X$78,13,0)</f>
        <v>#N/A</v>
      </c>
      <c r="Q13" s="2" t="e">
        <f>VLOOKUP($C13,Score!$B$2:$X$78,14,0)</f>
        <v>#N/A</v>
      </c>
      <c r="R13" s="2" t="e">
        <f>VLOOKUP($C13,Score!$B$2:$X$78,15,0)</f>
        <v>#N/A</v>
      </c>
      <c r="S13" s="2" t="e">
        <f>VLOOKUP($C13,Score!$B$2:$X$78,16,0)</f>
        <v>#N/A</v>
      </c>
      <c r="T13" s="2" t="e">
        <f>VLOOKUP($C13,Score!$B$2:$X$78,17,0)</f>
        <v>#N/A</v>
      </c>
      <c r="U13" s="2" t="e">
        <f>VLOOKUP($C13,Score!$B$2:$X$78,18,0)</f>
        <v>#N/A</v>
      </c>
      <c r="V13" s="2" t="e">
        <f>VLOOKUP($C13,Score!$B$2:$X$78,19,0)</f>
        <v>#N/A</v>
      </c>
      <c r="W13" s="2" t="e">
        <f>VLOOKUP($C13,Score!$B$2:$X$78,20,0)</f>
        <v>#N/A</v>
      </c>
      <c r="X13" s="2" t="e">
        <f>VLOOKUP($C13,Score!$B$2:$Z$77,21,0)</f>
        <v>#N/A</v>
      </c>
      <c r="Y13" s="2" t="e">
        <f>VLOOKUP($C13,Score!$B$2:$Z$77,22,0)</f>
        <v>#N/A</v>
      </c>
      <c r="Z13" s="2" t="e">
        <f>VLOOKUP($C13,Score!$B$2:$Z$77,24,0)</f>
        <v>#N/A</v>
      </c>
      <c r="AA13" s="6" t="e">
        <f t="shared" si="0"/>
        <v>#N/A</v>
      </c>
      <c r="AB13">
        <f t="shared" si="1"/>
        <v>0</v>
      </c>
    </row>
    <row r="14" spans="3:28">
      <c r="C14"/>
      <c r="D14"/>
      <c r="E14" s="2" t="e">
        <f>VLOOKUP($C14,Score!$B$2:$X$78,2,0)</f>
        <v>#N/A</v>
      </c>
      <c r="F14" s="2" t="e">
        <f>VLOOKUP($C14,Score!$B$2:$X$78,3,0)</f>
        <v>#N/A</v>
      </c>
      <c r="G14" s="2" t="e">
        <f>VLOOKUP($C14,Score!$B$2:$X$78,4,0)</f>
        <v>#N/A</v>
      </c>
      <c r="H14" s="2" t="e">
        <f>VLOOKUP($C14,Score!$B$2:$X$78,5,0)</f>
        <v>#N/A</v>
      </c>
      <c r="I14" s="2" t="e">
        <f>VLOOKUP($C14,Score!$B$2:$X$78,6,0)</f>
        <v>#N/A</v>
      </c>
      <c r="J14" s="2" t="e">
        <f>VLOOKUP($C14,Score!$B$2:$X$78,7,0)</f>
        <v>#N/A</v>
      </c>
      <c r="K14" s="2" t="e">
        <f>VLOOKUP($C14,Score!$B$2:$X$78,8,0)</f>
        <v>#N/A</v>
      </c>
      <c r="L14" s="2" t="e">
        <f>VLOOKUP($C14,Score!$B$2:$X$78,9,0)</f>
        <v>#N/A</v>
      </c>
      <c r="M14" s="2" t="e">
        <f>VLOOKUP($C14,Score!$B$2:$X$78,10,0)</f>
        <v>#N/A</v>
      </c>
      <c r="N14" s="2" t="e">
        <f>VLOOKUP($C14,Score!$B$2:$X$78,11,0)</f>
        <v>#N/A</v>
      </c>
      <c r="O14" s="2" t="e">
        <f>VLOOKUP($C14,Score!$B$2:$X$78,12,0)</f>
        <v>#N/A</v>
      </c>
      <c r="P14" s="2" t="e">
        <f>VLOOKUP($C14,Score!$B$2:$X$78,13,0)</f>
        <v>#N/A</v>
      </c>
      <c r="Q14" s="2" t="e">
        <f>VLOOKUP($C14,Score!$B$2:$X$78,14,0)</f>
        <v>#N/A</v>
      </c>
      <c r="R14" s="2" t="e">
        <f>VLOOKUP($C14,Score!$B$2:$X$78,15,0)</f>
        <v>#N/A</v>
      </c>
      <c r="S14" s="2" t="e">
        <f>VLOOKUP($C14,Score!$B$2:$X$78,16,0)</f>
        <v>#N/A</v>
      </c>
      <c r="T14" s="2" t="e">
        <f>VLOOKUP($C14,Score!$B$2:$X$78,17,0)</f>
        <v>#N/A</v>
      </c>
      <c r="U14" s="2" t="e">
        <f>VLOOKUP($C14,Score!$B$2:$X$78,18,0)</f>
        <v>#N/A</v>
      </c>
      <c r="V14" s="2" t="e">
        <f>VLOOKUP($C14,Score!$B$2:$X$78,19,0)</f>
        <v>#N/A</v>
      </c>
      <c r="W14" s="2" t="e">
        <f>VLOOKUP($C14,Score!$B$2:$X$78,20,0)</f>
        <v>#N/A</v>
      </c>
      <c r="X14" s="2" t="e">
        <f>VLOOKUP($C14,Score!$B$2:$Z$77,21,0)</f>
        <v>#N/A</v>
      </c>
      <c r="Y14" s="2" t="e">
        <f>VLOOKUP($C14,Score!$B$2:$Z$77,22,0)</f>
        <v>#N/A</v>
      </c>
      <c r="Z14" s="2" t="e">
        <f>VLOOKUP($C14,Score!$B$2:$Z$77,24,0)</f>
        <v>#N/A</v>
      </c>
      <c r="AA14" s="6" t="e">
        <f t="shared" si="0"/>
        <v>#N/A</v>
      </c>
      <c r="AB14">
        <f t="shared" si="1"/>
        <v>0</v>
      </c>
    </row>
    <row r="15" spans="3:28">
      <c r="C15"/>
      <c r="D15"/>
      <c r="E15" s="2" t="e">
        <f>VLOOKUP($C15,Score!$B$2:$X$78,2,0)</f>
        <v>#N/A</v>
      </c>
      <c r="F15" s="2" t="e">
        <f>VLOOKUP($C15,Score!$B$2:$X$78,3,0)</f>
        <v>#N/A</v>
      </c>
      <c r="G15" s="2" t="e">
        <f>VLOOKUP($C15,Score!$B$2:$X$78,4,0)</f>
        <v>#N/A</v>
      </c>
      <c r="H15" s="2" t="e">
        <f>VLOOKUP($C15,Score!$B$2:$X$78,5,0)</f>
        <v>#N/A</v>
      </c>
      <c r="I15" s="2" t="e">
        <f>VLOOKUP($C15,Score!$B$2:$X$78,6,0)</f>
        <v>#N/A</v>
      </c>
      <c r="J15" s="2" t="e">
        <f>VLOOKUP($C15,Score!$B$2:$X$78,7,0)</f>
        <v>#N/A</v>
      </c>
      <c r="K15" s="2" t="e">
        <f>VLOOKUP($C15,Score!$B$2:$X$78,8,0)</f>
        <v>#N/A</v>
      </c>
      <c r="L15" s="2" t="e">
        <f>VLOOKUP($C15,Score!$B$2:$X$78,9,0)</f>
        <v>#N/A</v>
      </c>
      <c r="M15" s="2" t="e">
        <f>VLOOKUP($C15,Score!$B$2:$X$78,10,0)</f>
        <v>#N/A</v>
      </c>
      <c r="N15" s="2" t="e">
        <f>VLOOKUP($C15,Score!$B$2:$X$78,11,0)</f>
        <v>#N/A</v>
      </c>
      <c r="O15" s="2" t="e">
        <f>VLOOKUP($C15,Score!$B$2:$X$78,12,0)</f>
        <v>#N/A</v>
      </c>
      <c r="P15" s="2" t="e">
        <f>VLOOKUP($C15,Score!$B$2:$X$78,13,0)</f>
        <v>#N/A</v>
      </c>
      <c r="Q15" s="2" t="e">
        <f>VLOOKUP($C15,Score!$B$2:$X$78,14,0)</f>
        <v>#N/A</v>
      </c>
      <c r="R15" s="2" t="e">
        <f>VLOOKUP($C15,Score!$B$2:$X$78,15,0)</f>
        <v>#N/A</v>
      </c>
      <c r="S15" s="2" t="e">
        <f>VLOOKUP($C15,Score!$B$2:$X$78,16,0)</f>
        <v>#N/A</v>
      </c>
      <c r="T15" s="2" t="e">
        <f>VLOOKUP($C15,Score!$B$2:$X$78,17,0)</f>
        <v>#N/A</v>
      </c>
      <c r="U15" s="2" t="e">
        <f>VLOOKUP($C15,Score!$B$2:$X$78,18,0)</f>
        <v>#N/A</v>
      </c>
      <c r="V15" s="2" t="e">
        <f>VLOOKUP($C15,Score!$B$2:$X$78,19,0)</f>
        <v>#N/A</v>
      </c>
      <c r="W15" s="2" t="e">
        <f>VLOOKUP($C15,Score!$B$2:$X$78,20,0)</f>
        <v>#N/A</v>
      </c>
      <c r="X15" s="2" t="e">
        <f>VLOOKUP($C15,Score!$B$2:$Z$77,21,0)</f>
        <v>#N/A</v>
      </c>
      <c r="Y15" s="2" t="e">
        <f>VLOOKUP($C15,Score!$B$2:$Z$77,22,0)</f>
        <v>#N/A</v>
      </c>
      <c r="Z15" s="2" t="e">
        <f>VLOOKUP($C15,Score!$B$2:$Z$77,24,0)</f>
        <v>#N/A</v>
      </c>
      <c r="AA15" s="6" t="e">
        <f t="shared" si="0"/>
        <v>#N/A</v>
      </c>
      <c r="AB15">
        <f t="shared" si="1"/>
        <v>0</v>
      </c>
    </row>
    <row r="16" spans="3:28">
      <c r="C16"/>
      <c r="D16"/>
      <c r="E16" s="2" t="e">
        <f>VLOOKUP($C16,Score!$B$2:$X$78,2,0)</f>
        <v>#N/A</v>
      </c>
      <c r="F16" s="2" t="e">
        <f>VLOOKUP($C16,Score!$B$2:$X$78,3,0)</f>
        <v>#N/A</v>
      </c>
      <c r="G16" s="2" t="e">
        <f>VLOOKUP($C16,Score!$B$2:$X$78,4,0)</f>
        <v>#N/A</v>
      </c>
      <c r="H16" s="2" t="e">
        <f>VLOOKUP($C16,Score!$B$2:$X$78,5,0)</f>
        <v>#N/A</v>
      </c>
      <c r="I16" s="2" t="e">
        <f>VLOOKUP($C16,Score!$B$2:$X$78,6,0)</f>
        <v>#N/A</v>
      </c>
      <c r="J16" s="2" t="e">
        <f>VLOOKUP($C16,Score!$B$2:$X$78,7,0)</f>
        <v>#N/A</v>
      </c>
      <c r="K16" s="2" t="e">
        <f>VLOOKUP($C16,Score!$B$2:$X$78,8,0)</f>
        <v>#N/A</v>
      </c>
      <c r="L16" s="2" t="e">
        <f>VLOOKUP($C16,Score!$B$2:$X$78,9,0)</f>
        <v>#N/A</v>
      </c>
      <c r="M16" s="2" t="e">
        <f>VLOOKUP($C16,Score!$B$2:$X$78,10,0)</f>
        <v>#N/A</v>
      </c>
      <c r="N16" s="2" t="e">
        <f>VLOOKUP($C16,Score!$B$2:$X$78,11,0)</f>
        <v>#N/A</v>
      </c>
      <c r="O16" s="2" t="e">
        <f>VLOOKUP($C16,Score!$B$2:$X$78,12,0)</f>
        <v>#N/A</v>
      </c>
      <c r="P16" s="2" t="e">
        <f>VLOOKUP($C16,Score!$B$2:$X$78,13,0)</f>
        <v>#N/A</v>
      </c>
      <c r="Q16" s="2" t="e">
        <f>VLOOKUP($C16,Score!$B$2:$X$78,14,0)</f>
        <v>#N/A</v>
      </c>
      <c r="R16" s="2" t="e">
        <f>VLOOKUP($C16,Score!$B$2:$X$78,15,0)</f>
        <v>#N/A</v>
      </c>
      <c r="S16" s="2" t="e">
        <f>VLOOKUP($C16,Score!$B$2:$X$78,16,0)</f>
        <v>#N/A</v>
      </c>
      <c r="T16" s="2" t="e">
        <f>VLOOKUP($C16,Score!$B$2:$X$78,17,0)</f>
        <v>#N/A</v>
      </c>
      <c r="U16" s="2" t="e">
        <f>VLOOKUP($C16,Score!$B$2:$X$78,18,0)</f>
        <v>#N/A</v>
      </c>
      <c r="V16" s="2" t="e">
        <f>VLOOKUP($C16,Score!$B$2:$X$78,19,0)</f>
        <v>#N/A</v>
      </c>
      <c r="W16" s="2" t="e">
        <f>VLOOKUP($C16,Score!$B$2:$X$78,20,0)</f>
        <v>#N/A</v>
      </c>
      <c r="X16" s="2" t="e">
        <f>VLOOKUP($C16,Score!$B$2:$Z$77,21,0)</f>
        <v>#N/A</v>
      </c>
      <c r="Y16" s="2" t="e">
        <f>VLOOKUP($C16,Score!$B$2:$Z$77,22,0)</f>
        <v>#N/A</v>
      </c>
      <c r="Z16" s="2" t="e">
        <f>VLOOKUP($C16,Score!$B$2:$Z$77,24,0)</f>
        <v>#N/A</v>
      </c>
      <c r="AA16" s="6" t="e">
        <f t="shared" si="0"/>
        <v>#N/A</v>
      </c>
      <c r="AB16">
        <f t="shared" si="1"/>
        <v>0</v>
      </c>
    </row>
    <row r="17" spans="3:28">
      <c r="C17"/>
      <c r="D17"/>
      <c r="E17" s="2" t="e">
        <f>VLOOKUP($C17,Score!$B$2:$X$78,2,0)</f>
        <v>#N/A</v>
      </c>
      <c r="F17" s="2" t="e">
        <f>VLOOKUP($C17,Score!$B$2:$X$78,3,0)</f>
        <v>#N/A</v>
      </c>
      <c r="G17" s="2" t="e">
        <f>VLOOKUP($C17,Score!$B$2:$X$78,4,0)</f>
        <v>#N/A</v>
      </c>
      <c r="H17" s="2" t="e">
        <f>VLOOKUP($C17,Score!$B$2:$X$78,5,0)</f>
        <v>#N/A</v>
      </c>
      <c r="I17" s="2" t="e">
        <f>VLOOKUP($C17,Score!$B$2:$X$78,6,0)</f>
        <v>#N/A</v>
      </c>
      <c r="J17" s="2" t="e">
        <f>VLOOKUP($C17,Score!$B$2:$X$78,7,0)</f>
        <v>#N/A</v>
      </c>
      <c r="K17" s="2" t="e">
        <f>VLOOKUP($C17,Score!$B$2:$X$78,8,0)</f>
        <v>#N/A</v>
      </c>
      <c r="L17" s="2" t="e">
        <f>VLOOKUP($C17,Score!$B$2:$X$78,9,0)</f>
        <v>#N/A</v>
      </c>
      <c r="M17" s="2" t="e">
        <f>VLOOKUP($C17,Score!$B$2:$X$78,10,0)</f>
        <v>#N/A</v>
      </c>
      <c r="N17" s="2" t="e">
        <f>VLOOKUP($C17,Score!$B$2:$X$78,11,0)</f>
        <v>#N/A</v>
      </c>
      <c r="O17" s="2" t="e">
        <f>VLOOKUP($C17,Score!$B$2:$X$78,12,0)</f>
        <v>#N/A</v>
      </c>
      <c r="P17" s="2" t="e">
        <f>VLOOKUP($C17,Score!$B$2:$X$78,13,0)</f>
        <v>#N/A</v>
      </c>
      <c r="Q17" s="2" t="e">
        <f>VLOOKUP($C17,Score!$B$2:$X$78,14,0)</f>
        <v>#N/A</v>
      </c>
      <c r="R17" s="2" t="e">
        <f>VLOOKUP($C17,Score!$B$2:$X$78,15,0)</f>
        <v>#N/A</v>
      </c>
      <c r="S17" s="2" t="e">
        <f>VLOOKUP($C17,Score!$B$2:$X$78,16,0)</f>
        <v>#N/A</v>
      </c>
      <c r="T17" s="2" t="e">
        <f>VLOOKUP($C17,Score!$B$2:$X$78,17,0)</f>
        <v>#N/A</v>
      </c>
      <c r="U17" s="2" t="e">
        <f>VLOOKUP($C17,Score!$B$2:$X$78,18,0)</f>
        <v>#N/A</v>
      </c>
      <c r="V17" s="2" t="e">
        <f>VLOOKUP($C17,Score!$B$2:$X$78,19,0)</f>
        <v>#N/A</v>
      </c>
      <c r="W17" s="2" t="e">
        <f>VLOOKUP($C17,Score!$B$2:$X$78,20,0)</f>
        <v>#N/A</v>
      </c>
      <c r="X17" s="2" t="e">
        <f>VLOOKUP($C17,Score!$B$2:$Z$77,21,0)</f>
        <v>#N/A</v>
      </c>
      <c r="Y17" s="2" t="e">
        <f>VLOOKUP($C17,Score!$B$2:$Z$77,22,0)</f>
        <v>#N/A</v>
      </c>
      <c r="Z17" s="2" t="e">
        <f>VLOOKUP($C17,Score!$B$2:$Z$77,24,0)</f>
        <v>#N/A</v>
      </c>
      <c r="AA17" s="6" t="e">
        <f t="shared" si="0"/>
        <v>#N/A</v>
      </c>
      <c r="AB17">
        <f t="shared" si="1"/>
        <v>0</v>
      </c>
    </row>
    <row r="18" spans="3:28">
      <c r="C18"/>
      <c r="D18"/>
      <c r="E18" s="2" t="e">
        <f>VLOOKUP($C18,Score!$B$2:$X$78,2,0)</f>
        <v>#N/A</v>
      </c>
      <c r="F18" s="2" t="e">
        <f>VLOOKUP($C18,Score!$B$2:$X$78,3,0)</f>
        <v>#N/A</v>
      </c>
      <c r="G18" s="2" t="e">
        <f>VLOOKUP($C18,Score!$B$2:$X$78,4,0)</f>
        <v>#N/A</v>
      </c>
      <c r="H18" s="2" t="e">
        <f>VLOOKUP($C18,Score!$B$2:$X$78,5,0)</f>
        <v>#N/A</v>
      </c>
      <c r="I18" s="2" t="e">
        <f>VLOOKUP($C18,Score!$B$2:$X$78,6,0)</f>
        <v>#N/A</v>
      </c>
      <c r="J18" s="2" t="e">
        <f>VLOOKUP($C18,Score!$B$2:$X$78,7,0)</f>
        <v>#N/A</v>
      </c>
      <c r="K18" s="2" t="e">
        <f>VLOOKUP($C18,Score!$B$2:$X$78,8,0)</f>
        <v>#N/A</v>
      </c>
      <c r="L18" s="2" t="e">
        <f>VLOOKUP($C18,Score!$B$2:$X$78,9,0)</f>
        <v>#N/A</v>
      </c>
      <c r="M18" s="2" t="e">
        <f>VLOOKUP($C18,Score!$B$2:$X$78,10,0)</f>
        <v>#N/A</v>
      </c>
      <c r="N18" s="2" t="e">
        <f>VLOOKUP($C18,Score!$B$2:$X$78,11,0)</f>
        <v>#N/A</v>
      </c>
      <c r="O18" s="2" t="e">
        <f>VLOOKUP($C18,Score!$B$2:$X$78,12,0)</f>
        <v>#N/A</v>
      </c>
      <c r="P18" s="2" t="e">
        <f>VLOOKUP($C18,Score!$B$2:$X$78,13,0)</f>
        <v>#N/A</v>
      </c>
      <c r="Q18" s="2" t="e">
        <f>VLOOKUP($C18,Score!$B$2:$X$78,14,0)</f>
        <v>#N/A</v>
      </c>
      <c r="R18" s="2" t="e">
        <f>VLOOKUP($C18,Score!$B$2:$X$78,15,0)</f>
        <v>#N/A</v>
      </c>
      <c r="S18" s="2" t="e">
        <f>VLOOKUP($C18,Score!$B$2:$X$78,16,0)</f>
        <v>#N/A</v>
      </c>
      <c r="T18" s="2" t="e">
        <f>VLOOKUP($C18,Score!$B$2:$X$78,17,0)</f>
        <v>#N/A</v>
      </c>
      <c r="U18" s="2" t="e">
        <f>VLOOKUP($C18,Score!$B$2:$X$78,18,0)</f>
        <v>#N/A</v>
      </c>
      <c r="V18" s="2" t="e">
        <f>VLOOKUP($C18,Score!$B$2:$X$78,19,0)</f>
        <v>#N/A</v>
      </c>
      <c r="W18" s="2" t="e">
        <f>VLOOKUP($C18,Score!$B$2:$X$78,20,0)</f>
        <v>#N/A</v>
      </c>
      <c r="X18" s="2" t="e">
        <f>VLOOKUP($C18,Score!$B$2:$Z$77,21,0)</f>
        <v>#N/A</v>
      </c>
      <c r="Y18" s="2" t="e">
        <f>VLOOKUP($C18,Score!$B$2:$Z$77,22,0)</f>
        <v>#N/A</v>
      </c>
      <c r="Z18" s="2" t="e">
        <f>VLOOKUP($C18,Score!$B$2:$Z$77,24,0)</f>
        <v>#N/A</v>
      </c>
      <c r="AA18" s="6" t="e">
        <f t="shared" si="0"/>
        <v>#N/A</v>
      </c>
      <c r="AB18">
        <f t="shared" si="1"/>
        <v>0</v>
      </c>
    </row>
    <row r="19" spans="3:28">
      <c r="C19"/>
      <c r="D19"/>
      <c r="E19" s="2" t="e">
        <f>VLOOKUP($C19,Score!$B$2:$X$78,2,0)</f>
        <v>#N/A</v>
      </c>
      <c r="F19" s="2" t="e">
        <f>VLOOKUP($C19,Score!$B$2:$X$78,3,0)</f>
        <v>#N/A</v>
      </c>
      <c r="G19" s="2" t="e">
        <f>VLOOKUP($C19,Score!$B$2:$X$78,4,0)</f>
        <v>#N/A</v>
      </c>
      <c r="H19" s="2" t="e">
        <f>VLOOKUP($C19,Score!$B$2:$X$78,5,0)</f>
        <v>#N/A</v>
      </c>
      <c r="I19" s="2" t="e">
        <f>VLOOKUP($C19,Score!$B$2:$X$78,6,0)</f>
        <v>#N/A</v>
      </c>
      <c r="J19" s="2" t="e">
        <f>VLOOKUP($C19,Score!$B$2:$X$78,7,0)</f>
        <v>#N/A</v>
      </c>
      <c r="K19" s="2" t="e">
        <f>VLOOKUP($C19,Score!$B$2:$X$78,8,0)</f>
        <v>#N/A</v>
      </c>
      <c r="L19" s="2" t="e">
        <f>VLOOKUP($C19,Score!$B$2:$X$78,9,0)</f>
        <v>#N/A</v>
      </c>
      <c r="M19" s="2" t="e">
        <f>VLOOKUP($C19,Score!$B$2:$X$78,10,0)</f>
        <v>#N/A</v>
      </c>
      <c r="N19" s="2" t="e">
        <f>VLOOKUP($C19,Score!$B$2:$X$78,11,0)</f>
        <v>#N/A</v>
      </c>
      <c r="O19" s="2" t="e">
        <f>VLOOKUP($C19,Score!$B$2:$X$78,12,0)</f>
        <v>#N/A</v>
      </c>
      <c r="P19" s="2" t="e">
        <f>VLOOKUP($C19,Score!$B$2:$X$78,13,0)</f>
        <v>#N/A</v>
      </c>
      <c r="Q19" s="2" t="e">
        <f>VLOOKUP($C19,Score!$B$2:$X$78,14,0)</f>
        <v>#N/A</v>
      </c>
      <c r="R19" s="2" t="e">
        <f>VLOOKUP($C19,Score!$B$2:$X$78,15,0)</f>
        <v>#N/A</v>
      </c>
      <c r="S19" s="2" t="e">
        <f>VLOOKUP($C19,Score!$B$2:$X$78,16,0)</f>
        <v>#N/A</v>
      </c>
      <c r="T19" s="2" t="e">
        <f>VLOOKUP($C19,Score!$B$2:$X$78,17,0)</f>
        <v>#N/A</v>
      </c>
      <c r="U19" s="2" t="e">
        <f>VLOOKUP($C19,Score!$B$2:$X$78,18,0)</f>
        <v>#N/A</v>
      </c>
      <c r="V19" s="2" t="e">
        <f>VLOOKUP($C19,Score!$B$2:$X$78,19,0)</f>
        <v>#N/A</v>
      </c>
      <c r="W19" s="2" t="e">
        <f>VLOOKUP($C19,Score!$B$2:$X$78,20,0)</f>
        <v>#N/A</v>
      </c>
      <c r="X19" s="2" t="e">
        <f>VLOOKUP($C19,Score!$B$2:$Z$77,21,0)</f>
        <v>#N/A</v>
      </c>
      <c r="Y19" s="2" t="e">
        <f>VLOOKUP($C19,Score!$B$2:$Z$77,22,0)</f>
        <v>#N/A</v>
      </c>
      <c r="Z19" s="2" t="e">
        <f>VLOOKUP($C19,Score!$B$2:$Z$77,24,0)</f>
        <v>#N/A</v>
      </c>
      <c r="AA19" s="6" t="e">
        <f t="shared" si="0"/>
        <v>#N/A</v>
      </c>
      <c r="AB19">
        <f t="shared" si="1"/>
        <v>0</v>
      </c>
    </row>
    <row r="20" spans="3:28">
      <c r="C20"/>
      <c r="D20"/>
      <c r="E20" s="2" t="e">
        <f>VLOOKUP($C20,Score!$B$2:$X$78,2,0)</f>
        <v>#N/A</v>
      </c>
      <c r="F20" s="2" t="e">
        <f>VLOOKUP($C20,Score!$B$2:$X$78,3,0)</f>
        <v>#N/A</v>
      </c>
      <c r="G20" s="2" t="e">
        <f>VLOOKUP($C20,Score!$B$2:$X$78,4,0)</f>
        <v>#N/A</v>
      </c>
      <c r="H20" s="2" t="e">
        <f>VLOOKUP($C20,Score!$B$2:$X$78,5,0)</f>
        <v>#N/A</v>
      </c>
      <c r="I20" s="2" t="e">
        <f>VLOOKUP($C20,Score!$B$2:$X$78,6,0)</f>
        <v>#N/A</v>
      </c>
      <c r="J20" s="2" t="e">
        <f>VLOOKUP($C20,Score!$B$2:$X$78,7,0)</f>
        <v>#N/A</v>
      </c>
      <c r="K20" s="2" t="e">
        <f>VLOOKUP($C20,Score!$B$2:$X$78,8,0)</f>
        <v>#N/A</v>
      </c>
      <c r="L20" s="2" t="e">
        <f>VLOOKUP($C20,Score!$B$2:$X$78,9,0)</f>
        <v>#N/A</v>
      </c>
      <c r="M20" s="2" t="e">
        <f>VLOOKUP($C20,Score!$B$2:$X$78,10,0)</f>
        <v>#N/A</v>
      </c>
      <c r="N20" s="2" t="e">
        <f>VLOOKUP($C20,Score!$B$2:$X$78,11,0)</f>
        <v>#N/A</v>
      </c>
      <c r="O20" s="2" t="e">
        <f>VLOOKUP($C20,Score!$B$2:$X$78,12,0)</f>
        <v>#N/A</v>
      </c>
      <c r="P20" s="2" t="e">
        <f>VLOOKUP($C20,Score!$B$2:$X$78,13,0)</f>
        <v>#N/A</v>
      </c>
      <c r="Q20" s="2" t="e">
        <f>VLOOKUP($C20,Score!$B$2:$X$78,14,0)</f>
        <v>#N/A</v>
      </c>
      <c r="R20" s="2" t="e">
        <f>VLOOKUP($C20,Score!$B$2:$X$78,15,0)</f>
        <v>#N/A</v>
      </c>
      <c r="S20" s="2" t="e">
        <f>VLOOKUP($C20,Score!$B$2:$X$78,16,0)</f>
        <v>#N/A</v>
      </c>
      <c r="T20" s="2" t="e">
        <f>VLOOKUP($C20,Score!$B$2:$X$78,17,0)</f>
        <v>#N/A</v>
      </c>
      <c r="U20" s="2" t="e">
        <f>VLOOKUP($C20,Score!$B$2:$X$78,18,0)</f>
        <v>#N/A</v>
      </c>
      <c r="V20" s="2" t="e">
        <f>VLOOKUP($C20,Score!$B$2:$X$78,19,0)</f>
        <v>#N/A</v>
      </c>
      <c r="W20" s="2" t="e">
        <f>VLOOKUP($C20,Score!$B$2:$X$78,20,0)</f>
        <v>#N/A</v>
      </c>
      <c r="X20" s="2" t="e">
        <f>VLOOKUP($C20,Score!$B$2:$Z$77,21,0)</f>
        <v>#N/A</v>
      </c>
      <c r="Y20" s="2" t="e">
        <f>VLOOKUP($C20,Score!$B$2:$Z$77,22,0)</f>
        <v>#N/A</v>
      </c>
      <c r="Z20" s="2" t="e">
        <f>VLOOKUP($C20,Score!$B$2:$Z$77,24,0)</f>
        <v>#N/A</v>
      </c>
      <c r="AA20" s="6" t="e">
        <f>SUM(E20:Z20)</f>
        <v>#N/A</v>
      </c>
      <c r="AB20">
        <f t="shared" si="1"/>
        <v>0</v>
      </c>
    </row>
    <row r="21" spans="3:28" s="66" customFormat="1">
      <c r="C21" s="66" t="s">
        <v>15</v>
      </c>
      <c r="E21" s="67"/>
      <c r="F21" s="68"/>
      <c r="G21" s="67"/>
      <c r="H21" s="67"/>
      <c r="I21" s="67"/>
      <c r="J21" s="67"/>
      <c r="K21" s="67"/>
      <c r="L21" s="67"/>
      <c r="M21" s="67"/>
      <c r="N21" s="67"/>
      <c r="O21" s="67"/>
      <c r="P21" s="67"/>
      <c r="Q21" s="67"/>
      <c r="R21" s="67"/>
      <c r="S21" s="67"/>
      <c r="T21" s="67"/>
      <c r="U21" s="67"/>
      <c r="V21" s="67"/>
      <c r="W21" s="67"/>
      <c r="X21" s="67"/>
      <c r="Y21" s="67"/>
      <c r="Z21" s="67"/>
      <c r="AA21" s="69"/>
    </row>
    <row r="22" spans="3:28" s="1" customFormat="1">
      <c r="C22"/>
      <c r="D22"/>
      <c r="E22" s="64" t="e">
        <f t="shared" ref="E22:Z22" si="2">SUM(E4:E21)</f>
        <v>#N/A</v>
      </c>
      <c r="F22" s="64" t="e">
        <f t="shared" si="2"/>
        <v>#N/A</v>
      </c>
      <c r="G22" s="64" t="e">
        <f t="shared" si="2"/>
        <v>#N/A</v>
      </c>
      <c r="H22" s="64" t="e">
        <f t="shared" si="2"/>
        <v>#N/A</v>
      </c>
      <c r="I22" s="64" t="e">
        <f t="shared" si="2"/>
        <v>#N/A</v>
      </c>
      <c r="J22" s="64" t="e">
        <f t="shared" si="2"/>
        <v>#N/A</v>
      </c>
      <c r="K22" s="64" t="e">
        <f t="shared" si="2"/>
        <v>#N/A</v>
      </c>
      <c r="L22" s="64" t="e">
        <f t="shared" si="2"/>
        <v>#N/A</v>
      </c>
      <c r="M22" s="64" t="e">
        <f t="shared" si="2"/>
        <v>#N/A</v>
      </c>
      <c r="N22" s="64" t="e">
        <f t="shared" si="2"/>
        <v>#N/A</v>
      </c>
      <c r="O22" s="64" t="e">
        <f t="shared" si="2"/>
        <v>#N/A</v>
      </c>
      <c r="P22" s="64" t="e">
        <f t="shared" si="2"/>
        <v>#N/A</v>
      </c>
      <c r="Q22" s="64" t="e">
        <f t="shared" si="2"/>
        <v>#N/A</v>
      </c>
      <c r="R22" s="64" t="e">
        <f t="shared" si="2"/>
        <v>#N/A</v>
      </c>
      <c r="S22" s="64" t="e">
        <f t="shared" si="2"/>
        <v>#N/A</v>
      </c>
      <c r="T22" s="64" t="e">
        <f t="shared" si="2"/>
        <v>#N/A</v>
      </c>
      <c r="U22" s="64" t="e">
        <f t="shared" si="2"/>
        <v>#N/A</v>
      </c>
      <c r="V22" s="64" t="e">
        <f t="shared" si="2"/>
        <v>#N/A</v>
      </c>
      <c r="W22" s="64" t="e">
        <f t="shared" si="2"/>
        <v>#N/A</v>
      </c>
      <c r="X22" s="64" t="e">
        <f t="shared" si="2"/>
        <v>#N/A</v>
      </c>
      <c r="Y22" s="64" t="e">
        <f t="shared" si="2"/>
        <v>#N/A</v>
      </c>
      <c r="Z22" s="64" t="e">
        <f t="shared" si="2"/>
        <v>#N/A</v>
      </c>
      <c r="AA22" s="65" t="e">
        <f>SUM(AA4:AA21)</f>
        <v>#N/A</v>
      </c>
    </row>
    <row r="23" spans="3:28" s="50" customFormat="1">
      <c r="C23"/>
      <c r="D23"/>
      <c r="E23" s="51"/>
      <c r="F23" s="51"/>
      <c r="G23" s="46"/>
      <c r="H23" s="51"/>
      <c r="I23" s="51"/>
      <c r="J23" s="51"/>
      <c r="K23" s="51"/>
      <c r="L23" s="51"/>
      <c r="M23" s="51"/>
      <c r="N23" s="51"/>
      <c r="O23" s="51"/>
      <c r="P23" s="51"/>
      <c r="Q23" s="51"/>
      <c r="R23" s="51"/>
      <c r="S23" s="51"/>
      <c r="T23" s="51"/>
      <c r="U23" s="51"/>
      <c r="V23" s="51"/>
      <c r="W23" s="51"/>
      <c r="X23" s="51"/>
      <c r="Y23" s="51"/>
      <c r="Z23" s="51"/>
      <c r="AA23" s="58"/>
    </row>
    <row r="24" spans="3:28" s="61" customFormat="1">
      <c r="C24" s="59"/>
      <c r="D24" s="59"/>
      <c r="E24" s="60" t="e">
        <f>VLOOKUP($C24,Score!$B$2:$X$78,2,0)</f>
        <v>#N/A</v>
      </c>
      <c r="F24" s="60" t="e">
        <f>VLOOKUP($C24,Score!$B$2:$X$78,2,0)</f>
        <v>#N/A</v>
      </c>
      <c r="G24" s="60" t="e">
        <f>VLOOKUP($C24,Score!$B$2:$X$78,2,0)</f>
        <v>#N/A</v>
      </c>
      <c r="H24" s="60" t="e">
        <f>VLOOKUP($C24,Score!$B$2:$X$78,2,0)</f>
        <v>#N/A</v>
      </c>
      <c r="I24" s="60" t="e">
        <f>VLOOKUP($C24,Score!$B$2:$X$78,2,0)</f>
        <v>#N/A</v>
      </c>
      <c r="J24" s="60" t="e">
        <f>VLOOKUP($C24,Score!$B$2:$X$78,2,0)</f>
        <v>#N/A</v>
      </c>
      <c r="K24" s="60" t="e">
        <f>VLOOKUP($C24,Score!$B$2:$X$78,2,0)</f>
        <v>#N/A</v>
      </c>
      <c r="L24" s="60" t="e">
        <f>VLOOKUP($C24,Score!$B$2:$X$78,2,0)</f>
        <v>#N/A</v>
      </c>
      <c r="M24" s="60" t="e">
        <f>VLOOKUP($C24,Score!$B$2:$X$78,2,0)</f>
        <v>#N/A</v>
      </c>
      <c r="N24" s="60" t="e">
        <f>VLOOKUP($C24,Score!$B$2:$X$78,2,0)</f>
        <v>#N/A</v>
      </c>
      <c r="O24" s="60" t="e">
        <f>VLOOKUP($C24,Score!$B$2:$X$78,2,0)</f>
        <v>#N/A</v>
      </c>
      <c r="P24" s="60" t="e">
        <f>VLOOKUP($C24,Score!$B$2:$X$78,2,0)</f>
        <v>#N/A</v>
      </c>
      <c r="Q24" s="60" t="e">
        <f>VLOOKUP($C24,Score!$B$2:$X$78,2,0)</f>
        <v>#N/A</v>
      </c>
      <c r="R24" s="60" t="e">
        <f>VLOOKUP($C24,Score!$B$2:$X$78,2,0)</f>
        <v>#N/A</v>
      </c>
      <c r="S24" s="60" t="e">
        <f>VLOOKUP($C24,Score!$B$2:$X$78,2,0)</f>
        <v>#N/A</v>
      </c>
      <c r="T24" s="60" t="e">
        <f>VLOOKUP($C24,Score!$B$2:$X$78,2,0)</f>
        <v>#N/A</v>
      </c>
      <c r="U24" s="60" t="e">
        <f>VLOOKUP($C24,Score!$B$2:$X$78,2,0)</f>
        <v>#N/A</v>
      </c>
      <c r="V24" s="60" t="e">
        <f>VLOOKUP($C24,Score!$B$2:$X$78,2,0)</f>
        <v>#N/A</v>
      </c>
      <c r="W24" s="60" t="e">
        <f>VLOOKUP($C24,Score!$B$2:$X$78,2,0)</f>
        <v>#N/A</v>
      </c>
      <c r="X24" s="60" t="e">
        <f>VLOOKUP($C24,Score!$B$2:$X$78,2,0)</f>
        <v>#N/A</v>
      </c>
      <c r="Y24" s="60" t="e">
        <f>VLOOKUP($C24,Score!$B$2:$X$78,2,0)</f>
        <v>#N/A</v>
      </c>
      <c r="Z24" s="60" t="e">
        <f>VLOOKUP($C24,Score!$B$2:$X$78,2,0)</f>
        <v>#N/A</v>
      </c>
      <c r="AA24" s="60" t="e">
        <f>VLOOKUP($C24,Score!$B$2:$X$78,2,0)</f>
        <v>#N/A</v>
      </c>
    </row>
    <row r="25" spans="3:28" s="61" customFormat="1">
      <c r="C25" s="59"/>
      <c r="D25" s="59"/>
      <c r="E25" s="60" t="e">
        <f>VLOOKUP($C25,Score!$B$2:$X$78,2,0)</f>
        <v>#N/A</v>
      </c>
      <c r="F25" s="60" t="e">
        <f>VLOOKUP($C25,Score!$B$2:$X$78,2,0)</f>
        <v>#N/A</v>
      </c>
      <c r="G25" s="60" t="e">
        <f>VLOOKUP($C25,Score!$B$2:$X$78,2,0)</f>
        <v>#N/A</v>
      </c>
      <c r="H25" s="60" t="e">
        <f>VLOOKUP($C25,Score!$B$2:$X$78,2,0)</f>
        <v>#N/A</v>
      </c>
      <c r="I25" s="60" t="e">
        <f>VLOOKUP($C25,Score!$B$2:$X$78,2,0)</f>
        <v>#N/A</v>
      </c>
      <c r="J25" s="60" t="e">
        <f>VLOOKUP($C25,Score!$B$2:$X$78,2,0)</f>
        <v>#N/A</v>
      </c>
      <c r="K25" s="60" t="e">
        <f>VLOOKUP($C25,Score!$B$2:$X$78,2,0)</f>
        <v>#N/A</v>
      </c>
      <c r="L25" s="60" t="e">
        <f>VLOOKUP($C25,Score!$B$2:$X$78,2,0)</f>
        <v>#N/A</v>
      </c>
      <c r="M25" s="60" t="e">
        <f>VLOOKUP($C25,Score!$B$2:$X$78,2,0)</f>
        <v>#N/A</v>
      </c>
      <c r="N25" s="60" t="e">
        <f>VLOOKUP($C25,Score!$B$2:$X$78,2,0)</f>
        <v>#N/A</v>
      </c>
      <c r="O25" s="60" t="e">
        <f>VLOOKUP($C25,Score!$B$2:$X$78,2,0)</f>
        <v>#N/A</v>
      </c>
      <c r="P25" s="60" t="e">
        <f>VLOOKUP($C25,Score!$B$2:$X$78,2,0)</f>
        <v>#N/A</v>
      </c>
      <c r="Q25" s="60" t="e">
        <f>VLOOKUP($C25,Score!$B$2:$X$78,2,0)</f>
        <v>#N/A</v>
      </c>
      <c r="R25" s="60" t="e">
        <f>VLOOKUP($C25,Score!$B$2:$X$78,2,0)</f>
        <v>#N/A</v>
      </c>
      <c r="S25" s="60" t="e">
        <f>VLOOKUP($C25,Score!$B$2:$X$78,2,0)</f>
        <v>#N/A</v>
      </c>
      <c r="T25" s="60" t="e">
        <f>VLOOKUP($C25,Score!$B$2:$X$78,2,0)</f>
        <v>#N/A</v>
      </c>
      <c r="U25" s="60" t="e">
        <f>VLOOKUP($C25,Score!$B$2:$X$78,2,0)</f>
        <v>#N/A</v>
      </c>
      <c r="V25" s="60" t="e">
        <f>VLOOKUP($C25,Score!$B$2:$X$78,2,0)</f>
        <v>#N/A</v>
      </c>
      <c r="W25" s="60" t="e">
        <f>VLOOKUP($C25,Score!$B$2:$X$78,2,0)</f>
        <v>#N/A</v>
      </c>
      <c r="X25" s="60" t="e">
        <f>VLOOKUP($C25,Score!$B$2:$X$78,2,0)</f>
        <v>#N/A</v>
      </c>
      <c r="Y25" s="60" t="e">
        <f>VLOOKUP($C25,Score!$B$2:$X$78,2,0)</f>
        <v>#N/A</v>
      </c>
      <c r="Z25" s="60" t="e">
        <f>VLOOKUP($C25,Score!$B$2:$X$78,2,0)</f>
        <v>#N/A</v>
      </c>
      <c r="AA25" s="60" t="e">
        <f>VLOOKUP($C25,Score!$B$2:$X$78,2,0)</f>
        <v>#N/A</v>
      </c>
    </row>
    <row r="26" spans="3:28" s="61" customFormat="1">
      <c r="C26" s="59"/>
      <c r="D26" s="59"/>
      <c r="E26" s="60" t="e">
        <f>VLOOKUP($C26,Score!$B$2:$X$78,2,0)</f>
        <v>#N/A</v>
      </c>
      <c r="F26" s="60" t="e">
        <f>VLOOKUP($C26,Score!$B$2:$X$78,2,0)</f>
        <v>#N/A</v>
      </c>
      <c r="G26" s="60" t="e">
        <f>VLOOKUP($C26,Score!$B$2:$X$78,2,0)</f>
        <v>#N/A</v>
      </c>
      <c r="H26" s="60" t="e">
        <f>VLOOKUP($C26,Score!$B$2:$X$78,2,0)</f>
        <v>#N/A</v>
      </c>
      <c r="I26" s="60" t="e">
        <f>VLOOKUP($C26,Score!$B$2:$X$78,2,0)</f>
        <v>#N/A</v>
      </c>
      <c r="J26" s="60" t="e">
        <f>VLOOKUP($C26,Score!$B$2:$X$78,2,0)</f>
        <v>#N/A</v>
      </c>
      <c r="K26" s="60" t="e">
        <f>VLOOKUP($C26,Score!$B$2:$X$78,2,0)</f>
        <v>#N/A</v>
      </c>
      <c r="L26" s="60" t="e">
        <f>VLOOKUP($C26,Score!$B$2:$X$78,2,0)</f>
        <v>#N/A</v>
      </c>
      <c r="M26" s="60" t="e">
        <f>VLOOKUP($C26,Score!$B$2:$X$78,2,0)</f>
        <v>#N/A</v>
      </c>
      <c r="N26" s="60" t="e">
        <f>VLOOKUP($C26,Score!$B$2:$X$78,2,0)</f>
        <v>#N/A</v>
      </c>
      <c r="O26" s="60" t="e">
        <f>VLOOKUP($C26,Score!$B$2:$X$78,2,0)</f>
        <v>#N/A</v>
      </c>
      <c r="P26" s="60" t="e">
        <f>VLOOKUP($C26,Score!$B$2:$X$78,2,0)</f>
        <v>#N/A</v>
      </c>
      <c r="Q26" s="60" t="e">
        <f>VLOOKUP($C26,Score!$B$2:$X$78,2,0)</f>
        <v>#N/A</v>
      </c>
      <c r="R26" s="60" t="e">
        <f>VLOOKUP($C26,Score!$B$2:$X$78,2,0)</f>
        <v>#N/A</v>
      </c>
      <c r="S26" s="60" t="e">
        <f>VLOOKUP($C26,Score!$B$2:$X$78,2,0)</f>
        <v>#N/A</v>
      </c>
      <c r="T26" s="60" t="e">
        <f>VLOOKUP($C26,Score!$B$2:$X$78,2,0)</f>
        <v>#N/A</v>
      </c>
      <c r="U26" s="60" t="e">
        <f>VLOOKUP($C26,Score!$B$2:$X$78,2,0)</f>
        <v>#N/A</v>
      </c>
      <c r="V26" s="60" t="e">
        <f>VLOOKUP($C26,Score!$B$2:$X$78,2,0)</f>
        <v>#N/A</v>
      </c>
      <c r="W26" s="60" t="e">
        <f>VLOOKUP($C26,Score!$B$2:$X$78,2,0)</f>
        <v>#N/A</v>
      </c>
      <c r="X26" s="60" t="e">
        <f>VLOOKUP($C26,Score!$B$2:$X$78,2,0)</f>
        <v>#N/A</v>
      </c>
      <c r="Y26" s="60" t="e">
        <f>VLOOKUP($C26,Score!$B$2:$X$78,2,0)</f>
        <v>#N/A</v>
      </c>
      <c r="Z26" s="60" t="e">
        <f>VLOOKUP($C26,Score!$B$2:$X$78,2,0)</f>
        <v>#N/A</v>
      </c>
      <c r="AA26" s="60" t="e">
        <f>VLOOKUP($C26,Score!$B$2:$X$78,2,0)</f>
        <v>#N/A</v>
      </c>
    </row>
    <row r="27" spans="3:28" s="40" customFormat="1">
      <c r="E27" s="39"/>
      <c r="F27" s="39"/>
      <c r="G27" s="38"/>
      <c r="H27" s="39"/>
      <c r="I27" s="39"/>
      <c r="J27" s="39"/>
      <c r="K27" s="39"/>
      <c r="L27" s="39"/>
      <c r="M27" s="39"/>
      <c r="N27" s="39"/>
      <c r="O27" s="39"/>
      <c r="AA27" s="41"/>
    </row>
    <row r="28" spans="3:28" s="40" customFormat="1">
      <c r="C28" s="56"/>
      <c r="D28" s="56"/>
      <c r="E28" s="39"/>
      <c r="F28" s="39"/>
      <c r="G28" s="38"/>
      <c r="H28" s="39"/>
      <c r="I28" s="39"/>
      <c r="J28" s="39"/>
      <c r="K28" s="39"/>
      <c r="L28" s="39"/>
      <c r="M28" s="39"/>
      <c r="N28" s="39"/>
      <c r="O28" s="39"/>
      <c r="AA28" s="41"/>
    </row>
    <row r="29" spans="3:28" s="40" customFormat="1">
      <c r="C29" s="42"/>
      <c r="D29" s="42"/>
      <c r="E29" s="39"/>
      <c r="F29" s="39"/>
      <c r="G29" s="38"/>
      <c r="H29" s="39"/>
      <c r="I29" s="39"/>
      <c r="J29" s="39"/>
      <c r="K29" s="39"/>
      <c r="L29" s="39"/>
      <c r="M29" s="39"/>
      <c r="N29" s="39"/>
      <c r="O29" s="39"/>
      <c r="AA29" s="41"/>
    </row>
    <row r="30" spans="3:28" s="40" customFormat="1">
      <c r="C30" s="42"/>
      <c r="D30" s="42"/>
      <c r="E30" s="39"/>
      <c r="F30" s="39"/>
      <c r="G30" s="38"/>
      <c r="H30" s="39"/>
      <c r="I30" s="39"/>
      <c r="J30" s="39"/>
      <c r="K30" s="39"/>
      <c r="L30" s="39"/>
      <c r="M30" s="39"/>
      <c r="N30" s="39"/>
      <c r="O30" s="39"/>
      <c r="AA30" s="41"/>
    </row>
    <row r="31" spans="3:28" s="40" customFormat="1">
      <c r="E31" s="39"/>
      <c r="F31" s="39"/>
      <c r="G31" s="38"/>
      <c r="H31" s="39"/>
      <c r="I31" s="39"/>
      <c r="J31" s="39"/>
      <c r="K31" s="39"/>
      <c r="L31" s="39"/>
      <c r="M31" s="39"/>
      <c r="N31" s="39"/>
      <c r="O31" s="39"/>
      <c r="AA31" s="41"/>
    </row>
    <row r="32" spans="3:28" s="14" customFormat="1">
      <c r="C32" s="27"/>
      <c r="D32" s="27"/>
      <c r="E32" s="10"/>
      <c r="F32" s="10"/>
      <c r="G32" s="11"/>
      <c r="H32" s="12"/>
      <c r="I32" s="12"/>
      <c r="J32" s="12"/>
      <c r="K32" s="12"/>
      <c r="L32" s="12"/>
      <c r="M32" s="12"/>
      <c r="N32" s="12"/>
      <c r="O32" s="12"/>
      <c r="P32" s="13"/>
      <c r="AA32" s="15"/>
    </row>
    <row r="33" spans="3:27" s="14" customFormat="1">
      <c r="C33" s="27"/>
      <c r="D33" s="27"/>
      <c r="E33" s="10"/>
      <c r="F33" s="10"/>
      <c r="G33" s="11"/>
      <c r="H33" s="12"/>
      <c r="I33" s="12"/>
      <c r="J33" s="12"/>
      <c r="K33" s="12"/>
      <c r="L33" s="12"/>
      <c r="M33" s="12"/>
      <c r="N33" s="12"/>
      <c r="O33" s="12"/>
      <c r="P33" s="13"/>
      <c r="AA33" s="15"/>
    </row>
    <row r="34" spans="3:27" s="14" customFormat="1">
      <c r="C34" s="27"/>
      <c r="D34" s="27"/>
      <c r="E34" s="10"/>
      <c r="F34" s="10"/>
      <c r="G34" s="11"/>
      <c r="H34" s="12"/>
      <c r="I34" s="12"/>
      <c r="J34" s="12"/>
      <c r="K34" s="12"/>
      <c r="L34" s="12"/>
      <c r="M34" s="12"/>
      <c r="N34" s="12"/>
      <c r="O34" s="12"/>
      <c r="P34" s="13"/>
      <c r="AA34" s="15"/>
    </row>
    <row r="35" spans="3:27" s="14" customFormat="1">
      <c r="C35" s="27"/>
      <c r="D35" s="27"/>
      <c r="E35" s="10"/>
      <c r="F35" s="10"/>
      <c r="G35" s="11"/>
      <c r="H35" s="12"/>
      <c r="I35" s="12"/>
      <c r="J35" s="12"/>
      <c r="K35" s="12"/>
      <c r="L35" s="12"/>
      <c r="M35" s="12"/>
      <c r="N35" s="12"/>
      <c r="O35" s="12"/>
      <c r="P35" s="13"/>
      <c r="AA35" s="15"/>
    </row>
    <row r="36" spans="3:27" s="14" customFormat="1">
      <c r="C36" s="27"/>
      <c r="D36" s="27"/>
      <c r="E36" s="10"/>
      <c r="F36" s="10"/>
      <c r="G36" s="11"/>
      <c r="H36" s="12"/>
      <c r="I36" s="12"/>
      <c r="J36" s="12"/>
      <c r="K36" s="12"/>
      <c r="L36" s="12"/>
      <c r="M36" s="12"/>
      <c r="N36" s="12"/>
      <c r="O36" s="12"/>
      <c r="P36" s="13"/>
      <c r="AA36" s="15"/>
    </row>
    <row r="37" spans="3:27" s="14" customFormat="1">
      <c r="C37" s="27"/>
      <c r="D37" s="27"/>
      <c r="E37" s="10"/>
      <c r="F37" s="10"/>
      <c r="G37" s="11"/>
      <c r="H37" s="12"/>
      <c r="I37" s="12"/>
      <c r="J37" s="12"/>
      <c r="K37" s="12"/>
      <c r="L37" s="12"/>
      <c r="M37" s="12"/>
      <c r="N37" s="12"/>
      <c r="O37" s="12"/>
      <c r="P37" s="13"/>
      <c r="AA37" s="15"/>
    </row>
    <row r="38" spans="3:27" s="14" customFormat="1">
      <c r="C38" s="27"/>
      <c r="D38" s="27"/>
      <c r="E38" s="10"/>
      <c r="F38" s="10"/>
      <c r="G38" s="11"/>
      <c r="H38" s="12"/>
      <c r="I38" s="12"/>
      <c r="J38" s="12"/>
      <c r="K38" s="12"/>
      <c r="L38" s="12"/>
      <c r="M38" s="12"/>
      <c r="N38" s="12"/>
      <c r="O38" s="12"/>
      <c r="P38" s="13"/>
      <c r="AA38" s="15"/>
    </row>
    <row r="39" spans="3:27" s="14" customFormat="1">
      <c r="C39" s="27"/>
      <c r="D39" s="27"/>
      <c r="E39" s="10"/>
      <c r="F39" s="10"/>
      <c r="G39" s="11"/>
      <c r="H39" s="12"/>
      <c r="I39" s="12"/>
      <c r="J39" s="12"/>
      <c r="K39" s="12"/>
      <c r="L39" s="12"/>
      <c r="M39" s="12"/>
      <c r="N39" s="12"/>
      <c r="O39" s="12"/>
      <c r="P39" s="13"/>
      <c r="AA39" s="15"/>
    </row>
    <row r="40" spans="3:27" s="14" customFormat="1">
      <c r="C40" s="31"/>
      <c r="D40" s="31"/>
      <c r="E40" s="10"/>
      <c r="F40" s="10"/>
      <c r="G40" s="11"/>
      <c r="H40" s="12"/>
      <c r="I40" s="12"/>
      <c r="J40" s="12"/>
      <c r="K40" s="12"/>
      <c r="L40" s="12"/>
      <c r="M40" s="12"/>
      <c r="N40" s="12"/>
      <c r="O40" s="12"/>
      <c r="P40" s="13"/>
      <c r="AA40" s="15"/>
    </row>
    <row r="41" spans="3:27" s="14" customFormat="1">
      <c r="C41" s="31"/>
      <c r="D41" s="31"/>
      <c r="E41" s="10"/>
      <c r="F41" s="10"/>
      <c r="G41" s="11"/>
      <c r="H41" s="12"/>
      <c r="I41" s="12"/>
      <c r="J41" s="12"/>
      <c r="K41" s="12"/>
      <c r="L41" s="12"/>
      <c r="M41" s="12"/>
      <c r="N41" s="12"/>
      <c r="O41" s="12"/>
      <c r="P41" s="13"/>
      <c r="AA41" s="15"/>
    </row>
    <row r="42" spans="3:27" s="14" customFormat="1">
      <c r="C42" s="31"/>
      <c r="D42" s="31"/>
      <c r="E42" s="10"/>
      <c r="F42" s="10"/>
      <c r="G42" s="11"/>
      <c r="H42" s="12"/>
      <c r="I42" s="12"/>
      <c r="J42" s="12"/>
      <c r="K42" s="12"/>
      <c r="L42" s="12"/>
      <c r="M42" s="12"/>
      <c r="N42" s="12"/>
      <c r="O42" s="12"/>
      <c r="P42" s="13"/>
      <c r="AA42" s="15"/>
    </row>
    <row r="43" spans="3:27" s="14" customFormat="1">
      <c r="C43" s="31"/>
      <c r="D43" s="31"/>
      <c r="E43" s="10"/>
      <c r="F43" s="10"/>
      <c r="G43" s="11"/>
      <c r="H43" s="12"/>
      <c r="I43" s="12"/>
      <c r="J43" s="12"/>
      <c r="K43" s="12"/>
      <c r="L43" s="12"/>
      <c r="M43" s="12"/>
      <c r="N43" s="12"/>
      <c r="O43" s="12"/>
      <c r="P43" s="13"/>
      <c r="AA43" s="15"/>
    </row>
    <row r="44" spans="3:27" s="14" customFormat="1">
      <c r="C44" s="31"/>
      <c r="D44" s="31"/>
      <c r="E44" s="10"/>
      <c r="F44" s="10"/>
      <c r="G44" s="11"/>
      <c r="H44" s="12"/>
      <c r="I44" s="12"/>
      <c r="J44" s="12"/>
      <c r="K44" s="12"/>
      <c r="L44" s="12"/>
      <c r="M44" s="12"/>
      <c r="N44" s="12"/>
      <c r="O44" s="12"/>
      <c r="P44" s="13"/>
      <c r="AA44" s="15"/>
    </row>
    <row r="45" spans="3:27" s="14" customFormat="1">
      <c r="C45" s="31"/>
      <c r="D45" s="31"/>
      <c r="E45" s="10"/>
      <c r="F45" s="10"/>
      <c r="G45" s="11"/>
      <c r="H45" s="12"/>
      <c r="I45" s="12"/>
      <c r="J45" s="12"/>
      <c r="K45" s="12"/>
      <c r="L45" s="12"/>
      <c r="M45" s="12"/>
      <c r="N45" s="12"/>
      <c r="O45" s="12"/>
      <c r="P45" s="13"/>
      <c r="AA45" s="15"/>
    </row>
    <row r="46" spans="3:27" s="14" customFormat="1">
      <c r="C46" s="31"/>
      <c r="D46" s="31"/>
      <c r="E46" s="10"/>
      <c r="F46" s="10"/>
      <c r="G46" s="11"/>
      <c r="H46" s="12"/>
      <c r="I46" s="12"/>
      <c r="J46" s="12"/>
      <c r="K46" s="12"/>
      <c r="L46" s="12"/>
      <c r="M46" s="12"/>
      <c r="N46" s="12"/>
      <c r="O46" s="12"/>
      <c r="P46" s="13"/>
      <c r="AA46" s="15"/>
    </row>
    <row r="47" spans="3:27" s="14" customFormat="1">
      <c r="C47" s="31"/>
      <c r="D47" s="31"/>
      <c r="E47" s="10"/>
      <c r="F47" s="10"/>
      <c r="G47" s="11"/>
      <c r="H47" s="12"/>
      <c r="I47" s="12"/>
      <c r="J47" s="12"/>
      <c r="K47" s="12"/>
      <c r="L47" s="12"/>
      <c r="M47" s="12"/>
      <c r="N47" s="12"/>
      <c r="O47" s="12"/>
      <c r="P47" s="13"/>
      <c r="AA47" s="15"/>
    </row>
    <row r="48" spans="3:27" s="14" customFormat="1">
      <c r="C48" s="31"/>
      <c r="D48" s="31"/>
      <c r="E48" s="10"/>
      <c r="F48" s="10"/>
      <c r="G48" s="11"/>
      <c r="H48" s="12"/>
      <c r="I48" s="12"/>
      <c r="J48" s="12"/>
      <c r="K48" s="12"/>
      <c r="L48" s="12"/>
      <c r="M48" s="12"/>
      <c r="N48" s="12"/>
      <c r="O48" s="12"/>
      <c r="P48" s="13"/>
      <c r="AA48" s="15"/>
    </row>
    <row r="49" spans="3:27" s="14" customFormat="1">
      <c r="C49" s="31"/>
      <c r="D49" s="31"/>
      <c r="E49" s="10"/>
      <c r="F49" s="10"/>
      <c r="G49" s="11"/>
      <c r="H49" s="12"/>
      <c r="I49" s="12"/>
      <c r="J49" s="12"/>
      <c r="K49" s="12"/>
      <c r="L49" s="12"/>
      <c r="M49" s="12"/>
      <c r="N49" s="12"/>
      <c r="O49" s="12"/>
      <c r="P49" s="13"/>
      <c r="AA49" s="15"/>
    </row>
    <row r="50" spans="3:27" s="14" customFormat="1">
      <c r="C50" s="31"/>
      <c r="D50" s="31"/>
      <c r="E50" s="10"/>
      <c r="F50" s="10"/>
      <c r="G50" s="11"/>
      <c r="H50" s="12"/>
      <c r="I50" s="12"/>
      <c r="J50" s="12"/>
      <c r="K50" s="12"/>
      <c r="L50" s="12"/>
      <c r="M50" s="12"/>
      <c r="N50" s="12"/>
      <c r="O50" s="12"/>
      <c r="P50" s="13"/>
      <c r="AA50" s="15"/>
    </row>
    <row r="51" spans="3:27" s="14" customFormat="1">
      <c r="C51" s="31"/>
      <c r="D51" s="31"/>
      <c r="E51" s="10"/>
      <c r="F51" s="10"/>
      <c r="G51" s="11"/>
      <c r="H51" s="12"/>
      <c r="I51" s="12"/>
      <c r="J51" s="12"/>
      <c r="K51" s="12"/>
      <c r="L51" s="12"/>
      <c r="M51" s="12"/>
      <c r="N51" s="12"/>
      <c r="O51" s="12"/>
      <c r="P51" s="13"/>
      <c r="AA51" s="15"/>
    </row>
    <row r="52" spans="3:27" s="14" customFormat="1">
      <c r="C52" s="31"/>
      <c r="D52" s="31"/>
      <c r="E52" s="10"/>
      <c r="F52" s="10"/>
      <c r="G52" s="11"/>
      <c r="H52" s="12"/>
      <c r="I52" s="12"/>
      <c r="J52" s="12"/>
      <c r="K52" s="12"/>
      <c r="L52" s="12"/>
      <c r="M52" s="12"/>
      <c r="N52" s="12"/>
      <c r="O52" s="12"/>
      <c r="P52" s="13"/>
      <c r="AA52" s="15"/>
    </row>
    <row r="53" spans="3:27" s="14" customFormat="1">
      <c r="C53" s="31"/>
      <c r="D53" s="31"/>
      <c r="E53" s="10"/>
      <c r="F53" s="10"/>
      <c r="G53" s="11"/>
      <c r="H53" s="12"/>
      <c r="I53" s="12"/>
      <c r="J53" s="12"/>
      <c r="K53" s="12"/>
      <c r="L53" s="12"/>
      <c r="M53" s="12"/>
      <c r="N53" s="12"/>
      <c r="O53" s="12"/>
      <c r="P53" s="13"/>
      <c r="AA53" s="15"/>
    </row>
    <row r="54" spans="3:27" s="14" customFormat="1">
      <c r="C54" s="31"/>
      <c r="D54" s="31"/>
      <c r="E54" s="10"/>
      <c r="F54" s="10"/>
      <c r="G54" s="11"/>
      <c r="H54" s="12"/>
      <c r="I54" s="12"/>
      <c r="J54" s="12"/>
      <c r="K54" s="12"/>
      <c r="L54" s="12"/>
      <c r="M54" s="12"/>
      <c r="N54" s="12"/>
      <c r="O54" s="12"/>
      <c r="P54" s="13"/>
      <c r="AA54" s="15"/>
    </row>
    <row r="55" spans="3:27" s="14" customFormat="1">
      <c r="C55" s="31"/>
      <c r="D55" s="31"/>
      <c r="E55" s="10"/>
      <c r="F55" s="10"/>
      <c r="G55" s="11"/>
      <c r="H55" s="12"/>
      <c r="I55" s="12"/>
      <c r="J55" s="12"/>
      <c r="K55" s="12"/>
      <c r="L55" s="12"/>
      <c r="M55" s="12"/>
      <c r="N55" s="12"/>
      <c r="O55" s="12"/>
      <c r="P55" s="13"/>
      <c r="AA55" s="15"/>
    </row>
    <row r="56" spans="3:27" s="14" customFormat="1">
      <c r="C56" s="31"/>
      <c r="D56" s="31"/>
      <c r="E56" s="10"/>
      <c r="F56" s="10"/>
      <c r="G56" s="11"/>
      <c r="H56" s="12"/>
      <c r="I56" s="12"/>
      <c r="J56" s="12"/>
      <c r="K56" s="12"/>
      <c r="L56" s="12"/>
      <c r="M56" s="12"/>
      <c r="N56" s="12"/>
      <c r="O56" s="12"/>
      <c r="P56" s="13"/>
      <c r="AA56" s="15"/>
    </row>
    <row r="57" spans="3:27" s="14" customFormat="1">
      <c r="C57" s="31"/>
      <c r="D57" s="31"/>
      <c r="E57" s="10"/>
      <c r="F57" s="10"/>
      <c r="G57" s="11"/>
      <c r="H57" s="12"/>
      <c r="I57" s="12"/>
      <c r="J57" s="12"/>
      <c r="K57" s="12"/>
      <c r="L57" s="12"/>
      <c r="M57" s="12"/>
      <c r="N57" s="12"/>
      <c r="O57" s="12"/>
      <c r="P57" s="13"/>
      <c r="AA57" s="15"/>
    </row>
    <row r="58" spans="3:27" s="14" customFormat="1">
      <c r="C58" s="31"/>
      <c r="D58" s="31"/>
      <c r="E58" s="10"/>
      <c r="F58" s="10"/>
      <c r="G58" s="11"/>
      <c r="H58" s="12"/>
      <c r="I58" s="12"/>
      <c r="J58" s="12"/>
      <c r="K58" s="12"/>
      <c r="L58" s="12"/>
      <c r="M58" s="12"/>
      <c r="N58" s="12"/>
      <c r="O58" s="12"/>
      <c r="P58" s="13"/>
      <c r="AA58" s="15"/>
    </row>
    <row r="59" spans="3:27" s="14" customFormat="1">
      <c r="C59" s="31"/>
      <c r="D59" s="31"/>
      <c r="E59" s="10"/>
      <c r="F59" s="10"/>
      <c r="G59" s="11"/>
      <c r="H59" s="12"/>
      <c r="I59" s="12"/>
      <c r="J59" s="12"/>
      <c r="K59" s="12"/>
      <c r="L59" s="12"/>
      <c r="M59" s="12"/>
      <c r="N59" s="12"/>
      <c r="O59" s="12"/>
      <c r="P59" s="13"/>
      <c r="AA59" s="15"/>
    </row>
    <row r="60" spans="3:27" s="14" customFormat="1">
      <c r="C60" s="31"/>
      <c r="D60" s="31"/>
      <c r="E60" s="10"/>
      <c r="F60" s="10"/>
      <c r="G60" s="11"/>
      <c r="H60" s="12"/>
      <c r="I60" s="12"/>
      <c r="J60" s="12"/>
      <c r="K60" s="12"/>
      <c r="L60" s="12"/>
      <c r="M60" s="12"/>
      <c r="N60" s="12"/>
      <c r="O60" s="12"/>
      <c r="P60" s="13"/>
      <c r="AA60" s="15"/>
    </row>
    <row r="61" spans="3:27" s="14" customFormat="1">
      <c r="C61" s="31"/>
      <c r="D61" s="31"/>
      <c r="E61" s="10"/>
      <c r="F61" s="10"/>
      <c r="G61" s="11"/>
      <c r="H61" s="12"/>
      <c r="I61" s="12"/>
      <c r="J61" s="12"/>
      <c r="K61" s="12"/>
      <c r="L61" s="12"/>
      <c r="M61" s="12"/>
      <c r="N61" s="12"/>
      <c r="O61" s="12"/>
      <c r="P61" s="13"/>
      <c r="AA61" s="15"/>
    </row>
    <row r="62" spans="3:27" s="14" customFormat="1">
      <c r="C62" s="31"/>
      <c r="D62" s="31"/>
      <c r="E62" s="10"/>
      <c r="F62" s="10"/>
      <c r="G62" s="11"/>
      <c r="H62" s="12"/>
      <c r="I62" s="12"/>
      <c r="J62" s="12"/>
      <c r="K62" s="12"/>
      <c r="L62" s="12"/>
      <c r="M62" s="12"/>
      <c r="N62" s="12"/>
      <c r="O62" s="12"/>
      <c r="P62" s="13"/>
      <c r="AA62" s="15"/>
    </row>
    <row r="63" spans="3:27" s="14" customFormat="1">
      <c r="C63" s="31"/>
      <c r="D63" s="31"/>
      <c r="E63" s="10"/>
      <c r="F63" s="10"/>
      <c r="G63" s="11"/>
      <c r="H63" s="12"/>
      <c r="I63" s="12"/>
      <c r="J63" s="12"/>
      <c r="K63" s="12"/>
      <c r="L63" s="12"/>
      <c r="M63" s="12"/>
      <c r="N63" s="12"/>
      <c r="O63" s="12"/>
      <c r="P63" s="13"/>
      <c r="AA63" s="15"/>
    </row>
    <row r="64" spans="3:27" s="14" customFormat="1">
      <c r="C64" s="31"/>
      <c r="D64" s="31"/>
      <c r="E64" s="10"/>
      <c r="F64" s="10"/>
      <c r="G64" s="11"/>
      <c r="H64" s="12"/>
      <c r="I64" s="12"/>
      <c r="J64" s="12"/>
      <c r="K64" s="12"/>
      <c r="L64" s="12"/>
      <c r="M64" s="12"/>
      <c r="N64" s="12"/>
      <c r="O64" s="12"/>
      <c r="P64" s="13"/>
      <c r="AA64" s="15"/>
    </row>
    <row r="65" spans="3:27" s="14" customFormat="1">
      <c r="C65" s="31"/>
      <c r="D65" s="31"/>
      <c r="E65" s="10"/>
      <c r="F65" s="10"/>
      <c r="G65" s="11"/>
      <c r="H65" s="12"/>
      <c r="I65" s="12"/>
      <c r="J65" s="12"/>
      <c r="K65" s="12"/>
      <c r="L65" s="12"/>
      <c r="M65" s="12"/>
      <c r="N65" s="12"/>
      <c r="O65" s="12"/>
      <c r="P65" s="13"/>
      <c r="AA65" s="15"/>
    </row>
    <row r="66" spans="3:27" s="14" customFormat="1">
      <c r="C66" s="31"/>
      <c r="D66" s="31"/>
      <c r="E66" s="10"/>
      <c r="F66" s="10"/>
      <c r="G66" s="11"/>
      <c r="H66" s="12"/>
      <c r="I66" s="12"/>
      <c r="J66" s="12"/>
      <c r="K66" s="12"/>
      <c r="L66" s="12"/>
      <c r="M66" s="12"/>
      <c r="N66" s="12"/>
      <c r="O66" s="12"/>
      <c r="P66" s="13"/>
      <c r="AA66" s="15"/>
    </row>
    <row r="67" spans="3:27" s="14" customFormat="1">
      <c r="C67" s="31"/>
      <c r="D67" s="31"/>
      <c r="E67" s="10"/>
      <c r="F67" s="10"/>
      <c r="G67" s="11"/>
      <c r="H67" s="12"/>
      <c r="I67" s="12"/>
      <c r="J67" s="12"/>
      <c r="K67" s="12"/>
      <c r="L67" s="12"/>
      <c r="M67" s="12"/>
      <c r="N67" s="12"/>
      <c r="O67" s="12"/>
      <c r="P67" s="13"/>
      <c r="AA67" s="15"/>
    </row>
    <row r="68" spans="3:27" s="14" customFormat="1">
      <c r="C68" s="31"/>
      <c r="D68" s="31"/>
      <c r="E68" s="10"/>
      <c r="F68" s="10"/>
      <c r="G68" s="11"/>
      <c r="H68" s="12"/>
      <c r="I68" s="12"/>
      <c r="J68" s="12"/>
      <c r="K68" s="12"/>
      <c r="L68" s="12"/>
      <c r="M68" s="12"/>
      <c r="N68" s="12"/>
      <c r="O68" s="12"/>
      <c r="P68" s="13"/>
      <c r="AA68" s="15"/>
    </row>
    <row r="69" spans="3:27" s="14" customFormat="1">
      <c r="C69" s="31"/>
      <c r="D69" s="31"/>
      <c r="E69" s="10"/>
      <c r="F69" s="10"/>
      <c r="G69" s="11"/>
      <c r="H69" s="12"/>
      <c r="I69" s="12"/>
      <c r="J69" s="12"/>
      <c r="K69" s="12"/>
      <c r="L69" s="12"/>
      <c r="M69" s="12"/>
      <c r="N69" s="12"/>
      <c r="O69" s="12"/>
      <c r="P69" s="13"/>
      <c r="AA69" s="15"/>
    </row>
    <row r="70" spans="3:27" s="14" customFormat="1">
      <c r="C70" s="31"/>
      <c r="D70" s="31"/>
      <c r="E70" s="10"/>
      <c r="F70" s="10"/>
      <c r="G70" s="11"/>
      <c r="H70" s="12"/>
      <c r="I70" s="12"/>
      <c r="J70" s="12"/>
      <c r="K70" s="12"/>
      <c r="L70" s="12"/>
      <c r="M70" s="12"/>
      <c r="N70" s="12"/>
      <c r="O70" s="12"/>
      <c r="P70" s="13"/>
      <c r="AA70" s="15"/>
    </row>
    <row r="71" spans="3:27" s="14" customFormat="1">
      <c r="C71" s="31"/>
      <c r="D71" s="31"/>
      <c r="E71" s="10"/>
      <c r="F71" s="10"/>
      <c r="G71" s="11"/>
      <c r="H71" s="12"/>
      <c r="I71" s="12"/>
      <c r="J71" s="12"/>
      <c r="K71" s="12"/>
      <c r="L71" s="12"/>
      <c r="M71" s="12"/>
      <c r="N71" s="12"/>
      <c r="O71" s="12"/>
      <c r="P71" s="13"/>
      <c r="AA71" s="15"/>
    </row>
  </sheetData>
  <phoneticPr fontId="0"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Blad4">
    <tabColor rgb="FFFFC000"/>
  </sheetPr>
  <dimension ref="A1:Q70"/>
  <sheetViews>
    <sheetView showGridLines="0" zoomScaleNormal="100" workbookViewId="0">
      <pane ySplit="1" topLeftCell="A24" activePane="bottomLeft" state="frozen"/>
      <selection activeCell="H34" sqref="H34"/>
      <selection pane="bottomLeft" activeCell="P66" sqref="P66"/>
    </sheetView>
  </sheetViews>
  <sheetFormatPr defaultColWidth="8" defaultRowHeight="12.75"/>
  <cols>
    <col min="1" max="1" width="13" style="229" customWidth="1"/>
    <col min="2" max="12" width="10" style="252" customWidth="1"/>
    <col min="13" max="13" width="4.42578125" style="228" customWidth="1"/>
    <col min="14" max="14" width="9.7109375" style="229" bestFit="1" customWidth="1"/>
    <col min="15" max="16384" width="8" style="229"/>
  </cols>
  <sheetData>
    <row r="1" spans="1:17" ht="13.5" thickBot="1">
      <c r="A1" s="226"/>
      <c r="B1" s="227" t="s">
        <v>237</v>
      </c>
      <c r="C1" s="227" t="s">
        <v>126</v>
      </c>
      <c r="D1" s="227" t="s">
        <v>84</v>
      </c>
      <c r="E1" s="227" t="s">
        <v>236</v>
      </c>
      <c r="F1" s="227" t="s">
        <v>82</v>
      </c>
      <c r="G1" s="227" t="s">
        <v>83</v>
      </c>
      <c r="H1" s="227" t="s">
        <v>202</v>
      </c>
      <c r="I1" s="227" t="s">
        <v>162</v>
      </c>
      <c r="J1" s="227" t="s">
        <v>241</v>
      </c>
      <c r="K1" s="227" t="s">
        <v>185</v>
      </c>
      <c r="L1" s="227" t="s">
        <v>238</v>
      </c>
    </row>
    <row r="2" spans="1:17" s="269" customFormat="1" ht="13.5" thickTop="1">
      <c r="A2" s="230" t="s">
        <v>231</v>
      </c>
      <c r="B2" s="231" t="str">
        <f ca="1">IF(ISERROR(VLOOKUP($A2,INDIRECT(B$1&amp;"!"&amp;"c4:c27"),1,0)),"",$M2)</f>
        <v/>
      </c>
      <c r="C2" s="231" t="str">
        <f ca="1">IF(ISERROR(VLOOKUP($A2,INDIRECT(C$1&amp;"!"&amp;"c4:c27"),1,0)),"",$M2)</f>
        <v/>
      </c>
      <c r="D2" s="231" t="str">
        <f ca="1">IF(ISERROR(VLOOKUP($A2,INDIRECT(D$1&amp;"!"&amp;"c4:c27"),1,0)),"",$M2)</f>
        <v/>
      </c>
      <c r="E2" s="231" t="str">
        <f ca="1">IF(ISERROR(VLOOKUP($A2,INDIRECT(E$1&amp;"!"&amp;"c4:c27"),1,0)),"",$M2)</f>
        <v/>
      </c>
      <c r="F2" s="231" t="str">
        <f ca="1">IF(ISERROR(VLOOKUP($A2,INDIRECT(F$1&amp;"!"&amp;"c4:c27"),1,0)),"",$M2)</f>
        <v/>
      </c>
      <c r="G2" s="231" t="str">
        <f ca="1">IF(ISERROR(VLOOKUP($A2,INDIRECT(G$1&amp;"!"&amp;"c4:c27"),1,0)),"",$M2)</f>
        <v/>
      </c>
      <c r="H2" s="231" t="str">
        <f ca="1">IF(ISERROR(VLOOKUP($A2,INDIRECT(H$1&amp;"!"&amp;"c4:c27"),1,0)),"",$M2)</f>
        <v/>
      </c>
      <c r="I2" s="231" t="str">
        <f ca="1">IF(ISERROR(VLOOKUP($A2,INDIRECT(I$1&amp;"!"&amp;"c4:c27"),1,0)),"",$M2)</f>
        <v/>
      </c>
      <c r="J2" s="231" t="str">
        <f ca="1">IF(ISERROR(VLOOKUP($A2,INDIRECT(J$1&amp;"!"&amp;"c4:c27"),1,0)),"",$M2)</f>
        <v/>
      </c>
      <c r="K2" s="231" t="str">
        <f ca="1">IF(ISERROR(VLOOKUP($A2,INDIRECT(K$1&amp;"!"&amp;"c4:c27"),1,0)),"",$M2)</f>
        <v/>
      </c>
      <c r="L2" s="231">
        <f ca="1">IF(ISERROR(VLOOKUP($A2,INDIRECT(L$1&amp;"!"&amp;"c4:c27"),1,0)),"",$M2)</f>
        <v>1</v>
      </c>
      <c r="M2" s="232">
        <f ca="1">COUNTIF(Teams!$4:$27,A2)</f>
        <v>1</v>
      </c>
      <c r="N2" s="233">
        <f ca="1">VLOOKUP(A2,Score!B:Z,25,0)</f>
        <v>120.02884850300732</v>
      </c>
      <c r="O2" s="236"/>
      <c r="P2" s="236"/>
      <c r="Q2" s="236"/>
    </row>
    <row r="3" spans="1:17" s="236" customFormat="1">
      <c r="A3" s="230" t="s">
        <v>232</v>
      </c>
      <c r="B3" s="231" t="str">
        <f ca="1">IF(ISERROR(VLOOKUP($A3,INDIRECT(B$1&amp;"!"&amp;"c4:c27"),1,0)),"",$M3)</f>
        <v/>
      </c>
      <c r="C3" s="231" t="str">
        <f ca="1">IF(ISERROR(VLOOKUP($A3,INDIRECT(C$1&amp;"!"&amp;"c4:c27"),1,0)),"",$M3)</f>
        <v/>
      </c>
      <c r="D3" s="231" t="str">
        <f ca="1">IF(ISERROR(VLOOKUP($A3,INDIRECT(D$1&amp;"!"&amp;"c4:c27"),1,0)),"",$M3)</f>
        <v/>
      </c>
      <c r="E3" s="231" t="str">
        <f ca="1">IF(ISERROR(VLOOKUP($A3,INDIRECT(E$1&amp;"!"&amp;"c4:c27"),1,0)),"",$M3)</f>
        <v/>
      </c>
      <c r="F3" s="231" t="str">
        <f ca="1">IF(ISERROR(VLOOKUP($A3,INDIRECT(F$1&amp;"!"&amp;"c4:c27"),1,0)),"",$M3)</f>
        <v/>
      </c>
      <c r="G3" s="231" t="str">
        <f ca="1">IF(ISERROR(VLOOKUP($A3,INDIRECT(G$1&amp;"!"&amp;"c4:c27"),1,0)),"",$M3)</f>
        <v/>
      </c>
      <c r="H3" s="231" t="str">
        <f ca="1">IF(ISERROR(VLOOKUP($A3,INDIRECT(H$1&amp;"!"&amp;"c4:c27"),1,0)),"",$M3)</f>
        <v/>
      </c>
      <c r="I3" s="231" t="str">
        <f ca="1">IF(ISERROR(VLOOKUP($A3,INDIRECT(I$1&amp;"!"&amp;"c4:c27"),1,0)),"",$M3)</f>
        <v/>
      </c>
      <c r="J3" s="231" t="str">
        <f ca="1">IF(ISERROR(VLOOKUP($A3,INDIRECT(J$1&amp;"!"&amp;"c4:c27"),1,0)),"",$M3)</f>
        <v/>
      </c>
      <c r="K3" s="231" t="str">
        <f ca="1">IF(ISERROR(VLOOKUP($A3,INDIRECT(K$1&amp;"!"&amp;"c4:c27"),1,0)),"",$M3)</f>
        <v/>
      </c>
      <c r="L3" s="231">
        <f ca="1">IF(ISERROR(VLOOKUP($A3,INDIRECT(L$1&amp;"!"&amp;"c4:c27"),1,0)),"",$M3)</f>
        <v>1</v>
      </c>
      <c r="M3" s="232">
        <f ca="1">COUNTIF(Teams!$4:$27,A3)</f>
        <v>1</v>
      </c>
      <c r="N3" s="233">
        <f ca="1">VLOOKUP(A3,Score!B:Z,25,0)</f>
        <v>178.03405056575056</v>
      </c>
    </row>
    <row r="4" spans="1:17" s="236" customFormat="1">
      <c r="A4" s="230" t="s">
        <v>103</v>
      </c>
      <c r="B4" s="231" t="str">
        <f ca="1">IF(ISERROR(VLOOKUP($A4,INDIRECT(B$1&amp;"!"&amp;"c4:c27"),1,0)),"",$M4)</f>
        <v/>
      </c>
      <c r="C4" s="231" t="str">
        <f ca="1">IF(ISERROR(VLOOKUP($A4,INDIRECT(C$1&amp;"!"&amp;"c4:c27"),1,0)),"",$M4)</f>
        <v/>
      </c>
      <c r="D4" s="231" t="str">
        <f ca="1">IF(ISERROR(VLOOKUP($A4,INDIRECT(D$1&amp;"!"&amp;"c4:c27"),1,0)),"",$M4)</f>
        <v/>
      </c>
      <c r="E4" s="231" t="str">
        <f ca="1">IF(ISERROR(VLOOKUP($A4,INDIRECT(E$1&amp;"!"&amp;"c4:c27"),1,0)),"",$M4)</f>
        <v/>
      </c>
      <c r="F4" s="231" t="str">
        <f ca="1">IF(ISERROR(VLOOKUP($A4,INDIRECT(F$1&amp;"!"&amp;"c4:c27"),1,0)),"",$M4)</f>
        <v/>
      </c>
      <c r="G4" s="231" t="str">
        <f ca="1">IF(ISERROR(VLOOKUP($A4,INDIRECT(G$1&amp;"!"&amp;"c4:c27"),1,0)),"",$M4)</f>
        <v/>
      </c>
      <c r="H4" s="231" t="str">
        <f ca="1">IF(ISERROR(VLOOKUP($A4,INDIRECT(H$1&amp;"!"&amp;"c4:c27"),1,0)),"",$M4)</f>
        <v/>
      </c>
      <c r="I4" s="231" t="str">
        <f ca="1">IF(ISERROR(VLOOKUP($A4,INDIRECT(I$1&amp;"!"&amp;"c4:c27"),1,0)),"",$M4)</f>
        <v/>
      </c>
      <c r="J4" s="231">
        <f ca="1">IF(ISERROR(VLOOKUP($A4,INDIRECT(J$1&amp;"!"&amp;"c4:c27"),1,0)),"",$M4)</f>
        <v>1</v>
      </c>
      <c r="K4" s="231" t="str">
        <f ca="1">IF(ISERROR(VLOOKUP($A4,INDIRECT(K$1&amp;"!"&amp;"c4:c27"),1,0)),"",$M4)</f>
        <v/>
      </c>
      <c r="L4" s="231" t="str">
        <f ca="1">IF(ISERROR(VLOOKUP($A4,INDIRECT(L$1&amp;"!"&amp;"c4:c27"),1,0)),"",$M4)</f>
        <v/>
      </c>
      <c r="M4" s="232">
        <f ca="1">COUNTIF(Teams!$4:$27,A4)</f>
        <v>1</v>
      </c>
      <c r="N4" s="233">
        <f ca="1">VLOOKUP(A4,Score!B:Z,25,0)</f>
        <v>35.005541049287807</v>
      </c>
    </row>
    <row r="5" spans="1:17" s="236" customFormat="1">
      <c r="A5" s="230" t="s">
        <v>87</v>
      </c>
      <c r="B5" s="231" t="str">
        <f ca="1">IF(ISERROR(VLOOKUP($A5,INDIRECT(B$1&amp;"!"&amp;"c4:c27"),1,0)),"",$M5)</f>
        <v/>
      </c>
      <c r="C5" s="231" t="str">
        <f ca="1">IF(ISERROR(VLOOKUP($A5,INDIRECT(C$1&amp;"!"&amp;"c4:c27"),1,0)),"",$M5)</f>
        <v/>
      </c>
      <c r="D5" s="231">
        <f ca="1">IF(ISERROR(VLOOKUP($A5,INDIRECT(D$1&amp;"!"&amp;"c4:c27"),1,0)),"",$M5)</f>
        <v>1</v>
      </c>
      <c r="E5" s="231" t="str">
        <f ca="1">IF(ISERROR(VLOOKUP($A5,INDIRECT(E$1&amp;"!"&amp;"c4:c27"),1,0)),"",$M5)</f>
        <v/>
      </c>
      <c r="F5" s="231" t="str">
        <f ca="1">IF(ISERROR(VLOOKUP($A5,INDIRECT(F$1&amp;"!"&amp;"c4:c27"),1,0)),"",$M5)</f>
        <v/>
      </c>
      <c r="G5" s="231" t="str">
        <f ca="1">IF(ISERROR(VLOOKUP($A5,INDIRECT(G$1&amp;"!"&amp;"c4:c27"),1,0)),"",$M5)</f>
        <v/>
      </c>
      <c r="H5" s="231" t="str">
        <f ca="1">IF(ISERROR(VLOOKUP($A5,INDIRECT(H$1&amp;"!"&amp;"c4:c27"),1,0)),"",$M5)</f>
        <v/>
      </c>
      <c r="I5" s="231" t="str">
        <f ca="1">IF(ISERROR(VLOOKUP($A5,INDIRECT(I$1&amp;"!"&amp;"c4:c27"),1,0)),"",$M5)</f>
        <v/>
      </c>
      <c r="J5" s="231" t="str">
        <f ca="1">IF(ISERROR(VLOOKUP($A5,INDIRECT(J$1&amp;"!"&amp;"c4:c27"),1,0)),"",$M5)</f>
        <v/>
      </c>
      <c r="K5" s="231" t="str">
        <f ca="1">IF(ISERROR(VLOOKUP($A5,INDIRECT(K$1&amp;"!"&amp;"c4:c27"),1,0)),"",$M5)</f>
        <v/>
      </c>
      <c r="L5" s="231" t="str">
        <f ca="1">IF(ISERROR(VLOOKUP($A5,INDIRECT(L$1&amp;"!"&amp;"c4:c27"),1,0)),"",$M5)</f>
        <v/>
      </c>
      <c r="M5" s="232">
        <f ca="1">COUNTIF(Teams!$4:$27,A5)</f>
        <v>1</v>
      </c>
      <c r="N5" s="233">
        <f ca="1">VLOOKUP(A5,Score!B:Z,25,0)</f>
        <v>245.01252352265149</v>
      </c>
    </row>
    <row r="6" spans="1:17" s="236" customFormat="1">
      <c r="A6" s="230" t="s">
        <v>195</v>
      </c>
      <c r="B6" s="231" t="str">
        <f ca="1">IF(ISERROR(VLOOKUP($A6,INDIRECT(B$1&amp;"!"&amp;"c4:c27"),1,0)),"",$M6)</f>
        <v/>
      </c>
      <c r="C6" s="231" t="str">
        <f ca="1">IF(ISERROR(VLOOKUP($A6,INDIRECT(C$1&amp;"!"&amp;"c4:c27"),1,0)),"",$M6)</f>
        <v/>
      </c>
      <c r="D6" s="231" t="str">
        <f ca="1">IF(ISERROR(VLOOKUP($A6,INDIRECT(D$1&amp;"!"&amp;"c4:c27"),1,0)),"",$M6)</f>
        <v/>
      </c>
      <c r="E6" s="231" t="str">
        <f ca="1">IF(ISERROR(VLOOKUP($A6,INDIRECT(E$1&amp;"!"&amp;"c4:c27"),1,0)),"",$M6)</f>
        <v/>
      </c>
      <c r="F6" s="231" t="str">
        <f ca="1">IF(ISERROR(VLOOKUP($A6,INDIRECT(F$1&amp;"!"&amp;"c4:c27"),1,0)),"",$M6)</f>
        <v/>
      </c>
      <c r="G6" s="231" t="str">
        <f ca="1">IF(ISERROR(VLOOKUP($A6,INDIRECT(G$1&amp;"!"&amp;"c4:c27"),1,0)),"",$M6)</f>
        <v/>
      </c>
      <c r="H6" s="231">
        <f ca="1">IF(ISERROR(VLOOKUP($A6,INDIRECT(H$1&amp;"!"&amp;"c4:c27"),1,0)),"",$M6)</f>
        <v>1</v>
      </c>
      <c r="I6" s="231" t="str">
        <f ca="1">IF(ISERROR(VLOOKUP($A6,INDIRECT(I$1&amp;"!"&amp;"c4:c27"),1,0)),"",$M6)</f>
        <v/>
      </c>
      <c r="J6" s="231" t="str">
        <f ca="1">IF(ISERROR(VLOOKUP($A6,INDIRECT(J$1&amp;"!"&amp;"c4:c27"),1,0)),"",$M6)</f>
        <v/>
      </c>
      <c r="K6" s="231" t="str">
        <f ca="1">IF(ISERROR(VLOOKUP($A6,INDIRECT(K$1&amp;"!"&amp;"c4:c27"),1,0)),"",$M6)</f>
        <v/>
      </c>
      <c r="L6" s="231" t="str">
        <f ca="1">IF(ISERROR(VLOOKUP($A6,INDIRECT(L$1&amp;"!"&amp;"c4:c27"),1,0)),"",$M6)</f>
        <v/>
      </c>
      <c r="M6" s="232">
        <f ca="1">COUNTIF(Teams!$4:$27,A6)</f>
        <v>1</v>
      </c>
      <c r="N6" s="233">
        <f ca="1">VLOOKUP(A6,Score!B:Z,25,0)</f>
        <v>149.07721842452361</v>
      </c>
    </row>
    <row r="7" spans="1:17" s="236" customFormat="1">
      <c r="A7" s="246" t="s">
        <v>74</v>
      </c>
      <c r="B7" s="238" t="str">
        <f ca="1">IF(ISERROR(VLOOKUP($A7,INDIRECT(B$1&amp;"!"&amp;"c4:c27"),1,0)),"",$M7)</f>
        <v/>
      </c>
      <c r="C7" s="238" t="str">
        <f ca="1">IF(ISERROR(VLOOKUP($A7,INDIRECT(C$1&amp;"!"&amp;"c4:c27"),1,0)),"",$M7)</f>
        <v/>
      </c>
      <c r="D7" s="238" t="str">
        <f ca="1">IF(ISERROR(VLOOKUP($A7,INDIRECT(D$1&amp;"!"&amp;"c4:c27"),1,0)),"",$M7)</f>
        <v/>
      </c>
      <c r="E7" s="238" t="str">
        <f ca="1">IF(ISERROR(VLOOKUP($A7,INDIRECT(E$1&amp;"!"&amp;"c4:c27"),1,0)),"",$M7)</f>
        <v/>
      </c>
      <c r="F7" s="238">
        <f ca="1">IF(ISERROR(VLOOKUP($A7,INDIRECT(F$1&amp;"!"&amp;"c4:c27"),1,0)),"",$M7)</f>
        <v>1</v>
      </c>
      <c r="G7" s="238" t="str">
        <f ca="1">IF(ISERROR(VLOOKUP($A7,INDIRECT(G$1&amp;"!"&amp;"c4:c27"),1,0)),"",$M7)</f>
        <v/>
      </c>
      <c r="H7" s="238" t="str">
        <f ca="1">IF(ISERROR(VLOOKUP($A7,INDIRECT(H$1&amp;"!"&amp;"c4:c27"),1,0)),"",$M7)</f>
        <v/>
      </c>
      <c r="I7" s="238" t="str">
        <f ca="1">IF(ISERROR(VLOOKUP($A7,INDIRECT(I$1&amp;"!"&amp;"c4:c27"),1,0)),"",$M7)</f>
        <v/>
      </c>
      <c r="J7" s="238" t="str">
        <f ca="1">IF(ISERROR(VLOOKUP($A7,INDIRECT(J$1&amp;"!"&amp;"c4:c27"),1,0)),"",$M7)</f>
        <v/>
      </c>
      <c r="K7" s="238" t="str">
        <f ca="1">IF(ISERROR(VLOOKUP($A7,INDIRECT(K$1&amp;"!"&amp;"c4:c27"),1,0)),"",$M7)</f>
        <v/>
      </c>
      <c r="L7" s="238" t="str">
        <f ca="1">IF(ISERROR(VLOOKUP($A7,INDIRECT(L$1&amp;"!"&amp;"c4:c27"),1,0)),"",$M7)</f>
        <v/>
      </c>
      <c r="M7" s="340">
        <f ca="1">COUNTIF(Teams!$4:$27,A7)</f>
        <v>1</v>
      </c>
      <c r="N7" s="341">
        <f ca="1">VLOOKUP(A7,Score!B:Z,25,0)</f>
        <v>118.04039311920802</v>
      </c>
    </row>
    <row r="8" spans="1:17" s="236" customFormat="1">
      <c r="A8" s="230" t="s">
        <v>124</v>
      </c>
      <c r="B8" s="231" t="str">
        <f ca="1">IF(ISERROR(VLOOKUP($A8,INDIRECT(B$1&amp;"!"&amp;"c4:c27"),1,0)),"",$M8)</f>
        <v/>
      </c>
      <c r="C8" s="231" t="str">
        <f ca="1">IF(ISERROR(VLOOKUP($A8,INDIRECT(C$1&amp;"!"&amp;"c4:c27"),1,0)),"",$M8)</f>
        <v/>
      </c>
      <c r="D8" s="231" t="str">
        <f ca="1">IF(ISERROR(VLOOKUP($A8,INDIRECT(D$1&amp;"!"&amp;"c4:c27"),1,0)),"",$M8)</f>
        <v/>
      </c>
      <c r="E8" s="231" t="str">
        <f ca="1">IF(ISERROR(VLOOKUP($A8,INDIRECT(E$1&amp;"!"&amp;"c4:c27"),1,0)),"",$M8)</f>
        <v/>
      </c>
      <c r="F8" s="231">
        <f ca="1">IF(ISERROR(VLOOKUP($A8,INDIRECT(F$1&amp;"!"&amp;"c4:c27"),1,0)),"",$M8)</f>
        <v>2</v>
      </c>
      <c r="G8" s="231" t="str">
        <f ca="1">IF(ISERROR(VLOOKUP($A8,INDIRECT(G$1&amp;"!"&amp;"c4:c27"),1,0)),"",$M8)</f>
        <v/>
      </c>
      <c r="H8" s="231" t="str">
        <f ca="1">IF(ISERROR(VLOOKUP($A8,INDIRECT(H$1&amp;"!"&amp;"c4:c27"),1,0)),"",$M8)</f>
        <v/>
      </c>
      <c r="I8" s="231" t="str">
        <f ca="1">IF(ISERROR(VLOOKUP($A8,INDIRECT(I$1&amp;"!"&amp;"c4:c27"),1,0)),"",$M8)</f>
        <v/>
      </c>
      <c r="J8" s="231" t="str">
        <f ca="1">IF(ISERROR(VLOOKUP($A8,INDIRECT(J$1&amp;"!"&amp;"c4:c27"),1,0)),"",$M8)</f>
        <v/>
      </c>
      <c r="K8" s="231">
        <f ca="1">IF(ISERROR(VLOOKUP($A8,INDIRECT(K$1&amp;"!"&amp;"c4:c27"),1,0)),"",$M8)</f>
        <v>2</v>
      </c>
      <c r="L8" s="231" t="str">
        <f ca="1">IF(ISERROR(VLOOKUP($A8,INDIRECT(L$1&amp;"!"&amp;"c4:c27"),1,0)),"",$M8)</f>
        <v/>
      </c>
      <c r="M8" s="232">
        <f ca="1">COUNTIF(Teams!$4:$27,A8)</f>
        <v>2</v>
      </c>
      <c r="N8" s="233">
        <f ca="1">VLOOKUP(A8,Score!B:Z,25,0)</f>
        <v>90.074849696441248</v>
      </c>
    </row>
    <row r="9" spans="1:17" s="236" customFormat="1">
      <c r="A9" s="230" t="s">
        <v>234</v>
      </c>
      <c r="B9" s="231" t="str">
        <f ca="1">IF(ISERROR(VLOOKUP($A9,INDIRECT(B$1&amp;"!"&amp;"c4:c27"),1,0)),"",$M9)</f>
        <v/>
      </c>
      <c r="C9" s="231" t="str">
        <f ca="1">IF(ISERROR(VLOOKUP($A9,INDIRECT(C$1&amp;"!"&amp;"c4:c27"),1,0)),"",$M9)</f>
        <v/>
      </c>
      <c r="D9" s="231" t="str">
        <f ca="1">IF(ISERROR(VLOOKUP($A9,INDIRECT(D$1&amp;"!"&amp;"c4:c27"),1,0)),"",$M9)</f>
        <v/>
      </c>
      <c r="E9" s="231" t="str">
        <f ca="1">IF(ISERROR(VLOOKUP($A9,INDIRECT(E$1&amp;"!"&amp;"c4:c27"),1,0)),"",$M9)</f>
        <v/>
      </c>
      <c r="F9" s="231" t="str">
        <f ca="1">IF(ISERROR(VLOOKUP($A9,INDIRECT(F$1&amp;"!"&amp;"c4:c27"),1,0)),"",$M9)</f>
        <v/>
      </c>
      <c r="G9" s="231" t="str">
        <f ca="1">IF(ISERROR(VLOOKUP($A9,INDIRECT(G$1&amp;"!"&amp;"c4:c27"),1,0)),"",$M9)</f>
        <v/>
      </c>
      <c r="H9" s="231" t="str">
        <f ca="1">IF(ISERROR(VLOOKUP($A9,INDIRECT(H$1&amp;"!"&amp;"c4:c27"),1,0)),"",$M9)</f>
        <v/>
      </c>
      <c r="I9" s="231" t="str">
        <f ca="1">IF(ISERROR(VLOOKUP($A9,INDIRECT(I$1&amp;"!"&amp;"c4:c27"),1,0)),"",$M9)</f>
        <v/>
      </c>
      <c r="J9" s="231">
        <f ca="1">IF(ISERROR(VLOOKUP($A9,INDIRECT(J$1&amp;"!"&amp;"c4:c27"),1,0)),"",$M9)</f>
        <v>2</v>
      </c>
      <c r="K9" s="231">
        <f ca="1">IF(ISERROR(VLOOKUP($A9,INDIRECT(K$1&amp;"!"&amp;"c4:c27"),1,0)),"",$M9)</f>
        <v>2</v>
      </c>
      <c r="L9" s="231" t="str">
        <f ca="1">IF(ISERROR(VLOOKUP($A9,INDIRECT(L$1&amp;"!"&amp;"c4:c27"),1,0)),"",$M9)</f>
        <v/>
      </c>
      <c r="M9" s="232">
        <f ca="1">COUNTIF(Teams!$4:$27,A9)</f>
        <v>2</v>
      </c>
      <c r="N9" s="233">
        <f ca="1">VLOOKUP(A9,Score!B:Z,25,0)</f>
        <v>1.3572573696846923E-2</v>
      </c>
    </row>
    <row r="10" spans="1:17" s="236" customFormat="1">
      <c r="A10" s="230" t="s">
        <v>243</v>
      </c>
      <c r="B10" s="231" t="str">
        <f ca="1">IF(ISERROR(VLOOKUP($A10,INDIRECT(B$1&amp;"!"&amp;"c4:c27"),1,0)),"",$M10)</f>
        <v/>
      </c>
      <c r="C10" s="231" t="str">
        <f ca="1">IF(ISERROR(VLOOKUP($A10,INDIRECT(C$1&amp;"!"&amp;"c4:c27"),1,0)),"",$M10)</f>
        <v/>
      </c>
      <c r="D10" s="231" t="str">
        <f ca="1">IF(ISERROR(VLOOKUP($A10,INDIRECT(D$1&amp;"!"&amp;"c4:c27"),1,0)),"",$M10)</f>
        <v/>
      </c>
      <c r="E10" s="231" t="str">
        <f ca="1">IF(ISERROR(VLOOKUP($A10,INDIRECT(E$1&amp;"!"&amp;"c4:c27"),1,0)),"",$M10)</f>
        <v/>
      </c>
      <c r="F10" s="231" t="str">
        <f ca="1">IF(ISERROR(VLOOKUP($A10,INDIRECT(F$1&amp;"!"&amp;"c4:c27"),1,0)),"",$M10)</f>
        <v/>
      </c>
      <c r="G10" s="231" t="str">
        <f ca="1">IF(ISERROR(VLOOKUP($A10,INDIRECT(G$1&amp;"!"&amp;"c4:c27"),1,0)),"",$M10)</f>
        <v/>
      </c>
      <c r="H10" s="231" t="str">
        <f ca="1">IF(ISERROR(VLOOKUP($A10,INDIRECT(H$1&amp;"!"&amp;"c4:c27"),1,0)),"",$M10)</f>
        <v/>
      </c>
      <c r="I10" s="231">
        <f ca="1">IF(ISERROR(VLOOKUP($A10,INDIRECT(I$1&amp;"!"&amp;"c4:c27"),1,0)),"",$M10)</f>
        <v>2</v>
      </c>
      <c r="J10" s="231" t="str">
        <f ca="1">IF(ISERROR(VLOOKUP($A10,INDIRECT(J$1&amp;"!"&amp;"c4:c27"),1,0)),"",$M10)</f>
        <v/>
      </c>
      <c r="K10" s="231">
        <f ca="1">IF(ISERROR(VLOOKUP($A10,INDIRECT(K$1&amp;"!"&amp;"c4:c27"),1,0)),"",$M10)</f>
        <v>2</v>
      </c>
      <c r="L10" s="231" t="str">
        <f ca="1">IF(ISERROR(VLOOKUP($A10,INDIRECT(L$1&amp;"!"&amp;"c4:c27"),1,0)),"",$M10)</f>
        <v/>
      </c>
      <c r="M10" s="232">
        <f ca="1">COUNTIF(Teams!$4:$27,A10)</f>
        <v>2</v>
      </c>
      <c r="N10" s="233">
        <f ca="1">VLOOKUP(A10,Score!B:Z,25,0)</f>
        <v>5.7275288045816495E-3</v>
      </c>
    </row>
    <row r="11" spans="1:17" s="236" customFormat="1">
      <c r="A11" s="230" t="s">
        <v>221</v>
      </c>
      <c r="B11" s="231" t="str">
        <f ca="1">IF(ISERROR(VLOOKUP($A11,INDIRECT(B$1&amp;"!"&amp;"c4:c27"),1,0)),"",$M11)</f>
        <v/>
      </c>
      <c r="C11" s="231" t="str">
        <f ca="1">IF(ISERROR(VLOOKUP($A11,INDIRECT(C$1&amp;"!"&amp;"c4:c27"),1,0)),"",$M11)</f>
        <v/>
      </c>
      <c r="D11" s="231" t="str">
        <f ca="1">IF(ISERROR(VLOOKUP($A11,INDIRECT(D$1&amp;"!"&amp;"c4:c27"),1,0)),"",$M11)</f>
        <v/>
      </c>
      <c r="E11" s="231" t="str">
        <f ca="1">IF(ISERROR(VLOOKUP($A11,INDIRECT(E$1&amp;"!"&amp;"c4:c27"),1,0)),"",$M11)</f>
        <v/>
      </c>
      <c r="F11" s="231" t="str">
        <f ca="1">IF(ISERROR(VLOOKUP($A11,INDIRECT(F$1&amp;"!"&amp;"c4:c27"),1,0)),"",$M11)</f>
        <v/>
      </c>
      <c r="G11" s="231">
        <f ca="1">IF(ISERROR(VLOOKUP($A11,INDIRECT(G$1&amp;"!"&amp;"c4:c27"),1,0)),"",$M11)</f>
        <v>2</v>
      </c>
      <c r="H11" s="231" t="str">
        <f ca="1">IF(ISERROR(VLOOKUP($A11,INDIRECT(H$1&amp;"!"&amp;"c4:c27"),1,0)),"",$M11)</f>
        <v/>
      </c>
      <c r="I11" s="231" t="str">
        <f ca="1">IF(ISERROR(VLOOKUP($A11,INDIRECT(I$1&amp;"!"&amp;"c4:c27"),1,0)),"",$M11)</f>
        <v/>
      </c>
      <c r="J11" s="231" t="str">
        <f ca="1">IF(ISERROR(VLOOKUP($A11,INDIRECT(J$1&amp;"!"&amp;"c4:c27"),1,0)),"",$M11)</f>
        <v/>
      </c>
      <c r="K11" s="231" t="str">
        <f ca="1">IF(ISERROR(VLOOKUP($A11,INDIRECT(K$1&amp;"!"&amp;"c4:c27"),1,0)),"",$M11)</f>
        <v/>
      </c>
      <c r="L11" s="231">
        <f ca="1">IF(ISERROR(VLOOKUP($A11,INDIRECT(L$1&amp;"!"&amp;"c4:c27"),1,0)),"",$M11)</f>
        <v>2</v>
      </c>
      <c r="M11" s="232">
        <f ca="1">COUNTIF(Teams!$4:$27,A11)</f>
        <v>2</v>
      </c>
      <c r="N11" s="233">
        <f ca="1">VLOOKUP(A11,Score!B:Z,25,0)</f>
        <v>71.022776523247785</v>
      </c>
    </row>
    <row r="12" spans="1:17" s="236" customFormat="1">
      <c r="A12" s="230" t="s">
        <v>93</v>
      </c>
      <c r="B12" s="231" t="str">
        <f ca="1">IF(ISERROR(VLOOKUP($A12,INDIRECT(B$1&amp;"!"&amp;"c4:c27"),1,0)),"",$M12)</f>
        <v/>
      </c>
      <c r="C12" s="231" t="str">
        <f ca="1">IF(ISERROR(VLOOKUP($A12,INDIRECT(C$1&amp;"!"&amp;"c4:c27"),1,0)),"",$M12)</f>
        <v/>
      </c>
      <c r="D12" s="231" t="str">
        <f ca="1">IF(ISERROR(VLOOKUP($A12,INDIRECT(D$1&amp;"!"&amp;"c4:c27"),1,0)),"",$M12)</f>
        <v/>
      </c>
      <c r="E12" s="231">
        <f ca="1">IF(ISERROR(VLOOKUP($A12,INDIRECT(E$1&amp;"!"&amp;"c4:c27"),1,0)),"",$M12)</f>
        <v>2</v>
      </c>
      <c r="F12" s="231" t="str">
        <f ca="1">IF(ISERROR(VLOOKUP($A12,INDIRECT(F$1&amp;"!"&amp;"c4:c27"),1,0)),"",$M12)</f>
        <v/>
      </c>
      <c r="G12" s="231" t="str">
        <f ca="1">IF(ISERROR(VLOOKUP($A12,INDIRECT(G$1&amp;"!"&amp;"c4:c27"),1,0)),"",$M12)</f>
        <v/>
      </c>
      <c r="H12" s="231" t="str">
        <f ca="1">IF(ISERROR(VLOOKUP($A12,INDIRECT(H$1&amp;"!"&amp;"c4:c27"),1,0)),"",$M12)</f>
        <v/>
      </c>
      <c r="I12" s="231" t="str">
        <f ca="1">IF(ISERROR(VLOOKUP($A12,INDIRECT(I$1&amp;"!"&amp;"c4:c27"),1,0)),"",$M12)</f>
        <v/>
      </c>
      <c r="J12" s="231">
        <f ca="1">IF(ISERROR(VLOOKUP($A12,INDIRECT(J$1&amp;"!"&amp;"c4:c27"),1,0)),"",$M12)</f>
        <v>2</v>
      </c>
      <c r="K12" s="231" t="str">
        <f ca="1">IF(ISERROR(VLOOKUP($A12,INDIRECT(K$1&amp;"!"&amp;"c4:c27"),1,0)),"",$M12)</f>
        <v/>
      </c>
      <c r="L12" s="231" t="str">
        <f ca="1">IF(ISERROR(VLOOKUP($A12,INDIRECT(L$1&amp;"!"&amp;"c4:c27"),1,0)),"",$M12)</f>
        <v/>
      </c>
      <c r="M12" s="232">
        <f ca="1">COUNTIF(Teams!$4:$27,A12)</f>
        <v>2</v>
      </c>
      <c r="N12" s="233">
        <f ca="1">VLOOKUP(A12,Score!B:Z,25,0)</f>
        <v>142.08189094839477</v>
      </c>
    </row>
    <row r="13" spans="1:17" s="236" customFormat="1">
      <c r="A13" s="230" t="s">
        <v>176</v>
      </c>
      <c r="B13" s="231" t="str">
        <f ca="1">IF(ISERROR(VLOOKUP($A13,INDIRECT(B$1&amp;"!"&amp;"c4:c27"),1,0)),"",$M13)</f>
        <v/>
      </c>
      <c r="C13" s="231" t="str">
        <f ca="1">IF(ISERROR(VLOOKUP($A13,INDIRECT(C$1&amp;"!"&amp;"c4:c27"),1,0)),"",$M13)</f>
        <v/>
      </c>
      <c r="D13" s="231" t="str">
        <f ca="1">IF(ISERROR(VLOOKUP($A13,INDIRECT(D$1&amp;"!"&amp;"c4:c27"),1,0)),"",$M13)</f>
        <v/>
      </c>
      <c r="E13" s="231" t="str">
        <f ca="1">IF(ISERROR(VLOOKUP($A13,INDIRECT(E$1&amp;"!"&amp;"c4:c27"),1,0)),"",$M13)</f>
        <v/>
      </c>
      <c r="F13" s="231" t="str">
        <f ca="1">IF(ISERROR(VLOOKUP($A13,INDIRECT(F$1&amp;"!"&amp;"c4:c27"),1,0)),"",$M13)</f>
        <v/>
      </c>
      <c r="G13" s="231" t="str">
        <f ca="1">IF(ISERROR(VLOOKUP($A13,INDIRECT(G$1&amp;"!"&amp;"c4:c27"),1,0)),"",$M13)</f>
        <v/>
      </c>
      <c r="H13" s="231" t="str">
        <f ca="1">IF(ISERROR(VLOOKUP($A13,INDIRECT(H$1&amp;"!"&amp;"c4:c27"),1,0)),"",$M13)</f>
        <v/>
      </c>
      <c r="I13" s="231" t="str">
        <f ca="1">IF(ISERROR(VLOOKUP($A13,INDIRECT(I$1&amp;"!"&amp;"c4:c27"),1,0)),"",$M13)</f>
        <v/>
      </c>
      <c r="J13" s="231">
        <f ca="1">IF(ISERROR(VLOOKUP($A13,INDIRECT(J$1&amp;"!"&amp;"c4:c27"),1,0)),"",$M13)</f>
        <v>2</v>
      </c>
      <c r="K13" s="231" t="str">
        <f ca="1">IF(ISERROR(VLOOKUP($A13,INDIRECT(K$1&amp;"!"&amp;"c4:c27"),1,0)),"",$M13)</f>
        <v/>
      </c>
      <c r="L13" s="231" t="str">
        <f ca="1">IF(ISERROR(VLOOKUP($A13,INDIRECT(L$1&amp;"!"&amp;"c4:c27"),1,0)),"",$M13)</f>
        <v/>
      </c>
      <c r="M13" s="232">
        <f ca="1">COUNTIF(Teams!$4:$27,A13)</f>
        <v>2</v>
      </c>
      <c r="N13" s="233">
        <f ca="1">VLOOKUP(A13,Score!B:Z,25,0)</f>
        <v>9.1890741103038739E-3</v>
      </c>
    </row>
    <row r="14" spans="1:17" s="236" customFormat="1">
      <c r="A14" s="230" t="s">
        <v>197</v>
      </c>
      <c r="B14" s="231" t="str">
        <f ca="1">IF(ISERROR(VLOOKUP($A14,INDIRECT(B$1&amp;"!"&amp;"c4:c27"),1,0)),"",$M14)</f>
        <v/>
      </c>
      <c r="C14" s="231" t="str">
        <f ca="1">IF(ISERROR(VLOOKUP($A14,INDIRECT(C$1&amp;"!"&amp;"c4:c27"),1,0)),"",$M14)</f>
        <v/>
      </c>
      <c r="D14" s="231" t="str">
        <f ca="1">IF(ISERROR(VLOOKUP($A14,INDIRECT(D$1&amp;"!"&amp;"c4:c27"),1,0)),"",$M14)</f>
        <v/>
      </c>
      <c r="E14" s="231" t="str">
        <f ca="1">IF(ISERROR(VLOOKUP($A14,INDIRECT(E$1&amp;"!"&amp;"c4:c27"),1,0)),"",$M14)</f>
        <v/>
      </c>
      <c r="F14" s="231" t="str">
        <f ca="1">IF(ISERROR(VLOOKUP($A14,INDIRECT(F$1&amp;"!"&amp;"c4:c27"),1,0)),"",$M14)</f>
        <v/>
      </c>
      <c r="G14" s="231" t="str">
        <f ca="1">IF(ISERROR(VLOOKUP($A14,INDIRECT(G$1&amp;"!"&amp;"c4:c27"),1,0)),"",$M14)</f>
        <v/>
      </c>
      <c r="H14" s="231">
        <f ca="1">IF(ISERROR(VLOOKUP($A14,INDIRECT(H$1&amp;"!"&amp;"c4:c27"),1,0)),"",$M14)</f>
        <v>2</v>
      </c>
      <c r="I14" s="231" t="str">
        <f ca="1">IF(ISERROR(VLOOKUP($A14,INDIRECT(I$1&amp;"!"&amp;"c4:c27"),1,0)),"",$M14)</f>
        <v/>
      </c>
      <c r="J14" s="231" t="str">
        <f ca="1">IF(ISERROR(VLOOKUP($A14,INDIRECT(J$1&amp;"!"&amp;"c4:c27"),1,0)),"",$M14)</f>
        <v/>
      </c>
      <c r="K14" s="231" t="str">
        <f ca="1">IF(ISERROR(VLOOKUP($A14,INDIRECT(K$1&amp;"!"&amp;"c4:c27"),1,0)),"",$M14)</f>
        <v/>
      </c>
      <c r="L14" s="231">
        <f ca="1">IF(ISERROR(VLOOKUP($A14,INDIRECT(L$1&amp;"!"&amp;"c4:c27"),1,0)),"",$M14)</f>
        <v>2</v>
      </c>
      <c r="M14" s="232">
        <f ca="1">COUNTIF(Teams!$4:$27,A14)</f>
        <v>2</v>
      </c>
      <c r="N14" s="233">
        <f ca="1">VLOOKUP(A14,Score!B:Z,25,0)</f>
        <v>143.06287475043627</v>
      </c>
    </row>
    <row r="15" spans="1:17" s="269" customFormat="1">
      <c r="A15" s="246" t="s">
        <v>122</v>
      </c>
      <c r="B15" s="238" t="str">
        <f ca="1">IF(ISERROR(VLOOKUP($A15,INDIRECT(B$1&amp;"!"&amp;"c4:c27"),1,0)),"",$M15)</f>
        <v/>
      </c>
      <c r="C15" s="238">
        <f ca="1">IF(ISERROR(VLOOKUP($A15,INDIRECT(C$1&amp;"!"&amp;"c4:c27"),1,0)),"",$M15)</f>
        <v>2</v>
      </c>
      <c r="D15" s="238" t="str">
        <f ca="1">IF(ISERROR(VLOOKUP($A15,INDIRECT(D$1&amp;"!"&amp;"c4:c27"),1,0)),"",$M15)</f>
        <v/>
      </c>
      <c r="E15" s="238" t="str">
        <f ca="1">IF(ISERROR(VLOOKUP($A15,INDIRECT(E$1&amp;"!"&amp;"c4:c27"),1,0)),"",$M15)</f>
        <v/>
      </c>
      <c r="F15" s="238" t="str">
        <f ca="1">IF(ISERROR(VLOOKUP($A15,INDIRECT(F$1&amp;"!"&amp;"c4:c27"),1,0)),"",$M15)</f>
        <v/>
      </c>
      <c r="G15" s="238" t="str">
        <f ca="1">IF(ISERROR(VLOOKUP($A15,INDIRECT(G$1&amp;"!"&amp;"c4:c27"),1,0)),"",$M15)</f>
        <v/>
      </c>
      <c r="H15" s="238" t="str">
        <f ca="1">IF(ISERROR(VLOOKUP($A15,INDIRECT(H$1&amp;"!"&amp;"c4:c27"),1,0)),"",$M15)</f>
        <v/>
      </c>
      <c r="I15" s="238" t="str">
        <f ca="1">IF(ISERROR(VLOOKUP($A15,INDIRECT(I$1&amp;"!"&amp;"c4:c27"),1,0)),"",$M15)</f>
        <v/>
      </c>
      <c r="J15" s="238" t="str">
        <f ca="1">IF(ISERROR(VLOOKUP($A15,INDIRECT(J$1&amp;"!"&amp;"c4:c27"),1,0)),"",$M15)</f>
        <v/>
      </c>
      <c r="K15" s="238" t="str">
        <f ca="1">IF(ISERROR(VLOOKUP($A15,INDIRECT(K$1&amp;"!"&amp;"c4:c27"),1,0)),"",$M15)</f>
        <v/>
      </c>
      <c r="L15" s="238">
        <f ca="1">IF(ISERROR(VLOOKUP($A15,INDIRECT(L$1&amp;"!"&amp;"c4:c27"),1,0)),"",$M15)</f>
        <v>2</v>
      </c>
      <c r="M15" s="340">
        <f ca="1">COUNTIF(Teams!$4:$27,A15)</f>
        <v>2</v>
      </c>
      <c r="N15" s="341">
        <f ca="1">VLOOKUP(A15,Score!B:Z,25,0)</f>
        <v>206.00968564002864</v>
      </c>
      <c r="O15" s="236"/>
      <c r="P15" s="236"/>
      <c r="Q15" s="236"/>
    </row>
    <row r="16" spans="1:17" s="236" customFormat="1">
      <c r="A16" s="230" t="s">
        <v>104</v>
      </c>
      <c r="B16" s="231" t="str">
        <f ca="1">IF(ISERROR(VLOOKUP($A16,INDIRECT(B$1&amp;"!"&amp;"c4:c27"),1,0)),"",$M16)</f>
        <v/>
      </c>
      <c r="C16" s="231" t="str">
        <f ca="1">IF(ISERROR(VLOOKUP($A16,INDIRECT(C$1&amp;"!"&amp;"c4:c27"),1,0)),"",$M16)</f>
        <v/>
      </c>
      <c r="D16" s="231" t="str">
        <f ca="1">IF(ISERROR(VLOOKUP($A16,INDIRECT(D$1&amp;"!"&amp;"c4:c27"),1,0)),"",$M16)</f>
        <v/>
      </c>
      <c r="E16" s="231">
        <f ca="1">IF(ISERROR(VLOOKUP($A16,INDIRECT(E$1&amp;"!"&amp;"c4:c27"),1,0)),"",$M16)</f>
        <v>3</v>
      </c>
      <c r="F16" s="231" t="str">
        <f ca="1">IF(ISERROR(VLOOKUP($A16,INDIRECT(F$1&amp;"!"&amp;"c4:c27"),1,0)),"",$M16)</f>
        <v/>
      </c>
      <c r="G16" s="231">
        <f ca="1">IF(ISERROR(VLOOKUP($A16,INDIRECT(G$1&amp;"!"&amp;"c4:c27"),1,0)),"",$M16)</f>
        <v>3</v>
      </c>
      <c r="H16" s="231" t="str">
        <f ca="1">IF(ISERROR(VLOOKUP($A16,INDIRECT(H$1&amp;"!"&amp;"c4:c27"),1,0)),"",$M16)</f>
        <v/>
      </c>
      <c r="I16" s="231" t="str">
        <f ca="1">IF(ISERROR(VLOOKUP($A16,INDIRECT(I$1&amp;"!"&amp;"c4:c27"),1,0)),"",$M16)</f>
        <v/>
      </c>
      <c r="J16" s="231" t="str">
        <f ca="1">IF(ISERROR(VLOOKUP($A16,INDIRECT(J$1&amp;"!"&amp;"c4:c27"),1,0)),"",$M16)</f>
        <v/>
      </c>
      <c r="K16" s="231">
        <f ca="1">IF(ISERROR(VLOOKUP($A16,INDIRECT(K$1&amp;"!"&amp;"c4:c27"),1,0)),"",$M16)</f>
        <v>3</v>
      </c>
      <c r="L16" s="231" t="str">
        <f ca="1">IF(ISERROR(VLOOKUP($A16,INDIRECT(L$1&amp;"!"&amp;"c4:c27"),1,0)),"",$M16)</f>
        <v/>
      </c>
      <c r="M16" s="232">
        <f ca="1">COUNTIF(Teams!$4:$27,A16)</f>
        <v>3</v>
      </c>
      <c r="N16" s="233">
        <f ca="1">VLOOKUP(A16,Score!B:Z,25,0)</f>
        <v>191.09021765919366</v>
      </c>
      <c r="O16" s="269"/>
      <c r="P16" s="269"/>
      <c r="Q16" s="269"/>
    </row>
    <row r="17" spans="1:17" s="269" customFormat="1">
      <c r="A17" s="230" t="s">
        <v>53</v>
      </c>
      <c r="B17" s="231">
        <f ca="1">IF(ISERROR(VLOOKUP($A17,INDIRECT(B$1&amp;"!"&amp;"c4:c27"),1,0)),"",$M17)</f>
        <v>3</v>
      </c>
      <c r="C17" s="231" t="str">
        <f ca="1">IF(ISERROR(VLOOKUP($A17,INDIRECT(C$1&amp;"!"&amp;"c4:c27"),1,0)),"",$M17)</f>
        <v/>
      </c>
      <c r="D17" s="231" t="str">
        <f ca="1">IF(ISERROR(VLOOKUP($A17,INDIRECT(D$1&amp;"!"&amp;"c4:c27"),1,0)),"",$M17)</f>
        <v/>
      </c>
      <c r="E17" s="231" t="str">
        <f ca="1">IF(ISERROR(VLOOKUP($A17,INDIRECT(E$1&amp;"!"&amp;"c4:c27"),1,0)),"",$M17)</f>
        <v/>
      </c>
      <c r="F17" s="231" t="str">
        <f ca="1">IF(ISERROR(VLOOKUP($A17,INDIRECT(F$1&amp;"!"&amp;"c4:c27"),1,0)),"",$M17)</f>
        <v/>
      </c>
      <c r="G17" s="231" t="str">
        <f ca="1">IF(ISERROR(VLOOKUP($A17,INDIRECT(G$1&amp;"!"&amp;"c4:c27"),1,0)),"",$M17)</f>
        <v/>
      </c>
      <c r="H17" s="231" t="str">
        <f ca="1">IF(ISERROR(VLOOKUP($A17,INDIRECT(H$1&amp;"!"&amp;"c4:c27"),1,0)),"",$M17)</f>
        <v/>
      </c>
      <c r="I17" s="231">
        <f ca="1">IF(ISERROR(VLOOKUP($A17,INDIRECT(I$1&amp;"!"&amp;"c4:c27"),1,0)),"",$M17)</f>
        <v>3</v>
      </c>
      <c r="J17" s="231" t="str">
        <f ca="1">IF(ISERROR(VLOOKUP($A17,INDIRECT(J$1&amp;"!"&amp;"c4:c27"),1,0)),"",$M17)</f>
        <v/>
      </c>
      <c r="K17" s="231" t="str">
        <f ca="1">IF(ISERROR(VLOOKUP($A17,INDIRECT(K$1&amp;"!"&amp;"c4:c27"),1,0)),"",$M17)</f>
        <v/>
      </c>
      <c r="L17" s="231">
        <f ca="1">IF(ISERROR(VLOOKUP($A17,INDIRECT(L$1&amp;"!"&amp;"c4:c27"),1,0)),"",$M17)</f>
        <v>3</v>
      </c>
      <c r="M17" s="232">
        <f ca="1">COUNTIF(Teams!$4:$27,A17)</f>
        <v>3</v>
      </c>
      <c r="N17" s="233">
        <f ca="1">VLOOKUP(A17,Score!B:Z,25,0)</f>
        <v>79.077841004680081</v>
      </c>
      <c r="O17" s="236"/>
      <c r="P17" s="236"/>
      <c r="Q17" s="236"/>
    </row>
    <row r="18" spans="1:17" s="236" customFormat="1">
      <c r="A18" s="230" t="s">
        <v>211</v>
      </c>
      <c r="B18" s="231" t="str">
        <f ca="1">IF(ISERROR(VLOOKUP($A18,INDIRECT(B$1&amp;"!"&amp;"c4:c27"),1,0)),"",$M18)</f>
        <v/>
      </c>
      <c r="C18" s="231" t="str">
        <f ca="1">IF(ISERROR(VLOOKUP($A18,INDIRECT(C$1&amp;"!"&amp;"c4:c27"),1,0)),"",$M18)</f>
        <v/>
      </c>
      <c r="D18" s="231" t="str">
        <f ca="1">IF(ISERROR(VLOOKUP($A18,INDIRECT(D$1&amp;"!"&amp;"c4:c27"),1,0)),"",$M18)</f>
        <v/>
      </c>
      <c r="E18" s="231">
        <f ca="1">IF(ISERROR(VLOOKUP($A18,INDIRECT(E$1&amp;"!"&amp;"c4:c27"),1,0)),"",$M18)</f>
        <v>3</v>
      </c>
      <c r="F18" s="231" t="str">
        <f ca="1">IF(ISERROR(VLOOKUP($A18,INDIRECT(F$1&amp;"!"&amp;"c4:c27"),1,0)),"",$M18)</f>
        <v/>
      </c>
      <c r="G18" s="231">
        <f ca="1">IF(ISERROR(VLOOKUP($A18,INDIRECT(G$1&amp;"!"&amp;"c4:c27"),1,0)),"",$M18)</f>
        <v>3</v>
      </c>
      <c r="H18" s="231" t="str">
        <f ca="1">IF(ISERROR(VLOOKUP($A18,INDIRECT(H$1&amp;"!"&amp;"c4:c27"),1,0)),"",$M18)</f>
        <v/>
      </c>
      <c r="I18" s="231">
        <f ca="1">IF(ISERROR(VLOOKUP($A18,INDIRECT(I$1&amp;"!"&amp;"c4:c27"),1,0)),"",$M18)</f>
        <v>3</v>
      </c>
      <c r="J18" s="231" t="str">
        <f ca="1">IF(ISERROR(VLOOKUP($A18,INDIRECT(J$1&amp;"!"&amp;"c4:c27"),1,0)),"",$M18)</f>
        <v/>
      </c>
      <c r="K18" s="231" t="str">
        <f ca="1">IF(ISERROR(VLOOKUP($A18,INDIRECT(K$1&amp;"!"&amp;"c4:c27"),1,0)),"",$M18)</f>
        <v/>
      </c>
      <c r="L18" s="231" t="str">
        <f ca="1">IF(ISERROR(VLOOKUP($A18,INDIRECT(L$1&amp;"!"&amp;"c4:c27"),1,0)),"",$M18)</f>
        <v/>
      </c>
      <c r="M18" s="232">
        <f ca="1">COUNTIF(Teams!$4:$27,A18)</f>
        <v>3</v>
      </c>
      <c r="N18" s="233">
        <f ca="1">VLOOKUP(A18,Score!B:Z,25,0)</f>
        <v>24.035201472053451</v>
      </c>
    </row>
    <row r="19" spans="1:17" s="236" customFormat="1">
      <c r="A19" s="246" t="s">
        <v>178</v>
      </c>
      <c r="B19" s="238" t="str">
        <f ca="1">IF(ISERROR(VLOOKUP($A19,INDIRECT(B$1&amp;"!"&amp;"c4:c27"),1,0)),"",$M19)</f>
        <v/>
      </c>
      <c r="C19" s="238">
        <f ca="1">IF(ISERROR(VLOOKUP($A19,INDIRECT(C$1&amp;"!"&amp;"c4:c27"),1,0)),"",$M19)</f>
        <v>3</v>
      </c>
      <c r="D19" s="238" t="str">
        <f ca="1">IF(ISERROR(VLOOKUP($A19,INDIRECT(D$1&amp;"!"&amp;"c4:c27"),1,0)),"",$M19)</f>
        <v/>
      </c>
      <c r="E19" s="238" t="str">
        <f ca="1">IF(ISERROR(VLOOKUP($A19,INDIRECT(E$1&amp;"!"&amp;"c4:c27"),1,0)),"",$M19)</f>
        <v/>
      </c>
      <c r="F19" s="238" t="str">
        <f ca="1">IF(ISERROR(VLOOKUP($A19,INDIRECT(F$1&amp;"!"&amp;"c4:c27"),1,0)),"",$M19)</f>
        <v/>
      </c>
      <c r="G19" s="238" t="str">
        <f ca="1">IF(ISERROR(VLOOKUP($A19,INDIRECT(G$1&amp;"!"&amp;"c4:c27"),1,0)),"",$M19)</f>
        <v/>
      </c>
      <c r="H19" s="238" t="str">
        <f ca="1">IF(ISERROR(VLOOKUP($A19,INDIRECT(H$1&amp;"!"&amp;"c4:c27"),1,0)),"",$M19)</f>
        <v/>
      </c>
      <c r="I19" s="238">
        <f ca="1">IF(ISERROR(VLOOKUP($A19,INDIRECT(I$1&amp;"!"&amp;"c4:c27"),1,0)),"",$M19)</f>
        <v>3</v>
      </c>
      <c r="J19" s="238">
        <f ca="1">IF(ISERROR(VLOOKUP($A19,INDIRECT(J$1&amp;"!"&amp;"c4:c27"),1,0)),"",$M19)</f>
        <v>3</v>
      </c>
      <c r="K19" s="238" t="str">
        <f ca="1">IF(ISERROR(VLOOKUP($A19,INDIRECT(K$1&amp;"!"&amp;"c4:c27"),1,0)),"",$M19)</f>
        <v/>
      </c>
      <c r="L19" s="238" t="str">
        <f ca="1">IF(ISERROR(VLOOKUP($A19,INDIRECT(L$1&amp;"!"&amp;"c4:c27"),1,0)),"",$M19)</f>
        <v/>
      </c>
      <c r="M19" s="340">
        <f ca="1">COUNTIF(Teams!$4:$27,A19)</f>
        <v>3</v>
      </c>
      <c r="N19" s="341">
        <f ca="1">VLOOKUP(A19,Score!B:Z,25,0)</f>
        <v>92.01964497871991</v>
      </c>
    </row>
    <row r="20" spans="1:17" s="236" customFormat="1">
      <c r="A20" s="246" t="s">
        <v>212</v>
      </c>
      <c r="B20" s="238" t="str">
        <f ca="1">IF(ISERROR(VLOOKUP($A20,INDIRECT(B$1&amp;"!"&amp;"c4:c27"),1,0)),"",$M20)</f>
        <v/>
      </c>
      <c r="C20" s="238" t="str">
        <f ca="1">IF(ISERROR(VLOOKUP($A20,INDIRECT(C$1&amp;"!"&amp;"c4:c27"),1,0)),"",$M20)</f>
        <v/>
      </c>
      <c r="D20" s="238">
        <f ca="1">IF(ISERROR(VLOOKUP($A20,INDIRECT(D$1&amp;"!"&amp;"c4:c27"),1,0)),"",$M20)</f>
        <v>4</v>
      </c>
      <c r="E20" s="238" t="str">
        <f ca="1">IF(ISERROR(VLOOKUP($A20,INDIRECT(E$1&amp;"!"&amp;"c4:c27"),1,0)),"",$M20)</f>
        <v/>
      </c>
      <c r="F20" s="238">
        <f ca="1">IF(ISERROR(VLOOKUP($A20,INDIRECT(F$1&amp;"!"&amp;"c4:c27"),1,0)),"",$M20)</f>
        <v>4</v>
      </c>
      <c r="G20" s="238">
        <f ca="1">IF(ISERROR(VLOOKUP($A20,INDIRECT(G$1&amp;"!"&amp;"c4:c27"),1,0)),"",$M20)</f>
        <v>4</v>
      </c>
      <c r="H20" s="238" t="str">
        <f ca="1">IF(ISERROR(VLOOKUP($A20,INDIRECT(H$1&amp;"!"&amp;"c4:c27"),1,0)),"",$M20)</f>
        <v/>
      </c>
      <c r="I20" s="238" t="str">
        <f ca="1">IF(ISERROR(VLOOKUP($A20,INDIRECT(I$1&amp;"!"&amp;"c4:c27"),1,0)),"",$M20)</f>
        <v/>
      </c>
      <c r="J20" s="238" t="str">
        <f ca="1">IF(ISERROR(VLOOKUP($A20,INDIRECT(J$1&amp;"!"&amp;"c4:c27"),1,0)),"",$M20)</f>
        <v/>
      </c>
      <c r="K20" s="238" t="str">
        <f ca="1">IF(ISERROR(VLOOKUP($A20,INDIRECT(K$1&amp;"!"&amp;"c4:c27"),1,0)),"",$M20)</f>
        <v/>
      </c>
      <c r="L20" s="238">
        <f ca="1">IF(ISERROR(VLOOKUP($A20,INDIRECT(L$1&amp;"!"&amp;"c4:c27"),1,0)),"",$M20)</f>
        <v>4</v>
      </c>
      <c r="M20" s="340">
        <f ca="1">COUNTIF(Teams!$4:$27,A20)</f>
        <v>4</v>
      </c>
      <c r="N20" s="341">
        <f ca="1">VLOOKUP(A20,Score!B:Z,25,0)</f>
        <v>89.073675316627188</v>
      </c>
      <c r="O20" s="307"/>
      <c r="P20" s="307"/>
      <c r="Q20" s="307"/>
    </row>
    <row r="21" spans="1:17" s="236" customFormat="1">
      <c r="A21" s="230" t="s">
        <v>151</v>
      </c>
      <c r="B21" s="231">
        <f ca="1">IF(ISERROR(VLOOKUP($A21,INDIRECT(B$1&amp;"!"&amp;"c4:c27"),1,0)),"",$M21)</f>
        <v>5</v>
      </c>
      <c r="C21" s="231">
        <f ca="1">IF(ISERROR(VLOOKUP($A21,INDIRECT(C$1&amp;"!"&amp;"c4:c27"),1,0)),"",$M21)</f>
        <v>5</v>
      </c>
      <c r="D21" s="231">
        <f ca="1">IF(ISERROR(VLOOKUP($A21,INDIRECT(D$1&amp;"!"&amp;"c4:c27"),1,0)),"",$M21)</f>
        <v>5</v>
      </c>
      <c r="E21" s="231" t="str">
        <f ca="1">IF(ISERROR(VLOOKUP($A21,INDIRECT(E$1&amp;"!"&amp;"c4:c27"),1,0)),"",$M21)</f>
        <v/>
      </c>
      <c r="F21" s="231" t="str">
        <f ca="1">IF(ISERROR(VLOOKUP($A21,INDIRECT(F$1&amp;"!"&amp;"c4:c27"),1,0)),"",$M21)</f>
        <v/>
      </c>
      <c r="G21" s="231" t="str">
        <f ca="1">IF(ISERROR(VLOOKUP($A21,INDIRECT(G$1&amp;"!"&amp;"c4:c27"),1,0)),"",$M21)</f>
        <v/>
      </c>
      <c r="H21" s="231" t="str">
        <f ca="1">IF(ISERROR(VLOOKUP($A21,INDIRECT(H$1&amp;"!"&amp;"c4:c27"),1,0)),"",$M21)</f>
        <v/>
      </c>
      <c r="I21" s="231">
        <f ca="1">IF(ISERROR(VLOOKUP($A21,INDIRECT(I$1&amp;"!"&amp;"c4:c27"),1,0)),"",$M21)</f>
        <v>5</v>
      </c>
      <c r="J21" s="231" t="str">
        <f ca="1">IF(ISERROR(VLOOKUP($A21,INDIRECT(J$1&amp;"!"&amp;"c4:c27"),1,0)),"",$M21)</f>
        <v/>
      </c>
      <c r="K21" s="231">
        <f ca="1">IF(ISERROR(VLOOKUP($A21,INDIRECT(K$1&amp;"!"&amp;"c4:c27"),1,0)),"",$M21)</f>
        <v>5</v>
      </c>
      <c r="L21" s="231" t="str">
        <f ca="1">IF(ISERROR(VLOOKUP($A21,INDIRECT(L$1&amp;"!"&amp;"c4:c27"),1,0)),"",$M21)</f>
        <v/>
      </c>
      <c r="M21" s="232">
        <f ca="1">COUNTIF(Teams!$4:$27,A21)</f>
        <v>5</v>
      </c>
      <c r="N21" s="233">
        <f ca="1">VLOOKUP(A21,Score!B:Z,25,0)</f>
        <v>39.060762209411898</v>
      </c>
    </row>
    <row r="22" spans="1:17" s="236" customFormat="1">
      <c r="A22" s="230" t="s">
        <v>159</v>
      </c>
      <c r="B22" s="231">
        <f ca="1">IF(ISERROR(VLOOKUP($A22,INDIRECT(B$1&amp;"!"&amp;"c4:c27"),1,0)),"",$M22)</f>
        <v>5</v>
      </c>
      <c r="C22" s="231" t="str">
        <f ca="1">IF(ISERROR(VLOOKUP($A22,INDIRECT(C$1&amp;"!"&amp;"c4:c27"),1,0)),"",$M22)</f>
        <v/>
      </c>
      <c r="D22" s="231">
        <f ca="1">IF(ISERROR(VLOOKUP($A22,INDIRECT(D$1&amp;"!"&amp;"c4:c27"),1,0)),"",$M22)</f>
        <v>5</v>
      </c>
      <c r="E22" s="231" t="str">
        <f ca="1">IF(ISERROR(VLOOKUP($A22,INDIRECT(E$1&amp;"!"&amp;"c4:c27"),1,0)),"",$M22)</f>
        <v/>
      </c>
      <c r="F22" s="231">
        <f ca="1">IF(ISERROR(VLOOKUP($A22,INDIRECT(F$1&amp;"!"&amp;"c4:c27"),1,0)),"",$M22)</f>
        <v>5</v>
      </c>
      <c r="G22" s="231" t="str">
        <f ca="1">IF(ISERROR(VLOOKUP($A22,INDIRECT(G$1&amp;"!"&amp;"c4:c27"),1,0)),"",$M22)</f>
        <v/>
      </c>
      <c r="H22" s="231">
        <f ca="1">IF(ISERROR(VLOOKUP($A22,INDIRECT(H$1&amp;"!"&amp;"c4:c27"),1,0)),"",$M22)</f>
        <v>5</v>
      </c>
      <c r="I22" s="231" t="str">
        <f ca="1">IF(ISERROR(VLOOKUP($A22,INDIRECT(I$1&amp;"!"&amp;"c4:c27"),1,0)),"",$M22)</f>
        <v/>
      </c>
      <c r="J22" s="231" t="str">
        <f ca="1">IF(ISERROR(VLOOKUP($A22,INDIRECT(J$1&amp;"!"&amp;"c4:c27"),1,0)),"",$M22)</f>
        <v/>
      </c>
      <c r="K22" s="231" t="str">
        <f ca="1">IF(ISERROR(VLOOKUP($A22,INDIRECT(K$1&amp;"!"&amp;"c4:c27"),1,0)),"",$M22)</f>
        <v/>
      </c>
      <c r="L22" s="231">
        <f ca="1">IF(ISERROR(VLOOKUP($A22,INDIRECT(L$1&amp;"!"&amp;"c4:c27"),1,0)),"",$M22)</f>
        <v>5</v>
      </c>
      <c r="M22" s="232">
        <f ca="1">COUNTIF(Teams!$4:$27,A22)</f>
        <v>5</v>
      </c>
      <c r="N22" s="233">
        <f ca="1">VLOOKUP(A22,Score!B:Z,25,0)</f>
        <v>209.07165437924934</v>
      </c>
    </row>
    <row r="23" spans="1:17" s="269" customFormat="1">
      <c r="A23" s="230" t="s">
        <v>193</v>
      </c>
      <c r="B23" s="231" t="str">
        <f ca="1">IF(ISERROR(VLOOKUP($A23,INDIRECT(B$1&amp;"!"&amp;"c4:c27"),1,0)),"",$M23)</f>
        <v/>
      </c>
      <c r="C23" s="231" t="str">
        <f ca="1">IF(ISERROR(VLOOKUP($A23,INDIRECT(C$1&amp;"!"&amp;"c4:c27"),1,0)),"",$M23)</f>
        <v/>
      </c>
      <c r="D23" s="231" t="str">
        <f ca="1">IF(ISERROR(VLOOKUP($A23,INDIRECT(D$1&amp;"!"&amp;"c4:c27"),1,0)),"",$M23)</f>
        <v/>
      </c>
      <c r="E23" s="231">
        <f ca="1">IF(ISERROR(VLOOKUP($A23,INDIRECT(E$1&amp;"!"&amp;"c4:c27"),1,0)),"",$M23)</f>
        <v>5</v>
      </c>
      <c r="F23" s="231">
        <f ca="1">IF(ISERROR(VLOOKUP($A23,INDIRECT(F$1&amp;"!"&amp;"c4:c27"),1,0)),"",$M23)</f>
        <v>5</v>
      </c>
      <c r="G23" s="231" t="str">
        <f ca="1">IF(ISERROR(VLOOKUP($A23,INDIRECT(G$1&amp;"!"&amp;"c4:c27"),1,0)),"",$M23)</f>
        <v/>
      </c>
      <c r="H23" s="231">
        <f ca="1">IF(ISERROR(VLOOKUP($A23,INDIRECT(H$1&amp;"!"&amp;"c4:c27"),1,0)),"",$M23)</f>
        <v>5</v>
      </c>
      <c r="I23" s="231">
        <f ca="1">IF(ISERROR(VLOOKUP($A23,INDIRECT(I$1&amp;"!"&amp;"c4:c27"),1,0)),"",$M23)</f>
        <v>5</v>
      </c>
      <c r="J23" s="231" t="str">
        <f ca="1">IF(ISERROR(VLOOKUP($A23,INDIRECT(J$1&amp;"!"&amp;"c4:c27"),1,0)),"",$M23)</f>
        <v/>
      </c>
      <c r="K23" s="231" t="str">
        <f ca="1">IF(ISERROR(VLOOKUP($A23,INDIRECT(K$1&amp;"!"&amp;"c4:c27"),1,0)),"",$M23)</f>
        <v/>
      </c>
      <c r="L23" s="231">
        <f ca="1">IF(ISERROR(VLOOKUP($A23,INDIRECT(L$1&amp;"!"&amp;"c4:c27"),1,0)),"",$M23)</f>
        <v>5</v>
      </c>
      <c r="M23" s="232">
        <f ca="1">COUNTIF(Teams!$4:$27,A23)</f>
        <v>5</v>
      </c>
      <c r="N23" s="233">
        <f ca="1">VLOOKUP(A23,Score!B:Z,25,0)</f>
        <v>72.061416673233623</v>
      </c>
      <c r="O23" s="236"/>
      <c r="P23" s="236"/>
      <c r="Q23" s="236"/>
    </row>
    <row r="24" spans="1:17" s="269" customFormat="1">
      <c r="A24" s="246" t="s">
        <v>169</v>
      </c>
      <c r="B24" s="238" t="str">
        <f ca="1">IF(ISERROR(VLOOKUP($A24,INDIRECT(B$1&amp;"!"&amp;"c4:c27"),1,0)),"",$M24)</f>
        <v/>
      </c>
      <c r="C24" s="238">
        <f ca="1">IF(ISERROR(VLOOKUP($A24,INDIRECT(C$1&amp;"!"&amp;"c4:c27"),1,0)),"",$M24)</f>
        <v>5</v>
      </c>
      <c r="D24" s="238">
        <f ca="1">IF(ISERROR(VLOOKUP($A24,INDIRECT(D$1&amp;"!"&amp;"c4:c27"),1,0)),"",$M24)</f>
        <v>5</v>
      </c>
      <c r="E24" s="238">
        <f ca="1">IF(ISERROR(VLOOKUP($A24,INDIRECT(E$1&amp;"!"&amp;"c4:c27"),1,0)),"",$M24)</f>
        <v>5</v>
      </c>
      <c r="F24" s="238" t="str">
        <f ca="1">IF(ISERROR(VLOOKUP($A24,INDIRECT(F$1&amp;"!"&amp;"c4:c27"),1,0)),"",$M24)</f>
        <v/>
      </c>
      <c r="G24" s="238" t="str">
        <f ca="1">IF(ISERROR(VLOOKUP($A24,INDIRECT(G$1&amp;"!"&amp;"c4:c27"),1,0)),"",$M24)</f>
        <v/>
      </c>
      <c r="H24" s="238">
        <f ca="1">IF(ISERROR(VLOOKUP($A24,INDIRECT(H$1&amp;"!"&amp;"c4:c27"),1,0)),"",$M24)</f>
        <v>5</v>
      </c>
      <c r="I24" s="238" t="str">
        <f ca="1">IF(ISERROR(VLOOKUP($A24,INDIRECT(I$1&amp;"!"&amp;"c4:c27"),1,0)),"",$M24)</f>
        <v/>
      </c>
      <c r="J24" s="238" t="str">
        <f ca="1">IF(ISERROR(VLOOKUP($A24,INDIRECT(J$1&amp;"!"&amp;"c4:c27"),1,0)),"",$M24)</f>
        <v/>
      </c>
      <c r="K24" s="238">
        <f ca="1">IF(ISERROR(VLOOKUP($A24,INDIRECT(K$1&amp;"!"&amp;"c4:c27"),1,0)),"",$M24)</f>
        <v>5</v>
      </c>
      <c r="L24" s="238" t="str">
        <f ca="1">IF(ISERROR(VLOOKUP($A24,INDIRECT(L$1&amp;"!"&amp;"c4:c27"),1,0)),"",$M24)</f>
        <v/>
      </c>
      <c r="M24" s="340">
        <f ca="1">COUNTIF(Teams!$4:$27,A24)</f>
        <v>5</v>
      </c>
      <c r="N24" s="341">
        <f ca="1">VLOOKUP(A24,Score!B:Z,25,0)</f>
        <v>249.05065112609282</v>
      </c>
      <c r="O24" s="236"/>
      <c r="P24" s="236"/>
      <c r="Q24" s="236"/>
    </row>
    <row r="25" spans="1:17" s="269" customFormat="1">
      <c r="A25" s="230" t="s">
        <v>108</v>
      </c>
      <c r="B25" s="231">
        <f ca="1">IF(ISERROR(VLOOKUP($A25,INDIRECT(B$1&amp;"!"&amp;"c4:c27"),1,0)),"",$M25)</f>
        <v>6</v>
      </c>
      <c r="C25" s="231">
        <f ca="1">IF(ISERROR(VLOOKUP($A25,INDIRECT(C$1&amp;"!"&amp;"c4:c27"),1,0)),"",$M25)</f>
        <v>6</v>
      </c>
      <c r="D25" s="231" t="str">
        <f ca="1">IF(ISERROR(VLOOKUP($A25,INDIRECT(D$1&amp;"!"&amp;"c4:c27"),1,0)),"",$M25)</f>
        <v/>
      </c>
      <c r="E25" s="231" t="str">
        <f ca="1">IF(ISERROR(VLOOKUP($A25,INDIRECT(E$1&amp;"!"&amp;"c4:c27"),1,0)),"",$M25)</f>
        <v/>
      </c>
      <c r="F25" s="231">
        <f ca="1">IF(ISERROR(VLOOKUP($A25,INDIRECT(F$1&amp;"!"&amp;"c4:c27"),1,0)),"",$M25)</f>
        <v>6</v>
      </c>
      <c r="G25" s="231">
        <f ca="1">IF(ISERROR(VLOOKUP($A25,INDIRECT(G$1&amp;"!"&amp;"c4:c27"),1,0)),"",$M25)</f>
        <v>6</v>
      </c>
      <c r="H25" s="231" t="str">
        <f ca="1">IF(ISERROR(VLOOKUP($A25,INDIRECT(H$1&amp;"!"&amp;"c4:c27"),1,0)),"",$M25)</f>
        <v/>
      </c>
      <c r="I25" s="231" t="str">
        <f ca="1">IF(ISERROR(VLOOKUP($A25,INDIRECT(I$1&amp;"!"&amp;"c4:c27"),1,0)),"",$M25)</f>
        <v/>
      </c>
      <c r="J25" s="231">
        <f ca="1">IF(ISERROR(VLOOKUP($A25,INDIRECT(J$1&amp;"!"&amp;"c4:c27"),1,0)),"",$M25)</f>
        <v>6</v>
      </c>
      <c r="K25" s="231">
        <f ca="1">IF(ISERROR(VLOOKUP($A25,INDIRECT(K$1&amp;"!"&amp;"c4:c27"),1,0)),"",$M25)</f>
        <v>6</v>
      </c>
      <c r="L25" s="231" t="str">
        <f ca="1">IF(ISERROR(VLOOKUP($A25,INDIRECT(L$1&amp;"!"&amp;"c4:c27"),1,0)),"",$M25)</f>
        <v/>
      </c>
      <c r="M25" s="232">
        <f ca="1">COUNTIF(Teams!$4:$27,A25)</f>
        <v>6</v>
      </c>
      <c r="N25" s="233">
        <f ca="1">VLOOKUP(A25,Score!B:Z,25,0)</f>
        <v>104.04196336552511</v>
      </c>
      <c r="O25" s="236"/>
      <c r="P25" s="236"/>
      <c r="Q25" s="236"/>
    </row>
    <row r="26" spans="1:17" s="236" customFormat="1">
      <c r="A26" s="230" t="s">
        <v>132</v>
      </c>
      <c r="B26" s="231">
        <f ca="1">IF(ISERROR(VLOOKUP($A26,INDIRECT(B$1&amp;"!"&amp;"c4:c27"),1,0)),"",$M26)</f>
        <v>6</v>
      </c>
      <c r="C26" s="231">
        <f ca="1">IF(ISERROR(VLOOKUP($A26,INDIRECT(C$1&amp;"!"&amp;"c4:c27"),1,0)),"",$M26)</f>
        <v>6</v>
      </c>
      <c r="D26" s="231" t="str">
        <f ca="1">IF(ISERROR(VLOOKUP($A26,INDIRECT(D$1&amp;"!"&amp;"c4:c27"),1,0)),"",$M26)</f>
        <v/>
      </c>
      <c r="E26" s="231">
        <f ca="1">IF(ISERROR(VLOOKUP($A26,INDIRECT(E$1&amp;"!"&amp;"c4:c27"),1,0)),"",$M26)</f>
        <v>6</v>
      </c>
      <c r="F26" s="231" t="str">
        <f ca="1">IF(ISERROR(VLOOKUP($A26,INDIRECT(F$1&amp;"!"&amp;"c4:c27"),1,0)),"",$M26)</f>
        <v/>
      </c>
      <c r="G26" s="231">
        <f ca="1">IF(ISERROR(VLOOKUP($A26,INDIRECT(G$1&amp;"!"&amp;"c4:c27"),1,0)),"",$M26)</f>
        <v>6</v>
      </c>
      <c r="H26" s="231">
        <f ca="1">IF(ISERROR(VLOOKUP($A26,INDIRECT(H$1&amp;"!"&amp;"c4:c27"),1,0)),"",$M26)</f>
        <v>6</v>
      </c>
      <c r="I26" s="231" t="str">
        <f ca="1">IF(ISERROR(VLOOKUP($A26,INDIRECT(I$1&amp;"!"&amp;"c4:c27"),1,0)),"",$M26)</f>
        <v/>
      </c>
      <c r="J26" s="231" t="str">
        <f ca="1">IF(ISERROR(VLOOKUP($A26,INDIRECT(J$1&amp;"!"&amp;"c4:c27"),1,0)),"",$M26)</f>
        <v/>
      </c>
      <c r="K26" s="231" t="str">
        <f ca="1">IF(ISERROR(VLOOKUP($A26,INDIRECT(K$1&amp;"!"&amp;"c4:c27"),1,0)),"",$M26)</f>
        <v/>
      </c>
      <c r="L26" s="231">
        <f ca="1">IF(ISERROR(VLOOKUP($A26,INDIRECT(L$1&amp;"!"&amp;"c4:c27"),1,0)),"",$M26)</f>
        <v>6</v>
      </c>
      <c r="M26" s="232">
        <f ca="1">COUNTIF(Teams!$4:$27,A26)</f>
        <v>6</v>
      </c>
      <c r="N26" s="233">
        <f ca="1">VLOOKUP(A26,Score!B:Z,25,0)</f>
        <v>153.06838466574541</v>
      </c>
    </row>
    <row r="27" spans="1:17" s="236" customFormat="1">
      <c r="A27" s="246" t="s">
        <v>167</v>
      </c>
      <c r="B27" s="238">
        <f ca="1">IF(ISERROR(VLOOKUP($A27,INDIRECT(B$1&amp;"!"&amp;"c4:c27"),1,0)),"",$M27)</f>
        <v>6</v>
      </c>
      <c r="C27" s="238">
        <f ca="1">IF(ISERROR(VLOOKUP($A27,INDIRECT(C$1&amp;"!"&amp;"c4:c27"),1,0)),"",$M27)</f>
        <v>6</v>
      </c>
      <c r="D27" s="238">
        <f ca="1">IF(ISERROR(VLOOKUP($A27,INDIRECT(D$1&amp;"!"&amp;"c4:c27"),1,0)),"",$M27)</f>
        <v>6</v>
      </c>
      <c r="E27" s="238" t="str">
        <f ca="1">IF(ISERROR(VLOOKUP($A27,INDIRECT(E$1&amp;"!"&amp;"c4:c27"),1,0)),"",$M27)</f>
        <v/>
      </c>
      <c r="F27" s="238" t="str">
        <f ca="1">IF(ISERROR(VLOOKUP($A27,INDIRECT(F$1&amp;"!"&amp;"c4:c27"),1,0)),"",$M27)</f>
        <v/>
      </c>
      <c r="G27" s="238" t="str">
        <f ca="1">IF(ISERROR(VLOOKUP($A27,INDIRECT(G$1&amp;"!"&amp;"c4:c27"),1,0)),"",$M27)</f>
        <v/>
      </c>
      <c r="H27" s="238">
        <f ca="1">IF(ISERROR(VLOOKUP($A27,INDIRECT(H$1&amp;"!"&amp;"c4:c27"),1,0)),"",$M27)</f>
        <v>6</v>
      </c>
      <c r="I27" s="238">
        <f ca="1">IF(ISERROR(VLOOKUP($A27,INDIRECT(I$1&amp;"!"&amp;"c4:c27"),1,0)),"",$M27)</f>
        <v>6</v>
      </c>
      <c r="J27" s="238" t="str">
        <f ca="1">IF(ISERROR(VLOOKUP($A27,INDIRECT(J$1&amp;"!"&amp;"c4:c27"),1,0)),"",$M27)</f>
        <v/>
      </c>
      <c r="K27" s="238">
        <f ca="1">IF(ISERROR(VLOOKUP($A27,INDIRECT(K$1&amp;"!"&amp;"c4:c27"),1,0)),"",$M27)</f>
        <v>6</v>
      </c>
      <c r="L27" s="238" t="str">
        <f ca="1">IF(ISERROR(VLOOKUP($A27,INDIRECT(L$1&amp;"!"&amp;"c4:c27"),1,0)),"",$M27)</f>
        <v/>
      </c>
      <c r="M27" s="340">
        <f ca="1">COUNTIF(Teams!$4:$27,A27)</f>
        <v>6</v>
      </c>
      <c r="N27" s="341">
        <f ca="1">VLOOKUP(A27,Score!B:Z,25,0)</f>
        <v>80.095956085656127</v>
      </c>
    </row>
    <row r="28" spans="1:17" s="236" customFormat="1">
      <c r="A28" s="246" t="s">
        <v>187</v>
      </c>
      <c r="B28" s="238">
        <f ca="1">IF(ISERROR(VLOOKUP($A28,INDIRECT(B$1&amp;"!"&amp;"c4:c27"),1,0)),"",$M28)</f>
        <v>7</v>
      </c>
      <c r="C28" s="238" t="str">
        <f ca="1">IF(ISERROR(VLOOKUP($A28,INDIRECT(C$1&amp;"!"&amp;"c4:c27"),1,0)),"",$M28)</f>
        <v/>
      </c>
      <c r="D28" s="238">
        <f ca="1">IF(ISERROR(VLOOKUP($A28,INDIRECT(D$1&amp;"!"&amp;"c4:c27"),1,0)),"",$M28)</f>
        <v>7</v>
      </c>
      <c r="E28" s="238">
        <f ca="1">IF(ISERROR(VLOOKUP($A28,INDIRECT(E$1&amp;"!"&amp;"c4:c27"),1,0)),"",$M28)</f>
        <v>7</v>
      </c>
      <c r="F28" s="238">
        <f ca="1">IF(ISERROR(VLOOKUP($A28,INDIRECT(F$1&amp;"!"&amp;"c4:c27"),1,0)),"",$M28)</f>
        <v>7</v>
      </c>
      <c r="G28" s="238">
        <f ca="1">IF(ISERROR(VLOOKUP($A28,INDIRECT(G$1&amp;"!"&amp;"c4:c27"),1,0)),"",$M28)</f>
        <v>7</v>
      </c>
      <c r="H28" s="238">
        <f ca="1">IF(ISERROR(VLOOKUP($A28,INDIRECT(H$1&amp;"!"&amp;"c4:c27"),1,0)),"",$M28)</f>
        <v>7</v>
      </c>
      <c r="I28" s="238" t="str">
        <f ca="1">IF(ISERROR(VLOOKUP($A28,INDIRECT(I$1&amp;"!"&amp;"c4:c27"),1,0)),"",$M28)</f>
        <v/>
      </c>
      <c r="J28" s="238" t="str">
        <f ca="1">IF(ISERROR(VLOOKUP($A28,INDIRECT(J$1&amp;"!"&amp;"c4:c27"),1,0)),"",$M28)</f>
        <v/>
      </c>
      <c r="K28" s="238">
        <f ca="1">IF(ISERROR(VLOOKUP($A28,INDIRECT(K$1&amp;"!"&amp;"c4:c27"),1,0)),"",$M28)</f>
        <v>7</v>
      </c>
      <c r="L28" s="238" t="str">
        <f ca="1">IF(ISERROR(VLOOKUP($A28,INDIRECT(L$1&amp;"!"&amp;"c4:c27"),1,0)),"",$M28)</f>
        <v/>
      </c>
      <c r="M28" s="340">
        <f ca="1">COUNTIF(Teams!$4:$27,A28)</f>
        <v>7</v>
      </c>
      <c r="N28" s="341">
        <f ca="1">VLOOKUP(A28,Score!B:Z,25,0)</f>
        <v>163.07713678876019</v>
      </c>
      <c r="O28" s="269"/>
      <c r="P28" s="269"/>
      <c r="Q28" s="269"/>
    </row>
    <row r="29" spans="1:17" s="236" customFormat="1">
      <c r="A29" s="230" t="s">
        <v>171</v>
      </c>
      <c r="B29" s="231">
        <f ca="1">IF(ISERROR(VLOOKUP($A29,INDIRECT(B$1&amp;"!"&amp;"c4:c27"),1,0)),"",$M29)</f>
        <v>8</v>
      </c>
      <c r="C29" s="231">
        <f ca="1">IF(ISERROR(VLOOKUP($A29,INDIRECT(C$1&amp;"!"&amp;"c4:c27"),1,0)),"",$M29)</f>
        <v>8</v>
      </c>
      <c r="D29" s="231">
        <f ca="1">IF(ISERROR(VLOOKUP($A29,INDIRECT(D$1&amp;"!"&amp;"c4:c27"),1,0)),"",$M29)</f>
        <v>8</v>
      </c>
      <c r="E29" s="231">
        <f ca="1">IF(ISERROR(VLOOKUP($A29,INDIRECT(E$1&amp;"!"&amp;"c4:c27"),1,0)),"",$M29)</f>
        <v>8</v>
      </c>
      <c r="F29" s="231" t="str">
        <f ca="1">IF(ISERROR(VLOOKUP($A29,INDIRECT(F$1&amp;"!"&amp;"c4:c27"),1,0)),"",$M29)</f>
        <v/>
      </c>
      <c r="G29" s="231">
        <f ca="1">IF(ISERROR(VLOOKUP($A29,INDIRECT(G$1&amp;"!"&amp;"c4:c27"),1,0)),"",$M29)</f>
        <v>8</v>
      </c>
      <c r="H29" s="231" t="str">
        <f ca="1">IF(ISERROR(VLOOKUP($A29,INDIRECT(H$1&amp;"!"&amp;"c4:c27"),1,0)),"",$M29)</f>
        <v/>
      </c>
      <c r="I29" s="231">
        <f ca="1">IF(ISERROR(VLOOKUP($A29,INDIRECT(I$1&amp;"!"&amp;"c4:c27"),1,0)),"",$M29)</f>
        <v>8</v>
      </c>
      <c r="J29" s="231">
        <f ca="1">IF(ISERROR(VLOOKUP($A29,INDIRECT(J$1&amp;"!"&amp;"c4:c27"),1,0)),"",$M29)</f>
        <v>8</v>
      </c>
      <c r="K29" s="231" t="str">
        <f ca="1">IF(ISERROR(VLOOKUP($A29,INDIRECT(K$1&amp;"!"&amp;"c4:c27"),1,0)),"",$M29)</f>
        <v/>
      </c>
      <c r="L29" s="231">
        <f ca="1">IF(ISERROR(VLOOKUP($A29,INDIRECT(L$1&amp;"!"&amp;"c4:c27"),1,0)),"",$M29)</f>
        <v>8</v>
      </c>
      <c r="M29" s="232">
        <f ca="1">COUNTIF(Teams!$4:$27,A29)</f>
        <v>8</v>
      </c>
      <c r="N29" s="233">
        <f ca="1">VLOOKUP(A29,Score!B:Z,25,0)</f>
        <v>23.039852377022889</v>
      </c>
    </row>
    <row r="30" spans="1:17" s="236" customFormat="1">
      <c r="A30" s="230" t="s">
        <v>204</v>
      </c>
      <c r="B30" s="231">
        <f ca="1">IF(ISERROR(VLOOKUP($A30,INDIRECT(B$1&amp;"!"&amp;"c4:c27"),1,0)),"",$M30)</f>
        <v>8</v>
      </c>
      <c r="C30" s="231" t="str">
        <f ca="1">IF(ISERROR(VLOOKUP($A30,INDIRECT(C$1&amp;"!"&amp;"c4:c27"),1,0)),"",$M30)</f>
        <v/>
      </c>
      <c r="D30" s="231">
        <f ca="1">IF(ISERROR(VLOOKUP($A30,INDIRECT(D$1&amp;"!"&amp;"c4:c27"),1,0)),"",$M30)</f>
        <v>8</v>
      </c>
      <c r="E30" s="231">
        <f ca="1">IF(ISERROR(VLOOKUP($A30,INDIRECT(E$1&amp;"!"&amp;"c4:c27"),1,0)),"",$M30)</f>
        <v>8</v>
      </c>
      <c r="F30" s="231">
        <f ca="1">IF(ISERROR(VLOOKUP($A30,INDIRECT(F$1&amp;"!"&amp;"c4:c27"),1,0)),"",$M30)</f>
        <v>8</v>
      </c>
      <c r="G30" s="231">
        <f ca="1">IF(ISERROR(VLOOKUP($A30,INDIRECT(G$1&amp;"!"&amp;"c4:c27"),1,0)),"",$M30)</f>
        <v>8</v>
      </c>
      <c r="H30" s="231">
        <f ca="1">IF(ISERROR(VLOOKUP($A30,INDIRECT(H$1&amp;"!"&amp;"c4:c27"),1,0)),"",$M30)</f>
        <v>8</v>
      </c>
      <c r="I30" s="231" t="str">
        <f ca="1">IF(ISERROR(VLOOKUP($A30,INDIRECT(I$1&amp;"!"&amp;"c4:c27"),1,0)),"",$M30)</f>
        <v/>
      </c>
      <c r="J30" s="231">
        <f ca="1">IF(ISERROR(VLOOKUP($A30,INDIRECT(J$1&amp;"!"&amp;"c4:c27"),1,0)),"",$M30)</f>
        <v>8</v>
      </c>
      <c r="K30" s="231">
        <f ca="1">IF(ISERROR(VLOOKUP($A30,INDIRECT(K$1&amp;"!"&amp;"c4:c27"),1,0)),"",$M30)</f>
        <v>8</v>
      </c>
      <c r="L30" s="231" t="str">
        <f ca="1">IF(ISERROR(VLOOKUP($A30,INDIRECT(L$1&amp;"!"&amp;"c4:c27"),1,0)),"",$M30)</f>
        <v/>
      </c>
      <c r="M30" s="232">
        <f ca="1">COUNTIF(Teams!$4:$27,A30)</f>
        <v>8</v>
      </c>
      <c r="N30" s="233">
        <f ca="1">VLOOKUP(A30,Score!B:Z,25,0)</f>
        <v>276.0118022959067</v>
      </c>
    </row>
    <row r="31" spans="1:17" s="236" customFormat="1">
      <c r="A31" s="246" t="s">
        <v>172</v>
      </c>
      <c r="B31" s="238" t="str">
        <f ca="1">IF(ISERROR(VLOOKUP($A31,INDIRECT(B$1&amp;"!"&amp;"c4:c27"),1,0)),"",$M31)</f>
        <v/>
      </c>
      <c r="C31" s="238">
        <f ca="1">IF(ISERROR(VLOOKUP($A31,INDIRECT(C$1&amp;"!"&amp;"c4:c27"),1,0)),"",$M31)</f>
        <v>8</v>
      </c>
      <c r="D31" s="238">
        <f ca="1">IF(ISERROR(VLOOKUP($A31,INDIRECT(D$1&amp;"!"&amp;"c4:c27"),1,0)),"",$M31)</f>
        <v>8</v>
      </c>
      <c r="E31" s="238">
        <f ca="1">IF(ISERROR(VLOOKUP($A31,INDIRECT(E$1&amp;"!"&amp;"c4:c27"),1,0)),"",$M31)</f>
        <v>8</v>
      </c>
      <c r="F31" s="238">
        <f ca="1">IF(ISERROR(VLOOKUP($A31,INDIRECT(F$1&amp;"!"&amp;"c4:c27"),1,0)),"",$M31)</f>
        <v>8</v>
      </c>
      <c r="G31" s="238">
        <f ca="1">IF(ISERROR(VLOOKUP($A31,INDIRECT(G$1&amp;"!"&amp;"c4:c27"),1,0)),"",$M31)</f>
        <v>8</v>
      </c>
      <c r="H31" s="238" t="str">
        <f ca="1">IF(ISERROR(VLOOKUP($A31,INDIRECT(H$1&amp;"!"&amp;"c4:c27"),1,0)),"",$M31)</f>
        <v/>
      </c>
      <c r="I31" s="238">
        <f ca="1">IF(ISERROR(VLOOKUP($A31,INDIRECT(I$1&amp;"!"&amp;"c4:c27"),1,0)),"",$M31)</f>
        <v>8</v>
      </c>
      <c r="J31" s="238">
        <f ca="1">IF(ISERROR(VLOOKUP($A31,INDIRECT(J$1&amp;"!"&amp;"c4:c27"),1,0)),"",$M31)</f>
        <v>8</v>
      </c>
      <c r="K31" s="238">
        <f ca="1">IF(ISERROR(VLOOKUP($A31,INDIRECT(K$1&amp;"!"&amp;"c4:c27"),1,0)),"",$M31)</f>
        <v>8</v>
      </c>
      <c r="L31" s="238" t="str">
        <f ca="1">IF(ISERROR(VLOOKUP($A31,INDIRECT(L$1&amp;"!"&amp;"c4:c27"),1,0)),"",$M31)</f>
        <v/>
      </c>
      <c r="M31" s="340">
        <f ca="1">COUNTIF(Teams!$4:$27,A31)</f>
        <v>8</v>
      </c>
      <c r="N31" s="341">
        <f ca="1">VLOOKUP(A31,Score!B:Z,25,0)</f>
        <v>205.02674242672029</v>
      </c>
      <c r="O31" s="269"/>
      <c r="P31" s="269"/>
      <c r="Q31" s="269"/>
    </row>
    <row r="32" spans="1:17" s="236" customFormat="1">
      <c r="A32" s="230" t="s">
        <v>191</v>
      </c>
      <c r="B32" s="231">
        <f ca="1">IF(ISERROR(VLOOKUP($A32,INDIRECT(B$1&amp;"!"&amp;"c4:c27"),1,0)),"",$M32)</f>
        <v>9</v>
      </c>
      <c r="C32" s="231">
        <f ca="1">IF(ISERROR(VLOOKUP($A32,INDIRECT(C$1&amp;"!"&amp;"c4:c27"),1,0)),"",$M32)</f>
        <v>9</v>
      </c>
      <c r="D32" s="231" t="str">
        <f ca="1">IF(ISERROR(VLOOKUP($A32,INDIRECT(D$1&amp;"!"&amp;"c4:c27"),1,0)),"",$M32)</f>
        <v/>
      </c>
      <c r="E32" s="231">
        <f ca="1">IF(ISERROR(VLOOKUP($A32,INDIRECT(E$1&amp;"!"&amp;"c4:c27"),1,0)),"",$M32)</f>
        <v>9</v>
      </c>
      <c r="F32" s="231">
        <f ca="1">IF(ISERROR(VLOOKUP($A32,INDIRECT(F$1&amp;"!"&amp;"c4:c27"),1,0)),"",$M32)</f>
        <v>9</v>
      </c>
      <c r="G32" s="231">
        <f ca="1">IF(ISERROR(VLOOKUP($A32,INDIRECT(G$1&amp;"!"&amp;"c4:c27"),1,0)),"",$M32)</f>
        <v>9</v>
      </c>
      <c r="H32" s="231">
        <f ca="1">IF(ISERROR(VLOOKUP($A32,INDIRECT(H$1&amp;"!"&amp;"c4:c27"),1,0)),"",$M32)</f>
        <v>9</v>
      </c>
      <c r="I32" s="231">
        <f ca="1">IF(ISERROR(VLOOKUP($A32,INDIRECT(I$1&amp;"!"&amp;"c4:c27"),1,0)),"",$M32)</f>
        <v>9</v>
      </c>
      <c r="J32" s="231">
        <f ca="1">IF(ISERROR(VLOOKUP($A32,INDIRECT(J$1&amp;"!"&amp;"c4:c27"),1,0)),"",$M32)</f>
        <v>9</v>
      </c>
      <c r="K32" s="231" t="str">
        <f ca="1">IF(ISERROR(VLOOKUP($A32,INDIRECT(K$1&amp;"!"&amp;"c4:c27"),1,0)),"",$M32)</f>
        <v/>
      </c>
      <c r="L32" s="231">
        <f ca="1">IF(ISERROR(VLOOKUP($A32,INDIRECT(L$1&amp;"!"&amp;"c4:c27"),1,0)),"",$M32)</f>
        <v>9</v>
      </c>
      <c r="M32" s="232">
        <f ca="1">COUNTIF(Teams!$4:$27,A32)</f>
        <v>9</v>
      </c>
      <c r="N32" s="233">
        <f ca="1">VLOOKUP(A32,Score!B:Z,25,0)</f>
        <v>308.03098917437455</v>
      </c>
      <c r="O32" s="269"/>
      <c r="P32" s="269"/>
      <c r="Q32" s="269"/>
    </row>
    <row r="33" spans="1:17" s="236" customFormat="1">
      <c r="A33" s="230" t="s">
        <v>165</v>
      </c>
      <c r="B33" s="231">
        <f ca="1">IF(ISERROR(VLOOKUP($A33,INDIRECT(B$1&amp;"!"&amp;"c4:c27"),1,0)),"",$M33)</f>
        <v>9</v>
      </c>
      <c r="C33" s="231">
        <f ca="1">IF(ISERROR(VLOOKUP($A33,INDIRECT(C$1&amp;"!"&amp;"c4:c27"),1,0)),"",$M33)</f>
        <v>9</v>
      </c>
      <c r="D33" s="231">
        <f ca="1">IF(ISERROR(VLOOKUP($A33,INDIRECT(D$1&amp;"!"&amp;"c4:c27"),1,0)),"",$M33)</f>
        <v>9</v>
      </c>
      <c r="E33" s="231">
        <f ca="1">IF(ISERROR(VLOOKUP($A33,INDIRECT(E$1&amp;"!"&amp;"c4:c27"),1,0)),"",$M33)</f>
        <v>9</v>
      </c>
      <c r="F33" s="231">
        <f ca="1">IF(ISERROR(VLOOKUP($A33,INDIRECT(F$1&amp;"!"&amp;"c4:c27"),1,0)),"",$M33)</f>
        <v>9</v>
      </c>
      <c r="G33" s="231" t="str">
        <f ca="1">IF(ISERROR(VLOOKUP($A33,INDIRECT(G$1&amp;"!"&amp;"c4:c27"),1,0)),"",$M33)</f>
        <v/>
      </c>
      <c r="H33" s="231">
        <f ca="1">IF(ISERROR(VLOOKUP($A33,INDIRECT(H$1&amp;"!"&amp;"c4:c27"),1,0)),"",$M33)</f>
        <v>9</v>
      </c>
      <c r="I33" s="231">
        <f ca="1">IF(ISERROR(VLOOKUP($A33,INDIRECT(I$1&amp;"!"&amp;"c4:c27"),1,0)),"",$M33)</f>
        <v>9</v>
      </c>
      <c r="J33" s="231">
        <f ca="1">IF(ISERROR(VLOOKUP($A33,INDIRECT(J$1&amp;"!"&amp;"c4:c27"),1,0)),"",$M33)</f>
        <v>9</v>
      </c>
      <c r="K33" s="231">
        <f ca="1">IF(ISERROR(VLOOKUP($A33,INDIRECT(K$1&amp;"!"&amp;"c4:c27"),1,0)),"",$M33)</f>
        <v>9</v>
      </c>
      <c r="L33" s="231" t="str">
        <f ca="1">IF(ISERROR(VLOOKUP($A33,INDIRECT(L$1&amp;"!"&amp;"c4:c27"),1,0)),"",$M33)</f>
        <v/>
      </c>
      <c r="M33" s="232">
        <f ca="1">COUNTIF(Teams!$4:$27,A33)</f>
        <v>9</v>
      </c>
      <c r="N33" s="233">
        <f ca="1">VLOOKUP(A33,Score!B:Z,25,0)</f>
        <v>161.02773534561166</v>
      </c>
    </row>
    <row r="34" spans="1:17" s="236" customFormat="1">
      <c r="A34" s="230" t="s">
        <v>133</v>
      </c>
      <c r="B34" s="231">
        <f ca="1">IF(ISERROR(VLOOKUP($A34,INDIRECT(B$1&amp;"!"&amp;"c4:c27"),1,0)),"",$M34)</f>
        <v>9</v>
      </c>
      <c r="C34" s="231">
        <f ca="1">IF(ISERROR(VLOOKUP($A34,INDIRECT(C$1&amp;"!"&amp;"c4:c27"),1,0)),"",$M34)</f>
        <v>9</v>
      </c>
      <c r="D34" s="231">
        <f ca="1">IF(ISERROR(VLOOKUP($A34,INDIRECT(D$1&amp;"!"&amp;"c4:c27"),1,0)),"",$M34)</f>
        <v>9</v>
      </c>
      <c r="E34" s="231">
        <f ca="1">IF(ISERROR(VLOOKUP($A34,INDIRECT(E$1&amp;"!"&amp;"c4:c27"),1,0)),"",$M34)</f>
        <v>9</v>
      </c>
      <c r="F34" s="231">
        <f ca="1">IF(ISERROR(VLOOKUP($A34,INDIRECT(F$1&amp;"!"&amp;"c4:c27"),1,0)),"",$M34)</f>
        <v>9</v>
      </c>
      <c r="G34" s="231">
        <f ca="1">IF(ISERROR(VLOOKUP($A34,INDIRECT(G$1&amp;"!"&amp;"c4:c27"),1,0)),"",$M34)</f>
        <v>9</v>
      </c>
      <c r="H34" s="231">
        <f ca="1">IF(ISERROR(VLOOKUP($A34,INDIRECT(H$1&amp;"!"&amp;"c4:c27"),1,0)),"",$M34)</f>
        <v>9</v>
      </c>
      <c r="I34" s="231">
        <f ca="1">IF(ISERROR(VLOOKUP($A34,INDIRECT(I$1&amp;"!"&amp;"c4:c27"),1,0)),"",$M34)</f>
        <v>9</v>
      </c>
      <c r="J34" s="231">
        <f ca="1">IF(ISERROR(VLOOKUP($A34,INDIRECT(J$1&amp;"!"&amp;"c4:c27"),1,0)),"",$M34)</f>
        <v>9</v>
      </c>
      <c r="K34" s="231" t="str">
        <f ca="1">IF(ISERROR(VLOOKUP($A34,INDIRECT(K$1&amp;"!"&amp;"c4:c27"),1,0)),"",$M34)</f>
        <v/>
      </c>
      <c r="L34" s="231" t="str">
        <f ca="1">IF(ISERROR(VLOOKUP($A34,INDIRECT(L$1&amp;"!"&amp;"c4:c27"),1,0)),"",$M34)</f>
        <v/>
      </c>
      <c r="M34" s="232">
        <f ca="1">COUNTIF(Teams!$4:$27,A34)</f>
        <v>9</v>
      </c>
      <c r="N34" s="233">
        <f ca="1">VLOOKUP(A34,Score!B:Z,25,0)</f>
        <v>226.03806711430084</v>
      </c>
    </row>
    <row r="35" spans="1:17" s="236" customFormat="1">
      <c r="A35" s="246" t="s">
        <v>201</v>
      </c>
      <c r="B35" s="238">
        <f ca="1">IF(ISERROR(VLOOKUP($A35,INDIRECT(B$1&amp;"!"&amp;"c4:c27"),1,0)),"",$M35)</f>
        <v>9</v>
      </c>
      <c r="C35" s="238">
        <f ca="1">IF(ISERROR(VLOOKUP($A35,INDIRECT(C$1&amp;"!"&amp;"c4:c27"),1,0)),"",$M35)</f>
        <v>9</v>
      </c>
      <c r="D35" s="238">
        <f ca="1">IF(ISERROR(VLOOKUP($A35,INDIRECT(D$1&amp;"!"&amp;"c4:c27"),1,0)),"",$M35)</f>
        <v>9</v>
      </c>
      <c r="E35" s="238" t="str">
        <f ca="1">IF(ISERROR(VLOOKUP($A35,INDIRECT(E$1&amp;"!"&amp;"c4:c27"),1,0)),"",$M35)</f>
        <v/>
      </c>
      <c r="F35" s="238">
        <f ca="1">IF(ISERROR(VLOOKUP($A35,INDIRECT(F$1&amp;"!"&amp;"c4:c27"),1,0)),"",$M35)</f>
        <v>9</v>
      </c>
      <c r="G35" s="238">
        <f ca="1">IF(ISERROR(VLOOKUP($A35,INDIRECT(G$1&amp;"!"&amp;"c4:c27"),1,0)),"",$M35)</f>
        <v>9</v>
      </c>
      <c r="H35" s="238">
        <f ca="1">IF(ISERROR(VLOOKUP($A35,INDIRECT(H$1&amp;"!"&amp;"c4:c27"),1,0)),"",$M35)</f>
        <v>9</v>
      </c>
      <c r="I35" s="238">
        <f ca="1">IF(ISERROR(VLOOKUP($A35,INDIRECT(I$1&amp;"!"&amp;"c4:c27"),1,0)),"",$M35)</f>
        <v>9</v>
      </c>
      <c r="J35" s="238" t="str">
        <f ca="1">IF(ISERROR(VLOOKUP($A35,INDIRECT(J$1&amp;"!"&amp;"c4:c27"),1,0)),"",$M35)</f>
        <v/>
      </c>
      <c r="K35" s="238">
        <f ca="1">IF(ISERROR(VLOOKUP($A35,INDIRECT(K$1&amp;"!"&amp;"c4:c27"),1,0)),"",$M35)</f>
        <v>9</v>
      </c>
      <c r="L35" s="238">
        <f ca="1">IF(ISERROR(VLOOKUP($A35,INDIRECT(L$1&amp;"!"&amp;"c4:c27"),1,0)),"",$M35)</f>
        <v>9</v>
      </c>
      <c r="M35" s="340">
        <f ca="1">COUNTIF(Teams!$4:$27,A35)</f>
        <v>9</v>
      </c>
      <c r="N35" s="341">
        <f ca="1">VLOOKUP(A35,Score!B:Z,25,0)</f>
        <v>65.089282364930398</v>
      </c>
    </row>
    <row r="36" spans="1:17" s="236" customFormat="1">
      <c r="A36" s="230" t="s">
        <v>154</v>
      </c>
      <c r="B36" s="231">
        <f t="shared" ref="B32:L41" ca="1" si="0">IF(ISERROR(VLOOKUP($A36,INDIRECT(B$1&amp;"!"&amp;"c4:c27"),1,0)),"",$M36)</f>
        <v>11</v>
      </c>
      <c r="C36" s="231">
        <f ca="1">IF(ISERROR(VLOOKUP($A36,INDIRECT(C$1&amp;"!"&amp;"c4:c27"),1,0)),"",$M36)</f>
        <v>11</v>
      </c>
      <c r="D36" s="231">
        <f ca="1">IF(ISERROR(VLOOKUP($A36,INDIRECT(D$1&amp;"!"&amp;"c4:c27"),1,0)),"",$M36)</f>
        <v>11</v>
      </c>
      <c r="E36" s="231">
        <f ca="1">IF(ISERROR(VLOOKUP($A36,INDIRECT(E$1&amp;"!"&amp;"c4:c27"),1,0)),"",$M36)</f>
        <v>11</v>
      </c>
      <c r="F36" s="231">
        <f ca="1">IF(ISERROR(VLOOKUP($A36,INDIRECT(F$1&amp;"!"&amp;"c4:c27"),1,0)),"",$M36)</f>
        <v>11</v>
      </c>
      <c r="G36" s="231">
        <f ca="1">IF(ISERROR(VLOOKUP($A36,INDIRECT(G$1&amp;"!"&amp;"c4:c27"),1,0)),"",$M36)</f>
        <v>11</v>
      </c>
      <c r="H36" s="231">
        <f ca="1">IF(ISERROR(VLOOKUP($A36,INDIRECT(H$1&amp;"!"&amp;"c4:c27"),1,0)),"",$M36)</f>
        <v>11</v>
      </c>
      <c r="I36" s="231">
        <f ca="1">IF(ISERROR(VLOOKUP($A36,INDIRECT(I$1&amp;"!"&amp;"c4:c27"),1,0)),"",$M36)</f>
        <v>11</v>
      </c>
      <c r="J36" s="231">
        <f ca="1">IF(ISERROR(VLOOKUP($A36,INDIRECT(J$1&amp;"!"&amp;"c4:c27"),1,0)),"",$M36)</f>
        <v>11</v>
      </c>
      <c r="K36" s="231">
        <f ca="1">IF(ISERROR(VLOOKUP($A36,INDIRECT(K$1&amp;"!"&amp;"c4:c27"),1,0)),"",$M36)</f>
        <v>11</v>
      </c>
      <c r="L36" s="231">
        <f t="shared" ca="1" si="0"/>
        <v>11</v>
      </c>
      <c r="M36" s="232">
        <f ca="1">COUNTIF(Teams!$4:$27,A36)</f>
        <v>11</v>
      </c>
      <c r="N36" s="233">
        <f ca="1">VLOOKUP(A36,Score!B:Z,25,0)</f>
        <v>165.01412087611291</v>
      </c>
    </row>
    <row r="37" spans="1:17" s="236" customFormat="1">
      <c r="A37" s="230" t="s">
        <v>136</v>
      </c>
      <c r="B37" s="231">
        <f t="shared" ca="1" si="0"/>
        <v>11</v>
      </c>
      <c r="C37" s="231">
        <f ca="1">IF(ISERROR(VLOOKUP($A37,INDIRECT(C$1&amp;"!"&amp;"c4:c27"),1,0)),"",$M37)</f>
        <v>11</v>
      </c>
      <c r="D37" s="231">
        <f ca="1">IF(ISERROR(VLOOKUP($A37,INDIRECT(D$1&amp;"!"&amp;"c4:c27"),1,0)),"",$M37)</f>
        <v>11</v>
      </c>
      <c r="E37" s="231">
        <f ca="1">IF(ISERROR(VLOOKUP($A37,INDIRECT(E$1&amp;"!"&amp;"c4:c27"),1,0)),"",$M37)</f>
        <v>11</v>
      </c>
      <c r="F37" s="231">
        <f ca="1">IF(ISERROR(VLOOKUP($A37,INDIRECT(F$1&amp;"!"&amp;"c4:c27"),1,0)),"",$M37)</f>
        <v>11</v>
      </c>
      <c r="G37" s="231">
        <f ca="1">IF(ISERROR(VLOOKUP($A37,INDIRECT(G$1&amp;"!"&amp;"c4:c27"),1,0)),"",$M37)</f>
        <v>11</v>
      </c>
      <c r="H37" s="231">
        <f ca="1">IF(ISERROR(VLOOKUP($A37,INDIRECT(H$1&amp;"!"&amp;"c4:c27"),1,0)),"",$M37)</f>
        <v>11</v>
      </c>
      <c r="I37" s="231">
        <f ca="1">IF(ISERROR(VLOOKUP($A37,INDIRECT(I$1&amp;"!"&amp;"c4:c27"),1,0)),"",$M37)</f>
        <v>11</v>
      </c>
      <c r="J37" s="231">
        <f ca="1">IF(ISERROR(VLOOKUP($A37,INDIRECT(J$1&amp;"!"&amp;"c4:c27"),1,0)),"",$M37)</f>
        <v>11</v>
      </c>
      <c r="K37" s="231">
        <f ca="1">IF(ISERROR(VLOOKUP($A37,INDIRECT(K$1&amp;"!"&amp;"c4:c27"),1,0)),"",$M37)</f>
        <v>11</v>
      </c>
      <c r="L37" s="231">
        <f t="shared" ca="1" si="0"/>
        <v>11</v>
      </c>
      <c r="M37" s="232">
        <f ca="1">COUNTIF(Teams!$4:$27,A37)</f>
        <v>11</v>
      </c>
      <c r="N37" s="233">
        <f ca="1">VLOOKUP(A37,Score!B:Z,25,0)</f>
        <v>268.06929858254693</v>
      </c>
    </row>
    <row r="38" spans="1:17" s="236" customFormat="1">
      <c r="A38" s="230" t="s">
        <v>106</v>
      </c>
      <c r="B38" s="231">
        <f t="shared" ca="1" si="0"/>
        <v>11</v>
      </c>
      <c r="C38" s="231">
        <f ca="1">IF(ISERROR(VLOOKUP($A38,INDIRECT(C$1&amp;"!"&amp;"c4:c27"),1,0)),"",$M38)</f>
        <v>11</v>
      </c>
      <c r="D38" s="231">
        <f ca="1">IF(ISERROR(VLOOKUP($A38,INDIRECT(D$1&amp;"!"&amp;"c4:c27"),1,0)),"",$M38)</f>
        <v>11</v>
      </c>
      <c r="E38" s="231">
        <f ca="1">IF(ISERROR(VLOOKUP($A38,INDIRECT(E$1&amp;"!"&amp;"c4:c27"),1,0)),"",$M38)</f>
        <v>11</v>
      </c>
      <c r="F38" s="231">
        <f ca="1">IF(ISERROR(VLOOKUP($A38,INDIRECT(F$1&amp;"!"&amp;"c4:c27"),1,0)),"",$M38)</f>
        <v>11</v>
      </c>
      <c r="G38" s="231">
        <f ca="1">IF(ISERROR(VLOOKUP($A38,INDIRECT(G$1&amp;"!"&amp;"c4:c27"),1,0)),"",$M38)</f>
        <v>11</v>
      </c>
      <c r="H38" s="231">
        <f ca="1">IF(ISERROR(VLOOKUP($A38,INDIRECT(H$1&amp;"!"&amp;"c4:c27"),1,0)),"",$M38)</f>
        <v>11</v>
      </c>
      <c r="I38" s="231">
        <f ca="1">IF(ISERROR(VLOOKUP($A38,INDIRECT(I$1&amp;"!"&amp;"c4:c27"),1,0)),"",$M38)</f>
        <v>11</v>
      </c>
      <c r="J38" s="231">
        <f ca="1">IF(ISERROR(VLOOKUP($A38,INDIRECT(J$1&amp;"!"&amp;"c4:c27"),1,0)),"",$M38)</f>
        <v>11</v>
      </c>
      <c r="K38" s="231">
        <f ca="1">IF(ISERROR(VLOOKUP($A38,INDIRECT(K$1&amp;"!"&amp;"c4:c27"),1,0)),"",$M38)</f>
        <v>11</v>
      </c>
      <c r="L38" s="231">
        <f t="shared" ca="1" si="0"/>
        <v>11</v>
      </c>
      <c r="M38" s="232">
        <f ca="1">COUNTIF(Teams!$4:$27,A38)</f>
        <v>11</v>
      </c>
      <c r="N38" s="233">
        <f ca="1">VLOOKUP(A38,Score!B:Z,25,0)</f>
        <v>191.09051541514262</v>
      </c>
    </row>
    <row r="39" spans="1:17" s="236" customFormat="1">
      <c r="A39" s="230" t="s">
        <v>86</v>
      </c>
      <c r="B39" s="231">
        <f t="shared" ca="1" si="0"/>
        <v>11</v>
      </c>
      <c r="C39" s="231">
        <f ca="1">IF(ISERROR(VLOOKUP($A39,INDIRECT(C$1&amp;"!"&amp;"c4:c27"),1,0)),"",$M39)</f>
        <v>11</v>
      </c>
      <c r="D39" s="231">
        <f ca="1">IF(ISERROR(VLOOKUP($A39,INDIRECT(D$1&amp;"!"&amp;"c4:c27"),1,0)),"",$M39)</f>
        <v>11</v>
      </c>
      <c r="E39" s="231">
        <f ca="1">IF(ISERROR(VLOOKUP($A39,INDIRECT(E$1&amp;"!"&amp;"c4:c27"),1,0)),"",$M39)</f>
        <v>11</v>
      </c>
      <c r="F39" s="231">
        <f ca="1">IF(ISERROR(VLOOKUP($A39,INDIRECT(F$1&amp;"!"&amp;"c4:c27"),1,0)),"",$M39)</f>
        <v>11</v>
      </c>
      <c r="G39" s="231">
        <f ca="1">IF(ISERROR(VLOOKUP($A39,INDIRECT(G$1&amp;"!"&amp;"c4:c27"),1,0)),"",$M39)</f>
        <v>11</v>
      </c>
      <c r="H39" s="231">
        <f ca="1">IF(ISERROR(VLOOKUP($A39,INDIRECT(H$1&amp;"!"&amp;"c4:c27"),1,0)),"",$M39)</f>
        <v>11</v>
      </c>
      <c r="I39" s="231">
        <f ca="1">IF(ISERROR(VLOOKUP($A39,INDIRECT(I$1&amp;"!"&amp;"c4:c27"),1,0)),"",$M39)</f>
        <v>11</v>
      </c>
      <c r="J39" s="231">
        <f ca="1">IF(ISERROR(VLOOKUP($A39,INDIRECT(J$1&amp;"!"&amp;"c4:c27"),1,0)),"",$M39)</f>
        <v>11</v>
      </c>
      <c r="K39" s="231">
        <f ca="1">IF(ISERROR(VLOOKUP($A39,INDIRECT(K$1&amp;"!"&amp;"c4:c27"),1,0)),"",$M39)</f>
        <v>11</v>
      </c>
      <c r="L39" s="231">
        <f t="shared" ca="1" si="0"/>
        <v>11</v>
      </c>
      <c r="M39" s="232">
        <f ca="1">COUNTIF(Teams!$4:$27,A39)</f>
        <v>11</v>
      </c>
      <c r="N39" s="233">
        <f ca="1">VLOOKUP(A39,Score!B:Z,25,0)</f>
        <v>47.095534077619774</v>
      </c>
    </row>
    <row r="40" spans="1:17" s="236" customFormat="1">
      <c r="A40" s="230" t="s">
        <v>199</v>
      </c>
      <c r="B40" s="231">
        <f t="shared" ca="1" si="0"/>
        <v>11</v>
      </c>
      <c r="C40" s="231">
        <f ca="1">IF(ISERROR(VLOOKUP($A40,INDIRECT(C$1&amp;"!"&amp;"c4:c27"),1,0)),"",$M40)</f>
        <v>11</v>
      </c>
      <c r="D40" s="231">
        <f ca="1">IF(ISERROR(VLOOKUP($A40,INDIRECT(D$1&amp;"!"&amp;"c4:c27"),1,0)),"",$M40)</f>
        <v>11</v>
      </c>
      <c r="E40" s="231">
        <f ca="1">IF(ISERROR(VLOOKUP($A40,INDIRECT(E$1&amp;"!"&amp;"c4:c27"),1,0)),"",$M40)</f>
        <v>11</v>
      </c>
      <c r="F40" s="231">
        <f ca="1">IF(ISERROR(VLOOKUP($A40,INDIRECT(F$1&amp;"!"&amp;"c4:c27"),1,0)),"",$M40)</f>
        <v>11</v>
      </c>
      <c r="G40" s="231">
        <f ca="1">IF(ISERROR(VLOOKUP($A40,INDIRECT(G$1&amp;"!"&amp;"c4:c27"),1,0)),"",$M40)</f>
        <v>11</v>
      </c>
      <c r="H40" s="231">
        <f ca="1">IF(ISERROR(VLOOKUP($A40,INDIRECT(H$1&amp;"!"&amp;"c4:c27"),1,0)),"",$M40)</f>
        <v>11</v>
      </c>
      <c r="I40" s="231">
        <f ca="1">IF(ISERROR(VLOOKUP($A40,INDIRECT(I$1&amp;"!"&amp;"c4:c27"),1,0)),"",$M40)</f>
        <v>11</v>
      </c>
      <c r="J40" s="231">
        <f ca="1">IF(ISERROR(VLOOKUP($A40,INDIRECT(J$1&amp;"!"&amp;"c4:c27"),1,0)),"",$M40)</f>
        <v>11</v>
      </c>
      <c r="K40" s="231">
        <f ca="1">IF(ISERROR(VLOOKUP($A40,INDIRECT(K$1&amp;"!"&amp;"c4:c27"),1,0)),"",$M40)</f>
        <v>11</v>
      </c>
      <c r="L40" s="231">
        <f t="shared" ca="1" si="0"/>
        <v>11</v>
      </c>
      <c r="M40" s="232">
        <f ca="1">COUNTIF(Teams!$4:$27,A40)</f>
        <v>11</v>
      </c>
      <c r="N40" s="233">
        <f ca="1">VLOOKUP(A40,Score!B:Z,25,0)</f>
        <v>621.01379209691868</v>
      </c>
      <c r="O40" s="269"/>
      <c r="P40" s="269"/>
      <c r="Q40" s="269"/>
    </row>
    <row r="41" spans="1:17" s="236" customFormat="1">
      <c r="A41" s="230" t="s">
        <v>134</v>
      </c>
      <c r="B41" s="231">
        <f t="shared" ca="1" si="0"/>
        <v>11</v>
      </c>
      <c r="C41" s="231">
        <f ca="1">IF(ISERROR(VLOOKUP($A41,INDIRECT(C$1&amp;"!"&amp;"c4:c27"),1,0)),"",$M41)</f>
        <v>11</v>
      </c>
      <c r="D41" s="231">
        <f ca="1">IF(ISERROR(VLOOKUP($A41,INDIRECT(D$1&amp;"!"&amp;"c4:c27"),1,0)),"",$M41)</f>
        <v>11</v>
      </c>
      <c r="E41" s="231">
        <f ca="1">IF(ISERROR(VLOOKUP($A41,INDIRECT(E$1&amp;"!"&amp;"c4:c27"),1,0)),"",$M41)</f>
        <v>11</v>
      </c>
      <c r="F41" s="231">
        <f ca="1">IF(ISERROR(VLOOKUP($A41,INDIRECT(F$1&amp;"!"&amp;"c4:c27"),1,0)),"",$M41)</f>
        <v>11</v>
      </c>
      <c r="G41" s="231">
        <f ca="1">IF(ISERROR(VLOOKUP($A41,INDIRECT(G$1&amp;"!"&amp;"c4:c27"),1,0)),"",$M41)</f>
        <v>11</v>
      </c>
      <c r="H41" s="231">
        <f ca="1">IF(ISERROR(VLOOKUP($A41,INDIRECT(H$1&amp;"!"&amp;"c4:c27"),1,0)),"",$M41)</f>
        <v>11</v>
      </c>
      <c r="I41" s="231">
        <f ca="1">IF(ISERROR(VLOOKUP($A41,INDIRECT(I$1&amp;"!"&amp;"c4:c27"),1,0)),"",$M41)</f>
        <v>11</v>
      </c>
      <c r="J41" s="231">
        <f ca="1">IF(ISERROR(VLOOKUP($A41,INDIRECT(J$1&amp;"!"&amp;"c4:c27"),1,0)),"",$M41)</f>
        <v>11</v>
      </c>
      <c r="K41" s="231">
        <f ca="1">IF(ISERROR(VLOOKUP($A41,INDIRECT(K$1&amp;"!"&amp;"c4:c27"),1,0)),"",$M41)</f>
        <v>11</v>
      </c>
      <c r="L41" s="231">
        <f t="shared" ca="1" si="0"/>
        <v>11</v>
      </c>
      <c r="M41" s="232">
        <f ca="1">COUNTIF(Teams!$4:$27,A41)</f>
        <v>11</v>
      </c>
      <c r="N41" s="233">
        <f ca="1">VLOOKUP(A41,Score!B:Z,25,0)</f>
        <v>463.02812813736631</v>
      </c>
    </row>
    <row r="42" spans="1:17" s="236" customFormat="1">
      <c r="A42" s="230" t="s">
        <v>72</v>
      </c>
      <c r="B42" s="231">
        <f t="shared" ref="B42:L51" ca="1" si="1">IF(ISERROR(VLOOKUP($A42,INDIRECT(B$1&amp;"!"&amp;"c4:c27"),1,0)),"",$M42)</f>
        <v>11</v>
      </c>
      <c r="C42" s="231">
        <f ca="1">IF(ISERROR(VLOOKUP($A42,INDIRECT(C$1&amp;"!"&amp;"c4:c27"),1,0)),"",$M42)</f>
        <v>11</v>
      </c>
      <c r="D42" s="231">
        <f ca="1">IF(ISERROR(VLOOKUP($A42,INDIRECT(D$1&amp;"!"&amp;"c4:c27"),1,0)),"",$M42)</f>
        <v>11</v>
      </c>
      <c r="E42" s="231">
        <f ca="1">IF(ISERROR(VLOOKUP($A42,INDIRECT(E$1&amp;"!"&amp;"c4:c27"),1,0)),"",$M42)</f>
        <v>11</v>
      </c>
      <c r="F42" s="231">
        <f ca="1">IF(ISERROR(VLOOKUP($A42,INDIRECT(F$1&amp;"!"&amp;"c4:c27"),1,0)),"",$M42)</f>
        <v>11</v>
      </c>
      <c r="G42" s="231">
        <f ca="1">IF(ISERROR(VLOOKUP($A42,INDIRECT(G$1&amp;"!"&amp;"c4:c27"),1,0)),"",$M42)</f>
        <v>11</v>
      </c>
      <c r="H42" s="231">
        <f ca="1">IF(ISERROR(VLOOKUP($A42,INDIRECT(H$1&amp;"!"&amp;"c4:c27"),1,0)),"",$M42)</f>
        <v>11</v>
      </c>
      <c r="I42" s="231">
        <f ca="1">IF(ISERROR(VLOOKUP($A42,INDIRECT(I$1&amp;"!"&amp;"c4:c27"),1,0)),"",$M42)</f>
        <v>11</v>
      </c>
      <c r="J42" s="231">
        <f ca="1">IF(ISERROR(VLOOKUP($A42,INDIRECT(J$1&amp;"!"&amp;"c4:c27"),1,0)),"",$M42)</f>
        <v>11</v>
      </c>
      <c r="K42" s="231">
        <f ca="1">IF(ISERROR(VLOOKUP($A42,INDIRECT(K$1&amp;"!"&amp;"c4:c27"),1,0)),"",$M42)</f>
        <v>11</v>
      </c>
      <c r="L42" s="231">
        <f t="shared" ca="1" si="1"/>
        <v>11</v>
      </c>
      <c r="M42" s="232">
        <f ca="1">COUNTIF(Teams!$4:$27,A42)</f>
        <v>11</v>
      </c>
      <c r="N42" s="233">
        <f ca="1">VLOOKUP(A42,Score!B:Z,25,0)</f>
        <v>286.00639312098394</v>
      </c>
    </row>
    <row r="43" spans="1:17" s="316" customFormat="1" hidden="1">
      <c r="A43" s="312"/>
      <c r="B43" s="313" t="str">
        <f t="shared" ca="1" si="1"/>
        <v/>
      </c>
      <c r="C43" s="313" t="str">
        <f ca="1">IF(ISERROR(VLOOKUP($A43,INDIRECT(C$1&amp;"!"&amp;"c4:c27"),1,0)),"",$M43)</f>
        <v/>
      </c>
      <c r="D43" s="313" t="str">
        <f ca="1">IF(ISERROR(VLOOKUP($A43,INDIRECT(D$1&amp;"!"&amp;"c4:c27"),1,0)),"",$M43)</f>
        <v/>
      </c>
      <c r="E43" s="313" t="str">
        <f ca="1">IF(ISERROR(VLOOKUP($A43,INDIRECT(E$1&amp;"!"&amp;"c4:c27"),1,0)),"",$M43)</f>
        <v/>
      </c>
      <c r="F43" s="313" t="str">
        <f ca="1">IF(ISERROR(VLOOKUP($A43,INDIRECT(F$1&amp;"!"&amp;"c4:c27"),1,0)),"",$M43)</f>
        <v/>
      </c>
      <c r="G43" s="313" t="str">
        <f ca="1">IF(ISERROR(VLOOKUP($A43,INDIRECT(G$1&amp;"!"&amp;"c4:c27"),1,0)),"",$M43)</f>
        <v/>
      </c>
      <c r="H43" s="313" t="str">
        <f ca="1">IF(ISERROR(VLOOKUP($A43,INDIRECT(H$1&amp;"!"&amp;"c4:c27"),1,0)),"",$M43)</f>
        <v/>
      </c>
      <c r="I43" s="313" t="str">
        <f ca="1">IF(ISERROR(VLOOKUP($A43,INDIRECT(I$1&amp;"!"&amp;"c4:c27"),1,0)),"",$M43)</f>
        <v/>
      </c>
      <c r="J43" s="313" t="str">
        <f ca="1">IF(ISERROR(VLOOKUP($A43,INDIRECT(J$1&amp;"!"&amp;"c4:c27"),1,0)),"",$M43)</f>
        <v/>
      </c>
      <c r="K43" s="313" t="str">
        <f ca="1">IF(ISERROR(VLOOKUP($A43,INDIRECT(K$1&amp;"!"&amp;"c4:c27"),1,0)),"",$M43)</f>
        <v/>
      </c>
      <c r="L43" s="313" t="str">
        <f t="shared" ca="1" si="1"/>
        <v/>
      </c>
      <c r="M43" s="314">
        <f ca="1">COUNTIF(Teams!$4:$20,A43)</f>
        <v>17</v>
      </c>
      <c r="N43" s="315" t="e">
        <f>VLOOKUP(A43,Score!B:Z,25,0)</f>
        <v>#N/A</v>
      </c>
    </row>
    <row r="44" spans="1:17" s="316" customFormat="1" hidden="1">
      <c r="A44" s="312"/>
      <c r="B44" s="313" t="str">
        <f t="shared" ca="1" si="1"/>
        <v/>
      </c>
      <c r="C44" s="313" t="str">
        <f ca="1">IF(ISERROR(VLOOKUP($A44,INDIRECT(C$1&amp;"!"&amp;"c4:c27"),1,0)),"",$M44)</f>
        <v/>
      </c>
      <c r="D44" s="313" t="str">
        <f ca="1">IF(ISERROR(VLOOKUP($A44,INDIRECT(D$1&amp;"!"&amp;"c4:c27"),1,0)),"",$M44)</f>
        <v/>
      </c>
      <c r="E44" s="313" t="str">
        <f ca="1">IF(ISERROR(VLOOKUP($A44,INDIRECT(E$1&amp;"!"&amp;"c4:c27"),1,0)),"",$M44)</f>
        <v/>
      </c>
      <c r="F44" s="313" t="str">
        <f ca="1">IF(ISERROR(VLOOKUP($A44,INDIRECT(F$1&amp;"!"&amp;"c4:c27"),1,0)),"",$M44)</f>
        <v/>
      </c>
      <c r="G44" s="313" t="str">
        <f ca="1">IF(ISERROR(VLOOKUP($A44,INDIRECT(G$1&amp;"!"&amp;"c4:c27"),1,0)),"",$M44)</f>
        <v/>
      </c>
      <c r="H44" s="313" t="str">
        <f ca="1">IF(ISERROR(VLOOKUP($A44,INDIRECT(H$1&amp;"!"&amp;"c4:c27"),1,0)),"",$M44)</f>
        <v/>
      </c>
      <c r="I44" s="313" t="str">
        <f ca="1">IF(ISERROR(VLOOKUP($A44,INDIRECT(I$1&amp;"!"&amp;"c4:c27"),1,0)),"",$M44)</f>
        <v/>
      </c>
      <c r="J44" s="313" t="str">
        <f ca="1">IF(ISERROR(VLOOKUP($A44,INDIRECT(J$1&amp;"!"&amp;"c4:c27"),1,0)),"",$M44)</f>
        <v/>
      </c>
      <c r="K44" s="313" t="str">
        <f ca="1">IF(ISERROR(VLOOKUP($A44,INDIRECT(K$1&amp;"!"&amp;"c4:c27"),1,0)),"",$M44)</f>
        <v/>
      </c>
      <c r="L44" s="313" t="str">
        <f t="shared" ca="1" si="1"/>
        <v/>
      </c>
      <c r="M44" s="314">
        <f ca="1">COUNTIF(Teams!$4:$20,A44)</f>
        <v>17</v>
      </c>
      <c r="N44" s="315" t="e">
        <f>VLOOKUP(A44,Score!B:Z,25,0)</f>
        <v>#N/A</v>
      </c>
    </row>
    <row r="45" spans="1:17" s="236" customFormat="1" hidden="1">
      <c r="A45" s="230"/>
      <c r="B45" s="231" t="str">
        <f t="shared" ca="1" si="1"/>
        <v/>
      </c>
      <c r="C45" s="231" t="str">
        <f ca="1">IF(ISERROR(VLOOKUP($A45,INDIRECT(C$1&amp;"!"&amp;"c4:c27"),1,0)),"",$M45)</f>
        <v/>
      </c>
      <c r="D45" s="231" t="str">
        <f ca="1">IF(ISERROR(VLOOKUP($A45,INDIRECT(D$1&amp;"!"&amp;"c4:c27"),1,0)),"",$M45)</f>
        <v/>
      </c>
      <c r="E45" s="231" t="str">
        <f ca="1">IF(ISERROR(VLOOKUP($A45,INDIRECT(E$1&amp;"!"&amp;"c4:c27"),1,0)),"",$M45)</f>
        <v/>
      </c>
      <c r="F45" s="231" t="str">
        <f ca="1">IF(ISERROR(VLOOKUP($A45,INDIRECT(F$1&amp;"!"&amp;"c4:c27"),1,0)),"",$M45)</f>
        <v/>
      </c>
      <c r="G45" s="231" t="str">
        <f ca="1">IF(ISERROR(VLOOKUP($A45,INDIRECT(G$1&amp;"!"&amp;"c4:c27"),1,0)),"",$M45)</f>
        <v/>
      </c>
      <c r="H45" s="231" t="str">
        <f ca="1">IF(ISERROR(VLOOKUP($A45,INDIRECT(H$1&amp;"!"&amp;"c4:c27"),1,0)),"",$M45)</f>
        <v/>
      </c>
      <c r="I45" s="231" t="str">
        <f ca="1">IF(ISERROR(VLOOKUP($A45,INDIRECT(I$1&amp;"!"&amp;"c4:c27"),1,0)),"",$M45)</f>
        <v/>
      </c>
      <c r="J45" s="231" t="str">
        <f ca="1">IF(ISERROR(VLOOKUP($A45,INDIRECT(J$1&amp;"!"&amp;"c4:c27"),1,0)),"",$M45)</f>
        <v/>
      </c>
      <c r="K45" s="231" t="str">
        <f ca="1">IF(ISERROR(VLOOKUP($A45,INDIRECT(K$1&amp;"!"&amp;"c4:c27"),1,0)),"",$M45)</f>
        <v/>
      </c>
      <c r="L45" s="231" t="str">
        <f t="shared" ca="1" si="1"/>
        <v/>
      </c>
      <c r="M45" s="232">
        <f ca="1">COUNTIF(Teams!$4:$20,A45)</f>
        <v>17</v>
      </c>
      <c r="N45" s="233" t="e">
        <f>VLOOKUP(A45,Score!B:Z,25,0)</f>
        <v>#N/A</v>
      </c>
    </row>
    <row r="46" spans="1:17" s="236" customFormat="1" hidden="1">
      <c r="A46" s="230"/>
      <c r="B46" s="231" t="str">
        <f t="shared" ca="1" si="1"/>
        <v/>
      </c>
      <c r="C46" s="231" t="str">
        <f ca="1">IF(ISERROR(VLOOKUP($A46,INDIRECT(C$1&amp;"!"&amp;"c4:c27"),1,0)),"",$M46)</f>
        <v/>
      </c>
      <c r="D46" s="231" t="str">
        <f ca="1">IF(ISERROR(VLOOKUP($A46,INDIRECT(D$1&amp;"!"&amp;"c4:c27"),1,0)),"",$M46)</f>
        <v/>
      </c>
      <c r="E46" s="231" t="str">
        <f ca="1">IF(ISERROR(VLOOKUP($A46,INDIRECT(E$1&amp;"!"&amp;"c4:c27"),1,0)),"",$M46)</f>
        <v/>
      </c>
      <c r="F46" s="231" t="str">
        <f ca="1">IF(ISERROR(VLOOKUP($A46,INDIRECT(F$1&amp;"!"&amp;"c4:c27"),1,0)),"",$M46)</f>
        <v/>
      </c>
      <c r="G46" s="231" t="str">
        <f ca="1">IF(ISERROR(VLOOKUP($A46,INDIRECT(G$1&amp;"!"&amp;"c4:c27"),1,0)),"",$M46)</f>
        <v/>
      </c>
      <c r="H46" s="231" t="str">
        <f ca="1">IF(ISERROR(VLOOKUP($A46,INDIRECT(H$1&amp;"!"&amp;"c4:c27"),1,0)),"",$M46)</f>
        <v/>
      </c>
      <c r="I46" s="231" t="str">
        <f ca="1">IF(ISERROR(VLOOKUP($A46,INDIRECT(I$1&amp;"!"&amp;"c4:c27"),1,0)),"",$M46)</f>
        <v/>
      </c>
      <c r="J46" s="231" t="str">
        <f ca="1">IF(ISERROR(VLOOKUP($A46,INDIRECT(J$1&amp;"!"&amp;"c4:c27"),1,0)),"",$M46)</f>
        <v/>
      </c>
      <c r="K46" s="231" t="str">
        <f ca="1">IF(ISERROR(VLOOKUP($A46,INDIRECT(K$1&amp;"!"&amp;"c4:c27"),1,0)),"",$M46)</f>
        <v/>
      </c>
      <c r="L46" s="231" t="str">
        <f t="shared" ca="1" si="1"/>
        <v/>
      </c>
      <c r="M46" s="232">
        <f ca="1">COUNTIF(Teams!$4:$20,A46)</f>
        <v>17</v>
      </c>
      <c r="N46" s="233" t="e">
        <f>VLOOKUP(A46,Score!B:Z,25,0)</f>
        <v>#N/A</v>
      </c>
      <c r="O46" s="269"/>
      <c r="P46" s="269"/>
      <c r="Q46" s="269"/>
    </row>
    <row r="47" spans="1:17" s="236" customFormat="1" hidden="1">
      <c r="A47" s="230"/>
      <c r="B47" s="231" t="str">
        <f t="shared" ca="1" si="1"/>
        <v/>
      </c>
      <c r="C47" s="231" t="str">
        <f ca="1">IF(ISERROR(VLOOKUP($A47,INDIRECT(C$1&amp;"!"&amp;"c4:c27"),1,0)),"",$M47)</f>
        <v/>
      </c>
      <c r="D47" s="231" t="str">
        <f ca="1">IF(ISERROR(VLOOKUP($A47,INDIRECT(D$1&amp;"!"&amp;"c4:c27"),1,0)),"",$M47)</f>
        <v/>
      </c>
      <c r="E47" s="231" t="str">
        <f ca="1">IF(ISERROR(VLOOKUP($A47,INDIRECT(E$1&amp;"!"&amp;"c4:c27"),1,0)),"",$M47)</f>
        <v/>
      </c>
      <c r="F47" s="231" t="str">
        <f ca="1">IF(ISERROR(VLOOKUP($A47,INDIRECT(F$1&amp;"!"&amp;"c4:c27"),1,0)),"",$M47)</f>
        <v/>
      </c>
      <c r="G47" s="231" t="str">
        <f ca="1">IF(ISERROR(VLOOKUP($A47,INDIRECT(G$1&amp;"!"&amp;"c4:c27"),1,0)),"",$M47)</f>
        <v/>
      </c>
      <c r="H47" s="231" t="str">
        <f ca="1">IF(ISERROR(VLOOKUP($A47,INDIRECT(H$1&amp;"!"&amp;"c4:c27"),1,0)),"",$M47)</f>
        <v/>
      </c>
      <c r="I47" s="231" t="str">
        <f ca="1">IF(ISERROR(VLOOKUP($A47,INDIRECT(I$1&amp;"!"&amp;"c4:c27"),1,0)),"",$M47)</f>
        <v/>
      </c>
      <c r="J47" s="231" t="str">
        <f ca="1">IF(ISERROR(VLOOKUP($A47,INDIRECT(J$1&amp;"!"&amp;"c4:c27"),1,0)),"",$M47)</f>
        <v/>
      </c>
      <c r="K47" s="231" t="str">
        <f ca="1">IF(ISERROR(VLOOKUP($A47,INDIRECT(K$1&amp;"!"&amp;"c4:c27"),1,0)),"",$M47)</f>
        <v/>
      </c>
      <c r="L47" s="231" t="str">
        <f t="shared" ca="1" si="1"/>
        <v/>
      </c>
      <c r="M47" s="232">
        <f ca="1">COUNTIF(Teams!$4:$20,A47)</f>
        <v>17</v>
      </c>
      <c r="N47" s="233" t="e">
        <f>VLOOKUP(A47,Score!B:Z,25,0)</f>
        <v>#N/A</v>
      </c>
    </row>
    <row r="48" spans="1:17" s="272" customFormat="1" hidden="1">
      <c r="A48" s="230"/>
      <c r="B48" s="231" t="str">
        <f t="shared" ca="1" si="1"/>
        <v/>
      </c>
      <c r="C48" s="231" t="str">
        <f ca="1">IF(ISERROR(VLOOKUP($A48,INDIRECT(C$1&amp;"!"&amp;"c4:c27"),1,0)),"",$M48)</f>
        <v/>
      </c>
      <c r="D48" s="231" t="str">
        <f ca="1">IF(ISERROR(VLOOKUP($A48,INDIRECT(D$1&amp;"!"&amp;"c4:c27"),1,0)),"",$M48)</f>
        <v/>
      </c>
      <c r="E48" s="231" t="str">
        <f ca="1">IF(ISERROR(VLOOKUP($A48,INDIRECT(E$1&amp;"!"&amp;"c4:c27"),1,0)),"",$M48)</f>
        <v/>
      </c>
      <c r="F48" s="231" t="str">
        <f ca="1">IF(ISERROR(VLOOKUP($A48,INDIRECT(F$1&amp;"!"&amp;"c4:c27"),1,0)),"",$M48)</f>
        <v/>
      </c>
      <c r="G48" s="231" t="str">
        <f ca="1">IF(ISERROR(VLOOKUP($A48,INDIRECT(G$1&amp;"!"&amp;"c4:c27"),1,0)),"",$M48)</f>
        <v/>
      </c>
      <c r="H48" s="231" t="str">
        <f ca="1">IF(ISERROR(VLOOKUP($A48,INDIRECT(H$1&amp;"!"&amp;"c4:c27"),1,0)),"",$M48)</f>
        <v/>
      </c>
      <c r="I48" s="231" t="str">
        <f ca="1">IF(ISERROR(VLOOKUP($A48,INDIRECT(I$1&amp;"!"&amp;"c4:c27"),1,0)),"",$M48)</f>
        <v/>
      </c>
      <c r="J48" s="231" t="str">
        <f ca="1">IF(ISERROR(VLOOKUP($A48,INDIRECT(J$1&amp;"!"&amp;"c4:c27"),1,0)),"",$M48)</f>
        <v/>
      </c>
      <c r="K48" s="231" t="str">
        <f ca="1">IF(ISERROR(VLOOKUP($A48,INDIRECT(K$1&amp;"!"&amp;"c4:c27"),1,0)),"",$M48)</f>
        <v/>
      </c>
      <c r="L48" s="231" t="str">
        <f t="shared" ca="1" si="1"/>
        <v/>
      </c>
      <c r="M48" s="232">
        <f ca="1">COUNTIF(Teams!$4:$20,A48)</f>
        <v>17</v>
      </c>
      <c r="N48" s="233" t="e">
        <f>VLOOKUP(A48,Score!B:Z,25,0)</f>
        <v>#N/A</v>
      </c>
    </row>
    <row r="49" spans="1:14" s="236" customFormat="1" hidden="1">
      <c r="A49" s="230"/>
      <c r="B49" s="231" t="str">
        <f t="shared" ca="1" si="1"/>
        <v/>
      </c>
      <c r="C49" s="231" t="str">
        <f ca="1">IF(ISERROR(VLOOKUP($A49,INDIRECT(C$1&amp;"!"&amp;"c4:c27"),1,0)),"",$M49)</f>
        <v/>
      </c>
      <c r="D49" s="231" t="str">
        <f ca="1">IF(ISERROR(VLOOKUP($A49,INDIRECT(D$1&amp;"!"&amp;"c4:c27"),1,0)),"",$M49)</f>
        <v/>
      </c>
      <c r="E49" s="231" t="str">
        <f ca="1">IF(ISERROR(VLOOKUP($A49,INDIRECT(E$1&amp;"!"&amp;"c4:c27"),1,0)),"",$M49)</f>
        <v/>
      </c>
      <c r="F49" s="231" t="str">
        <f ca="1">IF(ISERROR(VLOOKUP($A49,INDIRECT(F$1&amp;"!"&amp;"c4:c27"),1,0)),"",$M49)</f>
        <v/>
      </c>
      <c r="G49" s="231" t="str">
        <f ca="1">IF(ISERROR(VLOOKUP($A49,INDIRECT(G$1&amp;"!"&amp;"c4:c27"),1,0)),"",$M49)</f>
        <v/>
      </c>
      <c r="H49" s="231" t="str">
        <f ca="1">IF(ISERROR(VLOOKUP($A49,INDIRECT(H$1&amp;"!"&amp;"c4:c27"),1,0)),"",$M49)</f>
        <v/>
      </c>
      <c r="I49" s="231" t="str">
        <f ca="1">IF(ISERROR(VLOOKUP($A49,INDIRECT(I$1&amp;"!"&amp;"c4:c27"),1,0)),"",$M49)</f>
        <v/>
      </c>
      <c r="J49" s="231" t="str">
        <f ca="1">IF(ISERROR(VLOOKUP($A49,INDIRECT(J$1&amp;"!"&amp;"c4:c27"),1,0)),"",$M49)</f>
        <v/>
      </c>
      <c r="K49" s="231" t="str">
        <f ca="1">IF(ISERROR(VLOOKUP($A49,INDIRECT(K$1&amp;"!"&amp;"c4:c27"),1,0)),"",$M49)</f>
        <v/>
      </c>
      <c r="L49" s="231" t="str">
        <f t="shared" ca="1" si="1"/>
        <v/>
      </c>
      <c r="M49" s="232">
        <f ca="1">COUNTIF(Teams!$4:$20,A49)</f>
        <v>17</v>
      </c>
      <c r="N49" s="233" t="e">
        <f>VLOOKUP(A49,Score!B:Z,25,0)</f>
        <v>#N/A</v>
      </c>
    </row>
    <row r="50" spans="1:14" s="236" customFormat="1" hidden="1">
      <c r="A50" s="230"/>
      <c r="B50" s="231" t="str">
        <f t="shared" ca="1" si="1"/>
        <v/>
      </c>
      <c r="C50" s="231" t="str">
        <f ca="1">IF(ISERROR(VLOOKUP($A50,INDIRECT(C$1&amp;"!"&amp;"c4:c27"),1,0)),"",$M50)</f>
        <v/>
      </c>
      <c r="D50" s="231" t="str">
        <f ca="1">IF(ISERROR(VLOOKUP($A50,INDIRECT(D$1&amp;"!"&amp;"c4:c27"),1,0)),"",$M50)</f>
        <v/>
      </c>
      <c r="E50" s="231" t="str">
        <f ca="1">IF(ISERROR(VLOOKUP($A50,INDIRECT(E$1&amp;"!"&amp;"c4:c27"),1,0)),"",$M50)</f>
        <v/>
      </c>
      <c r="F50" s="231" t="str">
        <f ca="1">IF(ISERROR(VLOOKUP($A50,INDIRECT(F$1&amp;"!"&amp;"c4:c27"),1,0)),"",$M50)</f>
        <v/>
      </c>
      <c r="G50" s="231" t="str">
        <f ca="1">IF(ISERROR(VLOOKUP($A50,INDIRECT(G$1&amp;"!"&amp;"c4:c27"),1,0)),"",$M50)</f>
        <v/>
      </c>
      <c r="H50" s="231" t="str">
        <f ca="1">IF(ISERROR(VLOOKUP($A50,INDIRECT(H$1&amp;"!"&amp;"c4:c27"),1,0)),"",$M50)</f>
        <v/>
      </c>
      <c r="I50" s="231" t="str">
        <f ca="1">IF(ISERROR(VLOOKUP($A50,INDIRECT(I$1&amp;"!"&amp;"c4:c27"),1,0)),"",$M50)</f>
        <v/>
      </c>
      <c r="J50" s="231" t="str">
        <f ca="1">IF(ISERROR(VLOOKUP($A50,INDIRECT(J$1&amp;"!"&amp;"c4:c27"),1,0)),"",$M50)</f>
        <v/>
      </c>
      <c r="K50" s="231" t="str">
        <f ca="1">IF(ISERROR(VLOOKUP($A50,INDIRECT(K$1&amp;"!"&amp;"c4:c27"),1,0)),"",$M50)</f>
        <v/>
      </c>
      <c r="L50" s="231" t="str">
        <f t="shared" ca="1" si="1"/>
        <v/>
      </c>
      <c r="M50" s="232">
        <f ca="1">COUNTIF(Teams!$4:$20,A50)</f>
        <v>17</v>
      </c>
      <c r="N50" s="233" t="e">
        <f>VLOOKUP(A50,Score!B:Z,25,0)</f>
        <v>#N/A</v>
      </c>
    </row>
    <row r="51" spans="1:14" s="236" customFormat="1" hidden="1">
      <c r="A51" s="230"/>
      <c r="B51" s="231" t="str">
        <f t="shared" ca="1" si="1"/>
        <v/>
      </c>
      <c r="C51" s="231" t="str">
        <f ca="1">IF(ISERROR(VLOOKUP($A51,INDIRECT(C$1&amp;"!"&amp;"c4:c27"),1,0)),"",$M51)</f>
        <v/>
      </c>
      <c r="D51" s="231" t="str">
        <f ca="1">IF(ISERROR(VLOOKUP($A51,INDIRECT(D$1&amp;"!"&amp;"c4:c27"),1,0)),"",$M51)</f>
        <v/>
      </c>
      <c r="E51" s="231" t="str">
        <f ca="1">IF(ISERROR(VLOOKUP($A51,INDIRECT(E$1&amp;"!"&amp;"c4:c27"),1,0)),"",$M51)</f>
        <v/>
      </c>
      <c r="F51" s="231" t="str">
        <f ca="1">IF(ISERROR(VLOOKUP($A51,INDIRECT(F$1&amp;"!"&amp;"c4:c27"),1,0)),"",$M51)</f>
        <v/>
      </c>
      <c r="G51" s="231" t="str">
        <f ca="1">IF(ISERROR(VLOOKUP($A51,INDIRECT(G$1&amp;"!"&amp;"c4:c27"),1,0)),"",$M51)</f>
        <v/>
      </c>
      <c r="H51" s="231" t="str">
        <f ca="1">IF(ISERROR(VLOOKUP($A51,INDIRECT(H$1&amp;"!"&amp;"c4:c27"),1,0)),"",$M51)</f>
        <v/>
      </c>
      <c r="I51" s="231" t="str">
        <f ca="1">IF(ISERROR(VLOOKUP($A51,INDIRECT(I$1&amp;"!"&amp;"c4:c27"),1,0)),"",$M51)</f>
        <v/>
      </c>
      <c r="J51" s="231" t="str">
        <f ca="1">IF(ISERROR(VLOOKUP($A51,INDIRECT(J$1&amp;"!"&amp;"c4:c27"),1,0)),"",$M51)</f>
        <v/>
      </c>
      <c r="K51" s="231" t="str">
        <f ca="1">IF(ISERROR(VLOOKUP($A51,INDIRECT(K$1&amp;"!"&amp;"c4:c27"),1,0)),"",$M51)</f>
        <v/>
      </c>
      <c r="L51" s="231" t="str">
        <f t="shared" ca="1" si="1"/>
        <v/>
      </c>
      <c r="M51" s="232">
        <f ca="1">COUNTIF(Teams!$4:$20,A51)</f>
        <v>17</v>
      </c>
      <c r="N51" s="233" t="e">
        <f>VLOOKUP(A51,Score!B:Z,25,0)</f>
        <v>#N/A</v>
      </c>
    </row>
    <row r="52" spans="1:14" s="236" customFormat="1" hidden="1">
      <c r="A52" s="230"/>
      <c r="B52" s="231" t="str">
        <f t="shared" ref="B52:L61" ca="1" si="2">IF(ISERROR(VLOOKUP($A52,INDIRECT(B$1&amp;"!"&amp;"c4:c27"),1,0)),"",$M52)</f>
        <v/>
      </c>
      <c r="C52" s="231" t="str">
        <f ca="1">IF(ISERROR(VLOOKUP($A52,INDIRECT(C$1&amp;"!"&amp;"c4:c27"),1,0)),"",$M52)</f>
        <v/>
      </c>
      <c r="D52" s="231" t="str">
        <f ca="1">IF(ISERROR(VLOOKUP($A52,INDIRECT(D$1&amp;"!"&amp;"c4:c27"),1,0)),"",$M52)</f>
        <v/>
      </c>
      <c r="E52" s="231" t="str">
        <f ca="1">IF(ISERROR(VLOOKUP($A52,INDIRECT(E$1&amp;"!"&amp;"c4:c27"),1,0)),"",$M52)</f>
        <v/>
      </c>
      <c r="F52" s="231" t="str">
        <f ca="1">IF(ISERROR(VLOOKUP($A52,INDIRECT(F$1&amp;"!"&amp;"c4:c27"),1,0)),"",$M52)</f>
        <v/>
      </c>
      <c r="G52" s="231" t="str">
        <f ca="1">IF(ISERROR(VLOOKUP($A52,INDIRECT(G$1&amp;"!"&amp;"c4:c27"),1,0)),"",$M52)</f>
        <v/>
      </c>
      <c r="H52" s="231" t="str">
        <f ca="1">IF(ISERROR(VLOOKUP($A52,INDIRECT(H$1&amp;"!"&amp;"c4:c27"),1,0)),"",$M52)</f>
        <v/>
      </c>
      <c r="I52" s="231" t="str">
        <f ca="1">IF(ISERROR(VLOOKUP($A52,INDIRECT(I$1&amp;"!"&amp;"c4:c27"),1,0)),"",$M52)</f>
        <v/>
      </c>
      <c r="J52" s="231" t="str">
        <f ca="1">IF(ISERROR(VLOOKUP($A52,INDIRECT(J$1&amp;"!"&amp;"c4:c27"),1,0)),"",$M52)</f>
        <v/>
      </c>
      <c r="K52" s="231" t="str">
        <f ca="1">IF(ISERROR(VLOOKUP($A52,INDIRECT(K$1&amp;"!"&amp;"c4:c27"),1,0)),"",$M52)</f>
        <v/>
      </c>
      <c r="L52" s="231" t="str">
        <f t="shared" ca="1" si="2"/>
        <v/>
      </c>
      <c r="M52" s="232">
        <f ca="1">COUNTIF(Teams!$4:$20,A52)</f>
        <v>17</v>
      </c>
      <c r="N52" s="233" t="e">
        <f>VLOOKUP(A52,Score!B:Z,25,0)</f>
        <v>#N/A</v>
      </c>
    </row>
    <row r="53" spans="1:14" s="236" customFormat="1" hidden="1">
      <c r="A53" s="230"/>
      <c r="B53" s="231" t="str">
        <f t="shared" ca="1" si="2"/>
        <v/>
      </c>
      <c r="C53" s="231" t="str">
        <f ca="1">IF(ISERROR(VLOOKUP($A53,INDIRECT(C$1&amp;"!"&amp;"c4:c27"),1,0)),"",$M53)</f>
        <v/>
      </c>
      <c r="D53" s="231" t="str">
        <f ca="1">IF(ISERROR(VLOOKUP($A53,INDIRECT(D$1&amp;"!"&amp;"c4:c27"),1,0)),"",$M53)</f>
        <v/>
      </c>
      <c r="E53" s="231" t="str">
        <f ca="1">IF(ISERROR(VLOOKUP($A53,INDIRECT(E$1&amp;"!"&amp;"c4:c27"),1,0)),"",$M53)</f>
        <v/>
      </c>
      <c r="F53" s="231" t="str">
        <f ca="1">IF(ISERROR(VLOOKUP($A53,INDIRECT(F$1&amp;"!"&amp;"c4:c27"),1,0)),"",$M53)</f>
        <v/>
      </c>
      <c r="G53" s="231" t="str">
        <f ca="1">IF(ISERROR(VLOOKUP($A53,INDIRECT(G$1&amp;"!"&amp;"c4:c27"),1,0)),"",$M53)</f>
        <v/>
      </c>
      <c r="H53" s="231" t="str">
        <f ca="1">IF(ISERROR(VLOOKUP($A53,INDIRECT(H$1&amp;"!"&amp;"c4:c27"),1,0)),"",$M53)</f>
        <v/>
      </c>
      <c r="I53" s="231" t="str">
        <f ca="1">IF(ISERROR(VLOOKUP($A53,INDIRECT(I$1&amp;"!"&amp;"c4:c27"),1,0)),"",$M53)</f>
        <v/>
      </c>
      <c r="J53" s="231" t="str">
        <f ca="1">IF(ISERROR(VLOOKUP($A53,INDIRECT(J$1&amp;"!"&amp;"c4:c27"),1,0)),"",$M53)</f>
        <v/>
      </c>
      <c r="K53" s="231" t="str">
        <f ca="1">IF(ISERROR(VLOOKUP($A53,INDIRECT(K$1&amp;"!"&amp;"c4:c27"),1,0)),"",$M53)</f>
        <v/>
      </c>
      <c r="L53" s="231" t="str">
        <f t="shared" ca="1" si="2"/>
        <v/>
      </c>
      <c r="M53" s="232">
        <f ca="1">COUNTIF(Teams!$4:$20,A53)</f>
        <v>17</v>
      </c>
      <c r="N53" s="233" t="e">
        <f>VLOOKUP(A53,Score!B:Z,25,0)</f>
        <v>#N/A</v>
      </c>
    </row>
    <row r="54" spans="1:14" s="236" customFormat="1" hidden="1">
      <c r="A54" s="230"/>
      <c r="B54" s="231" t="str">
        <f t="shared" ca="1" si="2"/>
        <v/>
      </c>
      <c r="C54" s="231" t="str">
        <f ca="1">IF(ISERROR(VLOOKUP($A54,INDIRECT(C$1&amp;"!"&amp;"c4:c27"),1,0)),"",$M54)</f>
        <v/>
      </c>
      <c r="D54" s="231" t="str">
        <f ca="1">IF(ISERROR(VLOOKUP($A54,INDIRECT(D$1&amp;"!"&amp;"c4:c27"),1,0)),"",$M54)</f>
        <v/>
      </c>
      <c r="E54" s="231" t="str">
        <f ca="1">IF(ISERROR(VLOOKUP($A54,INDIRECT(E$1&amp;"!"&amp;"c4:c27"),1,0)),"",$M54)</f>
        <v/>
      </c>
      <c r="F54" s="231" t="str">
        <f ca="1">IF(ISERROR(VLOOKUP($A54,INDIRECT(F$1&amp;"!"&amp;"c4:c27"),1,0)),"",$M54)</f>
        <v/>
      </c>
      <c r="G54" s="231" t="str">
        <f ca="1">IF(ISERROR(VLOOKUP($A54,INDIRECT(G$1&amp;"!"&amp;"c4:c27"),1,0)),"",$M54)</f>
        <v/>
      </c>
      <c r="H54" s="231" t="str">
        <f ca="1">IF(ISERROR(VLOOKUP($A54,INDIRECT(H$1&amp;"!"&amp;"c4:c27"),1,0)),"",$M54)</f>
        <v/>
      </c>
      <c r="I54" s="231" t="str">
        <f ca="1">IF(ISERROR(VLOOKUP($A54,INDIRECT(I$1&amp;"!"&amp;"c4:c27"),1,0)),"",$M54)</f>
        <v/>
      </c>
      <c r="J54" s="231" t="str">
        <f ca="1">IF(ISERROR(VLOOKUP($A54,INDIRECT(J$1&amp;"!"&amp;"c4:c27"),1,0)),"",$M54)</f>
        <v/>
      </c>
      <c r="K54" s="231" t="str">
        <f ca="1">IF(ISERROR(VLOOKUP($A54,INDIRECT(K$1&amp;"!"&amp;"c4:c27"),1,0)),"",$M54)</f>
        <v/>
      </c>
      <c r="L54" s="231" t="str">
        <f t="shared" ca="1" si="2"/>
        <v/>
      </c>
      <c r="M54" s="232">
        <f ca="1">COUNTIF(Teams!$4:$20,A54)</f>
        <v>17</v>
      </c>
      <c r="N54" s="233" t="e">
        <f>VLOOKUP(A54,Score!B:Z,25,0)</f>
        <v>#N/A</v>
      </c>
    </row>
    <row r="55" spans="1:14" s="236" customFormat="1" hidden="1">
      <c r="A55" s="230"/>
      <c r="B55" s="231" t="str">
        <f t="shared" ca="1" si="2"/>
        <v/>
      </c>
      <c r="C55" s="231" t="str">
        <f ca="1">IF(ISERROR(VLOOKUP($A55,INDIRECT(C$1&amp;"!"&amp;"c4:c27"),1,0)),"",$M55)</f>
        <v/>
      </c>
      <c r="D55" s="231" t="str">
        <f ca="1">IF(ISERROR(VLOOKUP($A55,INDIRECT(D$1&amp;"!"&amp;"c4:c27"),1,0)),"",$M55)</f>
        <v/>
      </c>
      <c r="E55" s="231" t="str">
        <f ca="1">IF(ISERROR(VLOOKUP($A55,INDIRECT(E$1&amp;"!"&amp;"c4:c27"),1,0)),"",$M55)</f>
        <v/>
      </c>
      <c r="F55" s="231" t="str">
        <f ca="1">IF(ISERROR(VLOOKUP($A55,INDIRECT(F$1&amp;"!"&amp;"c4:c27"),1,0)),"",$M55)</f>
        <v/>
      </c>
      <c r="G55" s="231" t="str">
        <f ca="1">IF(ISERROR(VLOOKUP($A55,INDIRECT(G$1&amp;"!"&amp;"c4:c27"),1,0)),"",$M55)</f>
        <v/>
      </c>
      <c r="H55" s="231" t="str">
        <f ca="1">IF(ISERROR(VLOOKUP($A55,INDIRECT(H$1&amp;"!"&amp;"c4:c27"),1,0)),"",$M55)</f>
        <v/>
      </c>
      <c r="I55" s="231" t="str">
        <f ca="1">IF(ISERROR(VLOOKUP($A55,INDIRECT(I$1&amp;"!"&amp;"c4:c27"),1,0)),"",$M55)</f>
        <v/>
      </c>
      <c r="J55" s="231" t="str">
        <f ca="1">IF(ISERROR(VLOOKUP($A55,INDIRECT(J$1&amp;"!"&amp;"c4:c27"),1,0)),"",$M55)</f>
        <v/>
      </c>
      <c r="K55" s="231" t="str">
        <f ca="1">IF(ISERROR(VLOOKUP($A55,INDIRECT(K$1&amp;"!"&amp;"c4:c27"),1,0)),"",$M55)</f>
        <v/>
      </c>
      <c r="L55" s="231" t="str">
        <f t="shared" ca="1" si="2"/>
        <v/>
      </c>
      <c r="M55" s="232">
        <f ca="1">COUNTIF(Teams!$4:$20,A55)</f>
        <v>17</v>
      </c>
      <c r="N55" s="233" t="e">
        <f>VLOOKUP(A55,Score!B:Z,25,0)</f>
        <v>#N/A</v>
      </c>
    </row>
    <row r="56" spans="1:14" s="236" customFormat="1" hidden="1">
      <c r="A56" s="230"/>
      <c r="B56" s="231" t="str">
        <f t="shared" ca="1" si="2"/>
        <v/>
      </c>
      <c r="C56" s="231" t="str">
        <f ca="1">IF(ISERROR(VLOOKUP($A56,INDIRECT(C$1&amp;"!"&amp;"c4:c27"),1,0)),"",$M56)</f>
        <v/>
      </c>
      <c r="D56" s="231" t="str">
        <f ca="1">IF(ISERROR(VLOOKUP($A56,INDIRECT(D$1&amp;"!"&amp;"c4:c27"),1,0)),"",$M56)</f>
        <v/>
      </c>
      <c r="E56" s="231" t="str">
        <f ca="1">IF(ISERROR(VLOOKUP($A56,INDIRECT(E$1&amp;"!"&amp;"c4:c27"),1,0)),"",$M56)</f>
        <v/>
      </c>
      <c r="F56" s="231" t="str">
        <f ca="1">IF(ISERROR(VLOOKUP($A56,INDIRECT(F$1&amp;"!"&amp;"c4:c27"),1,0)),"",$M56)</f>
        <v/>
      </c>
      <c r="G56" s="231" t="str">
        <f ca="1">IF(ISERROR(VLOOKUP($A56,INDIRECT(G$1&amp;"!"&amp;"c4:c27"),1,0)),"",$M56)</f>
        <v/>
      </c>
      <c r="H56" s="231" t="str">
        <f ca="1">IF(ISERROR(VLOOKUP($A56,INDIRECT(H$1&amp;"!"&amp;"c4:c27"),1,0)),"",$M56)</f>
        <v/>
      </c>
      <c r="I56" s="231" t="str">
        <f ca="1">IF(ISERROR(VLOOKUP($A56,INDIRECT(I$1&amp;"!"&amp;"c4:c27"),1,0)),"",$M56)</f>
        <v/>
      </c>
      <c r="J56" s="231" t="str">
        <f ca="1">IF(ISERROR(VLOOKUP($A56,INDIRECT(J$1&amp;"!"&amp;"c4:c27"),1,0)),"",$M56)</f>
        <v/>
      </c>
      <c r="K56" s="231" t="str">
        <f ca="1">IF(ISERROR(VLOOKUP($A56,INDIRECT(K$1&amp;"!"&amp;"c4:c27"),1,0)),"",$M56)</f>
        <v/>
      </c>
      <c r="L56" s="231" t="str">
        <f t="shared" ca="1" si="2"/>
        <v/>
      </c>
      <c r="M56" s="232">
        <f ca="1">COUNTIF(Teams!$4:$20,A56)</f>
        <v>17</v>
      </c>
      <c r="N56" s="233" t="e">
        <f>VLOOKUP(A56,Score!B:Z,25,0)</f>
        <v>#N/A</v>
      </c>
    </row>
    <row r="57" spans="1:14" s="236" customFormat="1" hidden="1">
      <c r="A57" s="230"/>
      <c r="B57" s="231" t="str">
        <f t="shared" ca="1" si="2"/>
        <v/>
      </c>
      <c r="C57" s="231" t="str">
        <f ca="1">IF(ISERROR(VLOOKUP($A57,INDIRECT(C$1&amp;"!"&amp;"c4:c27"),1,0)),"",$M57)</f>
        <v/>
      </c>
      <c r="D57" s="231" t="str">
        <f ca="1">IF(ISERROR(VLOOKUP($A57,INDIRECT(D$1&amp;"!"&amp;"c4:c27"),1,0)),"",$M57)</f>
        <v/>
      </c>
      <c r="E57" s="231" t="str">
        <f ca="1">IF(ISERROR(VLOOKUP($A57,INDIRECT(E$1&amp;"!"&amp;"c4:c27"),1,0)),"",$M57)</f>
        <v/>
      </c>
      <c r="F57" s="231" t="str">
        <f ca="1">IF(ISERROR(VLOOKUP($A57,INDIRECT(F$1&amp;"!"&amp;"c4:c27"),1,0)),"",$M57)</f>
        <v/>
      </c>
      <c r="G57" s="231" t="str">
        <f ca="1">IF(ISERROR(VLOOKUP($A57,INDIRECT(G$1&amp;"!"&amp;"c4:c27"),1,0)),"",$M57)</f>
        <v/>
      </c>
      <c r="H57" s="231" t="str">
        <f ca="1">IF(ISERROR(VLOOKUP($A57,INDIRECT(H$1&amp;"!"&amp;"c4:c27"),1,0)),"",$M57)</f>
        <v/>
      </c>
      <c r="I57" s="231" t="str">
        <f ca="1">IF(ISERROR(VLOOKUP($A57,INDIRECT(I$1&amp;"!"&amp;"c4:c27"),1,0)),"",$M57)</f>
        <v/>
      </c>
      <c r="J57" s="231" t="str">
        <f ca="1">IF(ISERROR(VLOOKUP($A57,INDIRECT(J$1&amp;"!"&amp;"c4:c27"),1,0)),"",$M57)</f>
        <v/>
      </c>
      <c r="K57" s="231" t="str">
        <f ca="1">IF(ISERROR(VLOOKUP($A57,INDIRECT(K$1&amp;"!"&amp;"c4:c27"),1,0)),"",$M57)</f>
        <v/>
      </c>
      <c r="L57" s="231" t="str">
        <f t="shared" ca="1" si="2"/>
        <v/>
      </c>
      <c r="M57" s="232">
        <f ca="1">COUNTIF(Teams!$4:$20,A57)</f>
        <v>17</v>
      </c>
      <c r="N57" s="233" t="e">
        <f>VLOOKUP(A57,Score!B:Z,25,0)</f>
        <v>#N/A</v>
      </c>
    </row>
    <row r="58" spans="1:14" s="236" customFormat="1" hidden="1">
      <c r="A58" s="230"/>
      <c r="B58" s="231" t="str">
        <f t="shared" ca="1" si="2"/>
        <v/>
      </c>
      <c r="C58" s="231" t="str">
        <f ca="1">IF(ISERROR(VLOOKUP($A58,INDIRECT(C$1&amp;"!"&amp;"c4:c27"),1,0)),"",$M58)</f>
        <v/>
      </c>
      <c r="D58" s="231" t="str">
        <f ca="1">IF(ISERROR(VLOOKUP($A58,INDIRECT(D$1&amp;"!"&amp;"c4:c27"),1,0)),"",$M58)</f>
        <v/>
      </c>
      <c r="E58" s="231" t="str">
        <f ca="1">IF(ISERROR(VLOOKUP($A58,INDIRECT(E$1&amp;"!"&amp;"c4:c27"),1,0)),"",$M58)</f>
        <v/>
      </c>
      <c r="F58" s="231" t="str">
        <f ca="1">IF(ISERROR(VLOOKUP($A58,INDIRECT(F$1&amp;"!"&amp;"c4:c27"),1,0)),"",$M58)</f>
        <v/>
      </c>
      <c r="G58" s="231" t="str">
        <f ca="1">IF(ISERROR(VLOOKUP($A58,INDIRECT(G$1&amp;"!"&amp;"c4:c27"),1,0)),"",$M58)</f>
        <v/>
      </c>
      <c r="H58" s="231" t="str">
        <f ca="1">IF(ISERROR(VLOOKUP($A58,INDIRECT(H$1&amp;"!"&amp;"c4:c27"),1,0)),"",$M58)</f>
        <v/>
      </c>
      <c r="I58" s="231" t="str">
        <f ca="1">IF(ISERROR(VLOOKUP($A58,INDIRECT(I$1&amp;"!"&amp;"c4:c27"),1,0)),"",$M58)</f>
        <v/>
      </c>
      <c r="J58" s="231" t="str">
        <f ca="1">IF(ISERROR(VLOOKUP($A58,INDIRECT(J$1&amp;"!"&amp;"c4:c27"),1,0)),"",$M58)</f>
        <v/>
      </c>
      <c r="K58" s="231" t="str">
        <f ca="1">IF(ISERROR(VLOOKUP($A58,INDIRECT(K$1&amp;"!"&amp;"c4:c27"),1,0)),"",$M58)</f>
        <v/>
      </c>
      <c r="L58" s="231" t="str">
        <f t="shared" ca="1" si="2"/>
        <v/>
      </c>
      <c r="M58" s="232">
        <f ca="1">COUNTIF(Teams!$4:$20,A58)</f>
        <v>17</v>
      </c>
      <c r="N58" s="233" t="e">
        <f>VLOOKUP(A58,Score!B:Z,25,0)</f>
        <v>#N/A</v>
      </c>
    </row>
    <row r="59" spans="1:14" hidden="1">
      <c r="A59" s="230"/>
      <c r="B59" s="231" t="str">
        <f t="shared" ca="1" si="2"/>
        <v/>
      </c>
      <c r="C59" s="231" t="str">
        <f ca="1">IF(ISERROR(VLOOKUP($A59,INDIRECT(C$1&amp;"!"&amp;"c4:c27"),1,0)),"",$M59)</f>
        <v/>
      </c>
      <c r="D59" s="231" t="str">
        <f ca="1">IF(ISERROR(VLOOKUP($A59,INDIRECT(D$1&amp;"!"&amp;"c4:c27"),1,0)),"",$M59)</f>
        <v/>
      </c>
      <c r="E59" s="231" t="str">
        <f ca="1">IF(ISERROR(VLOOKUP($A59,INDIRECT(E$1&amp;"!"&amp;"c4:c27"),1,0)),"",$M59)</f>
        <v/>
      </c>
      <c r="F59" s="231" t="str">
        <f ca="1">IF(ISERROR(VLOOKUP($A59,INDIRECT(F$1&amp;"!"&amp;"c4:c27"),1,0)),"",$M59)</f>
        <v/>
      </c>
      <c r="G59" s="231" t="str">
        <f ca="1">IF(ISERROR(VLOOKUP($A59,INDIRECT(G$1&amp;"!"&amp;"c4:c27"),1,0)),"",$M59)</f>
        <v/>
      </c>
      <c r="H59" s="231" t="str">
        <f ca="1">IF(ISERROR(VLOOKUP($A59,INDIRECT(H$1&amp;"!"&amp;"c4:c27"),1,0)),"",$M59)</f>
        <v/>
      </c>
      <c r="I59" s="231" t="str">
        <f ca="1">IF(ISERROR(VLOOKUP($A59,INDIRECT(I$1&amp;"!"&amp;"c4:c27"),1,0)),"",$M59)</f>
        <v/>
      </c>
      <c r="J59" s="231" t="str">
        <f ca="1">IF(ISERROR(VLOOKUP($A59,INDIRECT(J$1&amp;"!"&amp;"c4:c27"),1,0)),"",$M59)</f>
        <v/>
      </c>
      <c r="K59" s="231" t="str">
        <f ca="1">IF(ISERROR(VLOOKUP($A59,INDIRECT(K$1&amp;"!"&amp;"c4:c27"),1,0)),"",$M59)</f>
        <v/>
      </c>
      <c r="L59" s="231" t="str">
        <f t="shared" ca="1" si="2"/>
        <v/>
      </c>
      <c r="M59" s="232">
        <f ca="1">COUNTIF(Teams!$4:$20,A59)</f>
        <v>17</v>
      </c>
      <c r="N59" s="233" t="e">
        <f>VLOOKUP(A59,Score!B:Z,25,0)</f>
        <v>#N/A</v>
      </c>
    </row>
    <row r="60" spans="1:14" hidden="1">
      <c r="A60" s="230"/>
      <c r="B60" s="231" t="str">
        <f t="shared" ca="1" si="2"/>
        <v/>
      </c>
      <c r="C60" s="231" t="str">
        <f ca="1">IF(ISERROR(VLOOKUP($A60,INDIRECT(C$1&amp;"!"&amp;"c4:c27"),1,0)),"",$M60)</f>
        <v/>
      </c>
      <c r="D60" s="231" t="str">
        <f ca="1">IF(ISERROR(VLOOKUP($A60,INDIRECT(D$1&amp;"!"&amp;"c4:c27"),1,0)),"",$M60)</f>
        <v/>
      </c>
      <c r="E60" s="231" t="str">
        <f ca="1">IF(ISERROR(VLOOKUP($A60,INDIRECT(E$1&amp;"!"&amp;"c4:c27"),1,0)),"",$M60)</f>
        <v/>
      </c>
      <c r="F60" s="231" t="str">
        <f ca="1">IF(ISERROR(VLOOKUP($A60,INDIRECT(F$1&amp;"!"&amp;"c4:c27"),1,0)),"",$M60)</f>
        <v/>
      </c>
      <c r="G60" s="231" t="str">
        <f ca="1">IF(ISERROR(VLOOKUP($A60,INDIRECT(G$1&amp;"!"&amp;"c4:c27"),1,0)),"",$M60)</f>
        <v/>
      </c>
      <c r="H60" s="231" t="str">
        <f ca="1">IF(ISERROR(VLOOKUP($A60,INDIRECT(H$1&amp;"!"&amp;"c4:c27"),1,0)),"",$M60)</f>
        <v/>
      </c>
      <c r="I60" s="231" t="str">
        <f ca="1">IF(ISERROR(VLOOKUP($A60,INDIRECT(I$1&amp;"!"&amp;"c4:c27"),1,0)),"",$M60)</f>
        <v/>
      </c>
      <c r="J60" s="231" t="str">
        <f ca="1">IF(ISERROR(VLOOKUP($A60,INDIRECT(J$1&amp;"!"&amp;"c4:c27"),1,0)),"",$M60)</f>
        <v/>
      </c>
      <c r="K60" s="231" t="str">
        <f ca="1">IF(ISERROR(VLOOKUP($A60,INDIRECT(K$1&amp;"!"&amp;"c4:c27"),1,0)),"",$M60)</f>
        <v/>
      </c>
      <c r="L60" s="231" t="str">
        <f t="shared" ca="1" si="2"/>
        <v/>
      </c>
      <c r="M60" s="232">
        <f ca="1">COUNTIF(Teams!$4:$20,A60)</f>
        <v>17</v>
      </c>
      <c r="N60" s="233" t="e">
        <f>VLOOKUP(A60,Score!B:Z,25,0)</f>
        <v>#N/A</v>
      </c>
    </row>
    <row r="61" spans="1:14" hidden="1">
      <c r="A61" s="230"/>
      <c r="B61" s="231" t="str">
        <f t="shared" ca="1" si="2"/>
        <v/>
      </c>
      <c r="C61" s="231" t="str">
        <f ca="1">IF(ISERROR(VLOOKUP($A61,INDIRECT(C$1&amp;"!"&amp;"c4:c27"),1,0)),"",$M61)</f>
        <v/>
      </c>
      <c r="D61" s="231" t="str">
        <f ca="1">IF(ISERROR(VLOOKUP($A61,INDIRECT(D$1&amp;"!"&amp;"c4:c27"),1,0)),"",$M61)</f>
        <v/>
      </c>
      <c r="E61" s="231" t="str">
        <f ca="1">IF(ISERROR(VLOOKUP($A61,INDIRECT(E$1&amp;"!"&amp;"c4:c27"),1,0)),"",$M61)</f>
        <v/>
      </c>
      <c r="F61" s="231" t="str">
        <f ca="1">IF(ISERROR(VLOOKUP($A61,INDIRECT(F$1&amp;"!"&amp;"c4:c27"),1,0)),"",$M61)</f>
        <v/>
      </c>
      <c r="G61" s="231" t="str">
        <f ca="1">IF(ISERROR(VLOOKUP($A61,INDIRECT(G$1&amp;"!"&amp;"c4:c27"),1,0)),"",$M61)</f>
        <v/>
      </c>
      <c r="H61" s="231" t="str">
        <f ca="1">IF(ISERROR(VLOOKUP($A61,INDIRECT(H$1&amp;"!"&amp;"c4:c27"),1,0)),"",$M61)</f>
        <v/>
      </c>
      <c r="I61" s="231" t="str">
        <f ca="1">IF(ISERROR(VLOOKUP($A61,INDIRECT(I$1&amp;"!"&amp;"c4:c27"),1,0)),"",$M61)</f>
        <v/>
      </c>
      <c r="J61" s="231" t="str">
        <f ca="1">IF(ISERROR(VLOOKUP($A61,INDIRECT(J$1&amp;"!"&amp;"c4:c27"),1,0)),"",$M61)</f>
        <v/>
      </c>
      <c r="K61" s="231" t="str">
        <f ca="1">IF(ISERROR(VLOOKUP($A61,INDIRECT(K$1&amp;"!"&amp;"c4:c27"),1,0)),"",$M61)</f>
        <v/>
      </c>
      <c r="L61" s="231" t="str">
        <f t="shared" ca="1" si="2"/>
        <v/>
      </c>
      <c r="M61" s="232">
        <f ca="1">COUNTIF(Teams!$4:$20,A61)</f>
        <v>17</v>
      </c>
      <c r="N61" s="233" t="e">
        <f>VLOOKUP(A61,Score!B:Z,25,0)</f>
        <v>#N/A</v>
      </c>
    </row>
    <row r="62" spans="1:14" ht="13.5" thickBot="1">
      <c r="A62" s="342"/>
      <c r="B62" s="343" t="str">
        <f t="shared" ref="B62:L62" ca="1" si="3">IF(B68&lt;&gt;20,"Onvolledig","")</f>
        <v/>
      </c>
      <c r="C62" s="343" t="str">
        <f ca="1">IF(C68&lt;&gt;20,"Onvolledig","")</f>
        <v/>
      </c>
      <c r="D62" s="343" t="str">
        <f ca="1">IF(D68&lt;&gt;20,"Onvolledig","")</f>
        <v/>
      </c>
      <c r="E62" s="343" t="str">
        <f ca="1">IF(E68&lt;&gt;20,"Onvolledig","")</f>
        <v/>
      </c>
      <c r="F62" s="343" t="str">
        <f ca="1">IF(F68&lt;&gt;20,"Onvolledig","")</f>
        <v/>
      </c>
      <c r="G62" s="343" t="str">
        <f ca="1">IF(G68&lt;&gt;20,"Onvolledig","")</f>
        <v/>
      </c>
      <c r="H62" s="343" t="str">
        <f ca="1">IF(H68&lt;&gt;20,"Onvolledig","")</f>
        <v/>
      </c>
      <c r="I62" s="343" t="str">
        <f ca="1">IF(I68&lt;&gt;20,"Onvolledig","")</f>
        <v/>
      </c>
      <c r="J62" s="343" t="str">
        <f ca="1">IF(J68&lt;&gt;20,"Onvolledig","")</f>
        <v>Onvolledig</v>
      </c>
      <c r="K62" s="343" t="str">
        <f ca="1">IF(K68&lt;&gt;20,"Onvolledig","")</f>
        <v/>
      </c>
      <c r="L62" s="343" t="str">
        <f t="shared" ca="1" si="3"/>
        <v/>
      </c>
      <c r="M62" s="344"/>
      <c r="N62" s="342"/>
    </row>
    <row r="63" spans="1:14">
      <c r="A63" s="229" t="s">
        <v>3</v>
      </c>
      <c r="B63" s="249">
        <f t="shared" ref="B63:L63" ca="1" si="4">AVERAGE(B1:B61)</f>
        <v>8.35</v>
      </c>
      <c r="C63" s="249">
        <f ca="1">AVERAGE(C1:C61)</f>
        <v>8.1</v>
      </c>
      <c r="D63" s="249">
        <f ca="1">AVERAGE(D1:D61)</f>
        <v>8.0500000000000007</v>
      </c>
      <c r="E63" s="249">
        <f ca="1">AVERAGE(E1:E61)</f>
        <v>7.95</v>
      </c>
      <c r="F63" s="249">
        <f ca="1">AVERAGE(F1:F61)</f>
        <v>7.95</v>
      </c>
      <c r="G63" s="249">
        <f ca="1">AVERAGE(G1:G61)</f>
        <v>7.95</v>
      </c>
      <c r="H63" s="249">
        <f ca="1">AVERAGE(H1:H61)</f>
        <v>7.9</v>
      </c>
      <c r="I63" s="249">
        <f ca="1">AVERAGE(I1:I61)</f>
        <v>7.8</v>
      </c>
      <c r="J63" s="249">
        <f ca="1">AVERAGE(J1:J61)</f>
        <v>7.5789473684210522</v>
      </c>
      <c r="K63" s="249">
        <f ca="1">AVERAGE(K1:K61)</f>
        <v>7.45</v>
      </c>
      <c r="L63" s="249">
        <f t="shared" ca="1" si="4"/>
        <v>6.7</v>
      </c>
    </row>
    <row r="64" spans="1:14" s="308" customFormat="1">
      <c r="A64" s="308" t="s">
        <v>3</v>
      </c>
      <c r="B64" s="309">
        <f t="shared" ref="B64:L64" ca="1" si="5">B63/SUM($B63:$L63)</f>
        <v>9.7343232298441495E-2</v>
      </c>
      <c r="C64" s="309">
        <f ca="1">C63/SUM($B63:$L63)</f>
        <v>9.4428764265554035E-2</v>
      </c>
      <c r="D64" s="309">
        <f ca="1">D63/SUM($B63:$L63)</f>
        <v>9.3845870658976552E-2</v>
      </c>
      <c r="E64" s="309">
        <f ca="1">E63/SUM($B63:$L63)</f>
        <v>9.2680083445821557E-2</v>
      </c>
      <c r="F64" s="309">
        <f ca="1">F63/SUM($B63:$L63)</f>
        <v>9.2680083445821557E-2</v>
      </c>
      <c r="G64" s="309">
        <f ca="1">G63/SUM($B63:$L63)</f>
        <v>9.2680083445821557E-2</v>
      </c>
      <c r="H64" s="309">
        <f ca="1">H63/SUM($B63:$L63)</f>
        <v>9.2097189839244059E-2</v>
      </c>
      <c r="I64" s="309">
        <f ca="1">I63/SUM($B63:$L63)</f>
        <v>9.0931402626089064E-2</v>
      </c>
      <c r="J64" s="309">
        <f ca="1">J63/SUM($B63:$L63)</f>
        <v>8.8354399312799092E-2</v>
      </c>
      <c r="K64" s="309">
        <f ca="1">K63/SUM($B63:$L63)</f>
        <v>8.6851147380046609E-2</v>
      </c>
      <c r="L64" s="309">
        <f t="shared" ca="1" si="5"/>
        <v>7.8107743281384201E-2</v>
      </c>
      <c r="M64" s="310"/>
    </row>
    <row r="65" spans="1:12">
      <c r="A65" s="229" t="s">
        <v>3</v>
      </c>
      <c r="B65" s="249">
        <f t="shared" ref="B65:L65" ca="1" si="6">1/(B64*aantal_deelnemers)</f>
        <v>0.93390252986849298</v>
      </c>
      <c r="C65" s="249">
        <f ca="1">1/(C64*aantal_deelnemers)</f>
        <v>0.96272668202492784</v>
      </c>
      <c r="D65" s="249">
        <f ca="1">1/(D64*aantal_deelnemers)</f>
        <v>0.96870635085738077</v>
      </c>
      <c r="E65" s="249">
        <f ca="1">1/(E64*aantal_deelnemers)</f>
        <v>0.98089133640275661</v>
      </c>
      <c r="F65" s="249">
        <f ca="1">1/(F64*aantal_deelnemers)</f>
        <v>0.98089133640275661</v>
      </c>
      <c r="G65" s="249">
        <f ca="1">1/(G64*aantal_deelnemers)</f>
        <v>0.98089133640275661</v>
      </c>
      <c r="H65" s="249">
        <f ca="1">1/(H64*aantal_deelnemers)</f>
        <v>0.98709950941796398</v>
      </c>
      <c r="I65" s="249">
        <f ca="1">1/(I64*aantal_deelnemers)</f>
        <v>0.99975463133357889</v>
      </c>
      <c r="J65" s="249">
        <f ca="1">1/(J64*aantal_deelnemers)</f>
        <v>1.0289141414141416</v>
      </c>
      <c r="K65" s="249">
        <f ca="1">1/(K64*aantal_deelnemers)</f>
        <v>1.046722969718378</v>
      </c>
      <c r="L65" s="249">
        <f t="shared" ca="1" si="6"/>
        <v>1.1638934514032708</v>
      </c>
    </row>
    <row r="66" spans="1:12">
      <c r="A66" s="270" t="s">
        <v>9</v>
      </c>
      <c r="B66" s="271">
        <f>aantal_deelnemers</f>
        <v>11</v>
      </c>
      <c r="C66" s="125"/>
      <c r="D66" s="125"/>
      <c r="E66" s="125"/>
      <c r="F66" s="125"/>
      <c r="G66" s="229"/>
      <c r="H66" s="125"/>
      <c r="I66" s="250"/>
      <c r="L66" s="125"/>
    </row>
    <row r="67" spans="1:12">
      <c r="A67" s="236"/>
      <c r="B67" s="125"/>
      <c r="C67" s="125"/>
      <c r="D67" s="125"/>
      <c r="E67" s="125"/>
      <c r="F67" s="125"/>
      <c r="G67" s="125"/>
      <c r="H67" s="125"/>
      <c r="I67" s="125"/>
      <c r="J67" s="125"/>
      <c r="K67" s="125"/>
      <c r="L67" s="125"/>
    </row>
    <row r="68" spans="1:12">
      <c r="A68" s="236"/>
      <c r="B68" s="251">
        <f t="shared" ref="B68:L68" ca="1" si="7">COUNT(B2:B61)</f>
        <v>20</v>
      </c>
      <c r="C68" s="251">
        <f ca="1">COUNT(C2:C61)</f>
        <v>20</v>
      </c>
      <c r="D68" s="251">
        <f ca="1">COUNT(D2:D61)</f>
        <v>20</v>
      </c>
      <c r="E68" s="251">
        <f ca="1">COUNT(E2:E61)</f>
        <v>20</v>
      </c>
      <c r="F68" s="251">
        <f ca="1">COUNT(F2:F61)</f>
        <v>20</v>
      </c>
      <c r="G68" s="251">
        <f ca="1">COUNT(G2:G61)</f>
        <v>20</v>
      </c>
      <c r="H68" s="251">
        <f ca="1">COUNT(H2:H61)</f>
        <v>20</v>
      </c>
      <c r="I68" s="251">
        <f ca="1">COUNT(I2:I61)</f>
        <v>20</v>
      </c>
      <c r="J68" s="251">
        <f ca="1">COUNT(J2:J61)</f>
        <v>19</v>
      </c>
      <c r="K68" s="251">
        <f ca="1">COUNT(K2:K61)</f>
        <v>20</v>
      </c>
      <c r="L68" s="251">
        <f t="shared" ca="1" si="7"/>
        <v>20</v>
      </c>
    </row>
    <row r="69" spans="1:12">
      <c r="A69" s="236"/>
      <c r="B69" s="125"/>
      <c r="C69" s="125"/>
      <c r="D69" s="125"/>
      <c r="E69" s="125"/>
      <c r="F69" s="125"/>
      <c r="G69" s="125"/>
      <c r="H69" s="125"/>
      <c r="I69" s="125"/>
      <c r="J69" s="125"/>
      <c r="K69" s="125"/>
      <c r="L69" s="125"/>
    </row>
    <row r="70" spans="1:12">
      <c r="A70" s="236"/>
      <c r="B70" s="123"/>
      <c r="C70" s="123"/>
      <c r="D70" s="123"/>
      <c r="E70" s="123"/>
      <c r="F70" s="123"/>
      <c r="G70" s="123"/>
      <c r="H70" s="123"/>
      <c r="I70" s="123"/>
      <c r="J70" s="123"/>
      <c r="K70" s="123"/>
      <c r="L70" s="123"/>
    </row>
  </sheetData>
  <sortState columnSort="1" ref="C1:K70">
    <sortCondition ref="C65:K65"/>
  </sortState>
  <phoneticPr fontId="0" type="noConversion"/>
  <pageMargins left="0.75" right="0.75" top="1" bottom="1" header="0.5" footer="0.5"/>
  <pageSetup paperSize="9" orientation="portrait" verticalDpi="300" r:id="rId1"/>
  <headerFooter alignWithMargins="0"/>
  <drawing r:id="rId2"/>
</worksheet>
</file>

<file path=xl/worksheets/sheet20.xml><?xml version="1.0" encoding="utf-8"?>
<worksheet xmlns="http://schemas.openxmlformats.org/spreadsheetml/2006/main" xmlns:r="http://schemas.openxmlformats.org/officeDocument/2006/relationships">
  <sheetPr codeName="Blad9">
    <tabColor indexed="12"/>
  </sheetPr>
  <dimension ref="B1:AB30"/>
  <sheetViews>
    <sheetView showZeros="0" workbookViewId="0">
      <selection activeCell="P29" sqref="P29"/>
    </sheetView>
  </sheetViews>
  <sheetFormatPr defaultColWidth="9.140625" defaultRowHeight="12.75"/>
  <cols>
    <col min="1" max="1" width="2.7109375" style="108" customWidth="1"/>
    <col min="2" max="2" width="8.85546875" style="108" customWidth="1"/>
    <col min="3" max="4" width="13" style="113"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C1" s="256" t="s">
        <v>81</v>
      </c>
      <c r="D1" s="256"/>
    </row>
    <row r="2" spans="2:28">
      <c r="C2" s="164"/>
      <c r="D2" s="164"/>
      <c r="H2" s="128"/>
    </row>
    <row r="3" spans="2:28" s="126" customFormat="1" ht="13.5" thickBot="1">
      <c r="C3" s="257" t="s">
        <v>111</v>
      </c>
      <c r="D3" s="257" t="s">
        <v>112</v>
      </c>
      <c r="E3" s="111">
        <v>1</v>
      </c>
      <c r="F3" s="111">
        <v>2</v>
      </c>
      <c r="G3" s="111">
        <v>3</v>
      </c>
      <c r="H3" s="111">
        <v>4</v>
      </c>
      <c r="I3" s="111">
        <v>5</v>
      </c>
      <c r="J3" s="111">
        <v>6</v>
      </c>
      <c r="K3" s="111">
        <v>7</v>
      </c>
      <c r="L3" s="111">
        <v>8</v>
      </c>
      <c r="M3" s="111">
        <v>9</v>
      </c>
      <c r="N3" s="111">
        <v>10</v>
      </c>
      <c r="O3" s="111">
        <v>11</v>
      </c>
      <c r="P3" s="111">
        <v>12</v>
      </c>
      <c r="Q3" s="111">
        <v>13</v>
      </c>
      <c r="R3" s="111">
        <v>14</v>
      </c>
      <c r="S3" s="111">
        <v>15</v>
      </c>
      <c r="T3" s="111">
        <v>16</v>
      </c>
      <c r="U3" s="111">
        <v>17</v>
      </c>
      <c r="V3" s="111">
        <v>18</v>
      </c>
      <c r="W3" s="111">
        <v>19</v>
      </c>
      <c r="X3" s="111">
        <v>20</v>
      </c>
      <c r="Y3" s="111">
        <v>21</v>
      </c>
      <c r="Z3" s="111" t="s">
        <v>1</v>
      </c>
      <c r="AA3" s="146"/>
    </row>
    <row r="4" spans="2:28">
      <c r="B4" s="156"/>
      <c r="C4" s="258"/>
      <c r="D4" s="259"/>
      <c r="E4" s="109" t="e">
        <f t="shared" ref="E4:N13" si="0">INDEX(scorematrix,MATCH($C4,renners,0),MATCH(E$3,etappes,0))</f>
        <v>#N/A</v>
      </c>
      <c r="F4" s="109" t="e">
        <f t="shared" si="0"/>
        <v>#N/A</v>
      </c>
      <c r="G4" s="109" t="e">
        <f t="shared" si="0"/>
        <v>#N/A</v>
      </c>
      <c r="H4" s="109" t="e">
        <f t="shared" si="0"/>
        <v>#N/A</v>
      </c>
      <c r="I4" s="109" t="e">
        <f t="shared" si="0"/>
        <v>#N/A</v>
      </c>
      <c r="J4" s="109" t="e">
        <f t="shared" si="0"/>
        <v>#N/A</v>
      </c>
      <c r="K4" s="109" t="e">
        <f t="shared" si="0"/>
        <v>#N/A</v>
      </c>
      <c r="L4" s="109" t="e">
        <f t="shared" si="0"/>
        <v>#N/A</v>
      </c>
      <c r="M4" s="109" t="e">
        <f t="shared" si="0"/>
        <v>#N/A</v>
      </c>
      <c r="N4" s="109" t="e">
        <f t="shared" si="0"/>
        <v>#N/A</v>
      </c>
      <c r="O4" s="109" t="e">
        <f t="shared" ref="O4:Z13" si="1">INDEX(scorematrix,MATCH($C4,renners,0),MATCH(O$3,etappes,0))</f>
        <v>#N/A</v>
      </c>
      <c r="P4" s="109" t="e">
        <f t="shared" si="1"/>
        <v>#N/A</v>
      </c>
      <c r="Q4" s="109" t="e">
        <f t="shared" si="1"/>
        <v>#N/A</v>
      </c>
      <c r="R4" s="109" t="e">
        <f t="shared" si="1"/>
        <v>#N/A</v>
      </c>
      <c r="S4" s="109" t="e">
        <f t="shared" si="1"/>
        <v>#N/A</v>
      </c>
      <c r="T4" s="109" t="e">
        <f t="shared" si="1"/>
        <v>#N/A</v>
      </c>
      <c r="U4" s="109" t="e">
        <f t="shared" si="1"/>
        <v>#N/A</v>
      </c>
      <c r="V4" s="109" t="e">
        <f t="shared" si="1"/>
        <v>#N/A</v>
      </c>
      <c r="W4" s="109" t="e">
        <f t="shared" si="1"/>
        <v>#N/A</v>
      </c>
      <c r="X4" s="109" t="e">
        <f t="shared" si="1"/>
        <v>#N/A</v>
      </c>
      <c r="Y4" s="109" t="e">
        <f t="shared" si="1"/>
        <v>#N/A</v>
      </c>
      <c r="Z4" s="109" t="e">
        <f t="shared" si="1"/>
        <v>#N/A</v>
      </c>
      <c r="AA4" s="172" t="e">
        <f t="shared" ref="AA4:AA21" si="2">SUM(E4:Z4)</f>
        <v>#N/A</v>
      </c>
      <c r="AB4" s="108">
        <f t="shared" ref="AB4:AB18" si="3">C4</f>
        <v>0</v>
      </c>
    </row>
    <row r="5" spans="2:28">
      <c r="B5" s="156"/>
      <c r="C5" s="260"/>
      <c r="D5" s="259"/>
      <c r="E5" s="109" t="e">
        <f t="shared" si="0"/>
        <v>#N/A</v>
      </c>
      <c r="F5" s="109" t="e">
        <f t="shared" si="0"/>
        <v>#N/A</v>
      </c>
      <c r="G5" s="109" t="e">
        <f t="shared" si="0"/>
        <v>#N/A</v>
      </c>
      <c r="H5" s="109" t="e">
        <f t="shared" si="0"/>
        <v>#N/A</v>
      </c>
      <c r="I5" s="109" t="e">
        <f t="shared" si="0"/>
        <v>#N/A</v>
      </c>
      <c r="J5" s="109" t="e">
        <f t="shared" si="0"/>
        <v>#N/A</v>
      </c>
      <c r="K5" s="109" t="e">
        <f t="shared" si="0"/>
        <v>#N/A</v>
      </c>
      <c r="L5" s="109" t="e">
        <f t="shared" si="0"/>
        <v>#N/A</v>
      </c>
      <c r="M5" s="109" t="e">
        <f t="shared" si="0"/>
        <v>#N/A</v>
      </c>
      <c r="N5" s="109" t="e">
        <f t="shared" si="0"/>
        <v>#N/A</v>
      </c>
      <c r="O5" s="109" t="e">
        <f t="shared" si="1"/>
        <v>#N/A</v>
      </c>
      <c r="P5" s="109" t="e">
        <f t="shared" si="1"/>
        <v>#N/A</v>
      </c>
      <c r="Q5" s="109" t="e">
        <f t="shared" si="1"/>
        <v>#N/A</v>
      </c>
      <c r="R5" s="109" t="e">
        <f t="shared" si="1"/>
        <v>#N/A</v>
      </c>
      <c r="S5" s="109" t="e">
        <f t="shared" si="1"/>
        <v>#N/A</v>
      </c>
      <c r="T5" s="109" t="e">
        <f t="shared" si="1"/>
        <v>#N/A</v>
      </c>
      <c r="U5" s="109" t="e">
        <f t="shared" si="1"/>
        <v>#N/A</v>
      </c>
      <c r="V5" s="109" t="e">
        <f t="shared" si="1"/>
        <v>#N/A</v>
      </c>
      <c r="W5" s="109" t="e">
        <f t="shared" si="1"/>
        <v>#N/A</v>
      </c>
      <c r="X5" s="109" t="e">
        <f t="shared" si="1"/>
        <v>#N/A</v>
      </c>
      <c r="Y5" s="109" t="e">
        <f t="shared" si="1"/>
        <v>#N/A</v>
      </c>
      <c r="Z5" s="109" t="e">
        <f t="shared" si="1"/>
        <v>#N/A</v>
      </c>
      <c r="AA5" s="172" t="e">
        <f t="shared" si="2"/>
        <v>#N/A</v>
      </c>
      <c r="AB5" s="108">
        <f t="shared" si="3"/>
        <v>0</v>
      </c>
    </row>
    <row r="6" spans="2:28">
      <c r="B6" s="156"/>
      <c r="C6" s="260"/>
      <c r="D6" s="259"/>
      <c r="E6" s="109" t="e">
        <f t="shared" si="0"/>
        <v>#N/A</v>
      </c>
      <c r="F6" s="109" t="e">
        <f t="shared" si="0"/>
        <v>#N/A</v>
      </c>
      <c r="G6" s="109" t="e">
        <f t="shared" si="0"/>
        <v>#N/A</v>
      </c>
      <c r="H6" s="109" t="e">
        <f t="shared" si="0"/>
        <v>#N/A</v>
      </c>
      <c r="I6" s="109" t="e">
        <f t="shared" si="0"/>
        <v>#N/A</v>
      </c>
      <c r="J6" s="109" t="e">
        <f t="shared" si="0"/>
        <v>#N/A</v>
      </c>
      <c r="K6" s="109" t="e">
        <f t="shared" si="0"/>
        <v>#N/A</v>
      </c>
      <c r="L6" s="109" t="e">
        <f t="shared" si="0"/>
        <v>#N/A</v>
      </c>
      <c r="M6" s="109" t="e">
        <f t="shared" si="0"/>
        <v>#N/A</v>
      </c>
      <c r="N6" s="109" t="e">
        <f t="shared" si="0"/>
        <v>#N/A</v>
      </c>
      <c r="O6" s="109" t="e">
        <f t="shared" si="1"/>
        <v>#N/A</v>
      </c>
      <c r="P6" s="109" t="e">
        <f t="shared" si="1"/>
        <v>#N/A</v>
      </c>
      <c r="Q6" s="109" t="e">
        <f t="shared" si="1"/>
        <v>#N/A</v>
      </c>
      <c r="R6" s="109" t="e">
        <f t="shared" si="1"/>
        <v>#N/A</v>
      </c>
      <c r="S6" s="109" t="e">
        <f t="shared" si="1"/>
        <v>#N/A</v>
      </c>
      <c r="T6" s="109" t="e">
        <f t="shared" si="1"/>
        <v>#N/A</v>
      </c>
      <c r="U6" s="109" t="e">
        <f t="shared" si="1"/>
        <v>#N/A</v>
      </c>
      <c r="V6" s="109" t="e">
        <f t="shared" si="1"/>
        <v>#N/A</v>
      </c>
      <c r="W6" s="109" t="e">
        <f t="shared" si="1"/>
        <v>#N/A</v>
      </c>
      <c r="X6" s="109" t="e">
        <f t="shared" si="1"/>
        <v>#N/A</v>
      </c>
      <c r="Y6" s="109" t="e">
        <f t="shared" si="1"/>
        <v>#N/A</v>
      </c>
      <c r="Z6" s="109" t="e">
        <f t="shared" si="1"/>
        <v>#N/A</v>
      </c>
      <c r="AA6" s="172" t="e">
        <f t="shared" si="2"/>
        <v>#N/A</v>
      </c>
      <c r="AB6" s="108">
        <f t="shared" si="3"/>
        <v>0</v>
      </c>
    </row>
    <row r="7" spans="2:28">
      <c r="B7" s="156"/>
      <c r="C7" s="260"/>
      <c r="D7" s="259"/>
      <c r="E7" s="109" t="e">
        <f t="shared" si="0"/>
        <v>#N/A</v>
      </c>
      <c r="F7" s="109" t="e">
        <f t="shared" si="0"/>
        <v>#N/A</v>
      </c>
      <c r="G7" s="109" t="e">
        <f t="shared" si="0"/>
        <v>#N/A</v>
      </c>
      <c r="H7" s="109" t="e">
        <f t="shared" si="0"/>
        <v>#N/A</v>
      </c>
      <c r="I7" s="109" t="e">
        <f t="shared" si="0"/>
        <v>#N/A</v>
      </c>
      <c r="J7" s="109" t="e">
        <f t="shared" si="0"/>
        <v>#N/A</v>
      </c>
      <c r="K7" s="109" t="e">
        <f t="shared" si="0"/>
        <v>#N/A</v>
      </c>
      <c r="L7" s="109" t="e">
        <f t="shared" si="0"/>
        <v>#N/A</v>
      </c>
      <c r="M7" s="109" t="e">
        <f t="shared" si="0"/>
        <v>#N/A</v>
      </c>
      <c r="N7" s="109" t="e">
        <f t="shared" si="0"/>
        <v>#N/A</v>
      </c>
      <c r="O7" s="109" t="e">
        <f t="shared" si="1"/>
        <v>#N/A</v>
      </c>
      <c r="P7" s="109" t="e">
        <f t="shared" si="1"/>
        <v>#N/A</v>
      </c>
      <c r="Q7" s="109" t="e">
        <f t="shared" si="1"/>
        <v>#N/A</v>
      </c>
      <c r="R7" s="109" t="e">
        <f t="shared" si="1"/>
        <v>#N/A</v>
      </c>
      <c r="S7" s="109" t="e">
        <f t="shared" si="1"/>
        <v>#N/A</v>
      </c>
      <c r="T7" s="109" t="e">
        <f t="shared" si="1"/>
        <v>#N/A</v>
      </c>
      <c r="U7" s="109" t="e">
        <f t="shared" si="1"/>
        <v>#N/A</v>
      </c>
      <c r="V7" s="109" t="e">
        <f t="shared" si="1"/>
        <v>#N/A</v>
      </c>
      <c r="W7" s="109" t="e">
        <f t="shared" si="1"/>
        <v>#N/A</v>
      </c>
      <c r="X7" s="109" t="e">
        <f t="shared" si="1"/>
        <v>#N/A</v>
      </c>
      <c r="Y7" s="109" t="e">
        <f t="shared" si="1"/>
        <v>#N/A</v>
      </c>
      <c r="Z7" s="109" t="e">
        <f t="shared" si="1"/>
        <v>#N/A</v>
      </c>
      <c r="AA7" s="172" t="e">
        <f t="shared" si="2"/>
        <v>#N/A</v>
      </c>
      <c r="AB7" s="108">
        <f t="shared" si="3"/>
        <v>0</v>
      </c>
    </row>
    <row r="8" spans="2:28">
      <c r="B8" s="156"/>
      <c r="C8" s="260"/>
      <c r="D8" s="259"/>
      <c r="E8" s="109" t="e">
        <f t="shared" si="0"/>
        <v>#N/A</v>
      </c>
      <c r="F8" s="109" t="e">
        <f t="shared" si="0"/>
        <v>#N/A</v>
      </c>
      <c r="G8" s="109" t="e">
        <f t="shared" si="0"/>
        <v>#N/A</v>
      </c>
      <c r="H8" s="109" t="e">
        <f t="shared" si="0"/>
        <v>#N/A</v>
      </c>
      <c r="I8" s="109" t="e">
        <f t="shared" si="0"/>
        <v>#N/A</v>
      </c>
      <c r="J8" s="109" t="e">
        <f t="shared" si="0"/>
        <v>#N/A</v>
      </c>
      <c r="K8" s="109" t="e">
        <f t="shared" si="0"/>
        <v>#N/A</v>
      </c>
      <c r="L8" s="109" t="e">
        <f t="shared" si="0"/>
        <v>#N/A</v>
      </c>
      <c r="M8" s="109" t="e">
        <f t="shared" si="0"/>
        <v>#N/A</v>
      </c>
      <c r="N8" s="109" t="e">
        <f t="shared" si="0"/>
        <v>#N/A</v>
      </c>
      <c r="O8" s="109" t="e">
        <f t="shared" si="1"/>
        <v>#N/A</v>
      </c>
      <c r="P8" s="109" t="e">
        <f t="shared" si="1"/>
        <v>#N/A</v>
      </c>
      <c r="Q8" s="109" t="e">
        <f t="shared" si="1"/>
        <v>#N/A</v>
      </c>
      <c r="R8" s="109" t="e">
        <f t="shared" si="1"/>
        <v>#N/A</v>
      </c>
      <c r="S8" s="109" t="e">
        <f t="shared" si="1"/>
        <v>#N/A</v>
      </c>
      <c r="T8" s="109" t="e">
        <f t="shared" si="1"/>
        <v>#N/A</v>
      </c>
      <c r="U8" s="109" t="e">
        <f t="shared" si="1"/>
        <v>#N/A</v>
      </c>
      <c r="V8" s="109" t="e">
        <f t="shared" si="1"/>
        <v>#N/A</v>
      </c>
      <c r="W8" s="109" t="e">
        <f t="shared" si="1"/>
        <v>#N/A</v>
      </c>
      <c r="X8" s="109" t="e">
        <f t="shared" si="1"/>
        <v>#N/A</v>
      </c>
      <c r="Y8" s="109" t="e">
        <f t="shared" si="1"/>
        <v>#N/A</v>
      </c>
      <c r="Z8" s="109" t="e">
        <f t="shared" si="1"/>
        <v>#N/A</v>
      </c>
      <c r="AA8" s="172" t="e">
        <f t="shared" si="2"/>
        <v>#N/A</v>
      </c>
      <c r="AB8" s="108">
        <f t="shared" si="3"/>
        <v>0</v>
      </c>
    </row>
    <row r="9" spans="2:28">
      <c r="B9" s="156"/>
      <c r="C9" s="260"/>
      <c r="D9" s="259"/>
      <c r="E9" s="109" t="e">
        <f t="shared" si="0"/>
        <v>#N/A</v>
      </c>
      <c r="F9" s="109" t="e">
        <f t="shared" si="0"/>
        <v>#N/A</v>
      </c>
      <c r="G9" s="109" t="e">
        <f t="shared" si="0"/>
        <v>#N/A</v>
      </c>
      <c r="H9" s="109" t="e">
        <f t="shared" si="0"/>
        <v>#N/A</v>
      </c>
      <c r="I9" s="109" t="e">
        <f t="shared" si="0"/>
        <v>#N/A</v>
      </c>
      <c r="J9" s="109" t="e">
        <f t="shared" si="0"/>
        <v>#N/A</v>
      </c>
      <c r="K9" s="109" t="e">
        <f t="shared" si="0"/>
        <v>#N/A</v>
      </c>
      <c r="L9" s="109" t="e">
        <f t="shared" si="0"/>
        <v>#N/A</v>
      </c>
      <c r="M9" s="109" t="e">
        <f t="shared" si="0"/>
        <v>#N/A</v>
      </c>
      <c r="N9" s="109" t="e">
        <f t="shared" si="0"/>
        <v>#N/A</v>
      </c>
      <c r="O9" s="109" t="e">
        <f t="shared" si="1"/>
        <v>#N/A</v>
      </c>
      <c r="P9" s="109" t="e">
        <f t="shared" si="1"/>
        <v>#N/A</v>
      </c>
      <c r="Q9" s="109" t="e">
        <f t="shared" si="1"/>
        <v>#N/A</v>
      </c>
      <c r="R9" s="109" t="e">
        <f t="shared" si="1"/>
        <v>#N/A</v>
      </c>
      <c r="S9" s="109" t="e">
        <f t="shared" si="1"/>
        <v>#N/A</v>
      </c>
      <c r="T9" s="109" t="e">
        <f t="shared" si="1"/>
        <v>#N/A</v>
      </c>
      <c r="U9" s="109" t="e">
        <f t="shared" si="1"/>
        <v>#N/A</v>
      </c>
      <c r="V9" s="109" t="e">
        <f t="shared" si="1"/>
        <v>#N/A</v>
      </c>
      <c r="W9" s="109" t="e">
        <f t="shared" si="1"/>
        <v>#N/A</v>
      </c>
      <c r="X9" s="109" t="e">
        <f t="shared" si="1"/>
        <v>#N/A</v>
      </c>
      <c r="Y9" s="109" t="e">
        <f t="shared" si="1"/>
        <v>#N/A</v>
      </c>
      <c r="Z9" s="109" t="e">
        <f t="shared" si="1"/>
        <v>#N/A</v>
      </c>
      <c r="AA9" s="172" t="e">
        <f t="shared" si="2"/>
        <v>#N/A</v>
      </c>
      <c r="AB9" s="108">
        <f t="shared" si="3"/>
        <v>0</v>
      </c>
    </row>
    <row r="10" spans="2:28">
      <c r="B10" s="156"/>
      <c r="C10" s="260"/>
      <c r="D10" s="259"/>
      <c r="E10" s="109" t="e">
        <f t="shared" si="0"/>
        <v>#N/A</v>
      </c>
      <c r="F10" s="109" t="e">
        <f t="shared" si="0"/>
        <v>#N/A</v>
      </c>
      <c r="G10" s="109" t="e">
        <f t="shared" si="0"/>
        <v>#N/A</v>
      </c>
      <c r="H10" s="109" t="e">
        <f t="shared" si="0"/>
        <v>#N/A</v>
      </c>
      <c r="I10" s="109" t="e">
        <f t="shared" si="0"/>
        <v>#N/A</v>
      </c>
      <c r="J10" s="109" t="e">
        <f t="shared" si="0"/>
        <v>#N/A</v>
      </c>
      <c r="K10" s="109" t="e">
        <f t="shared" si="0"/>
        <v>#N/A</v>
      </c>
      <c r="L10" s="109" t="e">
        <f t="shared" si="0"/>
        <v>#N/A</v>
      </c>
      <c r="M10" s="109" t="e">
        <f t="shared" si="0"/>
        <v>#N/A</v>
      </c>
      <c r="N10" s="109" t="e">
        <f t="shared" si="0"/>
        <v>#N/A</v>
      </c>
      <c r="O10" s="109" t="e">
        <f t="shared" si="1"/>
        <v>#N/A</v>
      </c>
      <c r="P10" s="109" t="e">
        <f t="shared" si="1"/>
        <v>#N/A</v>
      </c>
      <c r="Q10" s="109" t="e">
        <f t="shared" si="1"/>
        <v>#N/A</v>
      </c>
      <c r="R10" s="109" t="e">
        <f t="shared" si="1"/>
        <v>#N/A</v>
      </c>
      <c r="S10" s="109" t="e">
        <f t="shared" si="1"/>
        <v>#N/A</v>
      </c>
      <c r="T10" s="109" t="e">
        <f t="shared" si="1"/>
        <v>#N/A</v>
      </c>
      <c r="U10" s="109" t="e">
        <f t="shared" si="1"/>
        <v>#N/A</v>
      </c>
      <c r="V10" s="109" t="e">
        <f t="shared" si="1"/>
        <v>#N/A</v>
      </c>
      <c r="W10" s="109" t="e">
        <f t="shared" si="1"/>
        <v>#N/A</v>
      </c>
      <c r="X10" s="109" t="e">
        <f t="shared" si="1"/>
        <v>#N/A</v>
      </c>
      <c r="Y10" s="109" t="e">
        <f t="shared" si="1"/>
        <v>#N/A</v>
      </c>
      <c r="Z10" s="109" t="e">
        <f t="shared" si="1"/>
        <v>#N/A</v>
      </c>
      <c r="AA10" s="172" t="e">
        <f t="shared" si="2"/>
        <v>#N/A</v>
      </c>
      <c r="AB10" s="108">
        <f t="shared" si="3"/>
        <v>0</v>
      </c>
    </row>
    <row r="11" spans="2:28">
      <c r="B11" s="156"/>
      <c r="C11" s="260"/>
      <c r="D11" s="259"/>
      <c r="E11" s="109" t="e">
        <f t="shared" si="0"/>
        <v>#N/A</v>
      </c>
      <c r="F11" s="109" t="e">
        <f t="shared" si="0"/>
        <v>#N/A</v>
      </c>
      <c r="G11" s="109" t="e">
        <f t="shared" si="0"/>
        <v>#N/A</v>
      </c>
      <c r="H11" s="109" t="e">
        <f t="shared" si="0"/>
        <v>#N/A</v>
      </c>
      <c r="I11" s="109" t="e">
        <f t="shared" si="0"/>
        <v>#N/A</v>
      </c>
      <c r="J11" s="109" t="e">
        <f t="shared" si="0"/>
        <v>#N/A</v>
      </c>
      <c r="K11" s="109" t="e">
        <f t="shared" si="0"/>
        <v>#N/A</v>
      </c>
      <c r="L11" s="109" t="e">
        <f t="shared" si="0"/>
        <v>#N/A</v>
      </c>
      <c r="M11" s="109" t="e">
        <f t="shared" si="0"/>
        <v>#N/A</v>
      </c>
      <c r="N11" s="109" t="e">
        <f t="shared" si="0"/>
        <v>#N/A</v>
      </c>
      <c r="O11" s="109" t="e">
        <f t="shared" si="1"/>
        <v>#N/A</v>
      </c>
      <c r="P11" s="109" t="e">
        <f t="shared" si="1"/>
        <v>#N/A</v>
      </c>
      <c r="Q11" s="109" t="e">
        <f t="shared" si="1"/>
        <v>#N/A</v>
      </c>
      <c r="R11" s="109" t="e">
        <f t="shared" si="1"/>
        <v>#N/A</v>
      </c>
      <c r="S11" s="109" t="e">
        <f t="shared" si="1"/>
        <v>#N/A</v>
      </c>
      <c r="T11" s="109" t="e">
        <f t="shared" si="1"/>
        <v>#N/A</v>
      </c>
      <c r="U11" s="109" t="e">
        <f t="shared" si="1"/>
        <v>#N/A</v>
      </c>
      <c r="V11" s="109" t="e">
        <f t="shared" si="1"/>
        <v>#N/A</v>
      </c>
      <c r="W11" s="109" t="e">
        <f t="shared" si="1"/>
        <v>#N/A</v>
      </c>
      <c r="X11" s="109" t="e">
        <f t="shared" si="1"/>
        <v>#N/A</v>
      </c>
      <c r="Y11" s="109" t="e">
        <f t="shared" si="1"/>
        <v>#N/A</v>
      </c>
      <c r="Z11" s="109" t="e">
        <f t="shared" si="1"/>
        <v>#N/A</v>
      </c>
      <c r="AA11" s="172" t="e">
        <f t="shared" si="2"/>
        <v>#N/A</v>
      </c>
      <c r="AB11" s="108">
        <f t="shared" si="3"/>
        <v>0</v>
      </c>
    </row>
    <row r="12" spans="2:28">
      <c r="B12" s="156"/>
      <c r="C12" s="260"/>
      <c r="D12" s="259"/>
      <c r="E12" s="109" t="e">
        <f t="shared" si="0"/>
        <v>#N/A</v>
      </c>
      <c r="F12" s="109" t="e">
        <f t="shared" si="0"/>
        <v>#N/A</v>
      </c>
      <c r="G12" s="109" t="e">
        <f t="shared" si="0"/>
        <v>#N/A</v>
      </c>
      <c r="H12" s="109" t="e">
        <f t="shared" si="0"/>
        <v>#N/A</v>
      </c>
      <c r="I12" s="109" t="e">
        <f t="shared" si="0"/>
        <v>#N/A</v>
      </c>
      <c r="J12" s="109" t="e">
        <f t="shared" si="0"/>
        <v>#N/A</v>
      </c>
      <c r="K12" s="109" t="e">
        <f t="shared" si="0"/>
        <v>#N/A</v>
      </c>
      <c r="L12" s="109" t="e">
        <f t="shared" si="0"/>
        <v>#N/A</v>
      </c>
      <c r="M12" s="109" t="e">
        <f t="shared" si="0"/>
        <v>#N/A</v>
      </c>
      <c r="N12" s="109" t="e">
        <f t="shared" si="0"/>
        <v>#N/A</v>
      </c>
      <c r="O12" s="109" t="e">
        <f t="shared" si="1"/>
        <v>#N/A</v>
      </c>
      <c r="P12" s="109" t="e">
        <f t="shared" si="1"/>
        <v>#N/A</v>
      </c>
      <c r="Q12" s="109" t="e">
        <f t="shared" si="1"/>
        <v>#N/A</v>
      </c>
      <c r="R12" s="109" t="e">
        <f t="shared" si="1"/>
        <v>#N/A</v>
      </c>
      <c r="S12" s="109" t="e">
        <f t="shared" si="1"/>
        <v>#N/A</v>
      </c>
      <c r="T12" s="109" t="e">
        <f t="shared" si="1"/>
        <v>#N/A</v>
      </c>
      <c r="U12" s="109" t="e">
        <f t="shared" si="1"/>
        <v>#N/A</v>
      </c>
      <c r="V12" s="109" t="e">
        <f t="shared" si="1"/>
        <v>#N/A</v>
      </c>
      <c r="W12" s="109" t="e">
        <f t="shared" si="1"/>
        <v>#N/A</v>
      </c>
      <c r="X12" s="109" t="e">
        <f t="shared" si="1"/>
        <v>#N/A</v>
      </c>
      <c r="Y12" s="109" t="e">
        <f t="shared" si="1"/>
        <v>#N/A</v>
      </c>
      <c r="Z12" s="109" t="e">
        <f t="shared" si="1"/>
        <v>#N/A</v>
      </c>
      <c r="AA12" s="172" t="e">
        <f t="shared" si="2"/>
        <v>#N/A</v>
      </c>
      <c r="AB12" s="108">
        <f t="shared" si="3"/>
        <v>0</v>
      </c>
    </row>
    <row r="13" spans="2:28">
      <c r="B13" s="156"/>
      <c r="C13" s="260"/>
      <c r="D13" s="259"/>
      <c r="E13" s="109" t="e">
        <f t="shared" si="0"/>
        <v>#N/A</v>
      </c>
      <c r="F13" s="109" t="e">
        <f t="shared" si="0"/>
        <v>#N/A</v>
      </c>
      <c r="G13" s="109" t="e">
        <f t="shared" si="0"/>
        <v>#N/A</v>
      </c>
      <c r="H13" s="109" t="e">
        <f t="shared" si="0"/>
        <v>#N/A</v>
      </c>
      <c r="I13" s="109" t="e">
        <f t="shared" si="0"/>
        <v>#N/A</v>
      </c>
      <c r="J13" s="109" t="e">
        <f t="shared" si="0"/>
        <v>#N/A</v>
      </c>
      <c r="K13" s="109" t="e">
        <f t="shared" si="0"/>
        <v>#N/A</v>
      </c>
      <c r="L13" s="109" t="e">
        <f t="shared" si="0"/>
        <v>#N/A</v>
      </c>
      <c r="M13" s="109" t="e">
        <f t="shared" si="0"/>
        <v>#N/A</v>
      </c>
      <c r="N13" s="109" t="e">
        <f t="shared" si="0"/>
        <v>#N/A</v>
      </c>
      <c r="O13" s="109" t="e">
        <f t="shared" si="1"/>
        <v>#N/A</v>
      </c>
      <c r="P13" s="109" t="e">
        <f t="shared" si="1"/>
        <v>#N/A</v>
      </c>
      <c r="Q13" s="109" t="e">
        <f t="shared" si="1"/>
        <v>#N/A</v>
      </c>
      <c r="R13" s="109" t="e">
        <f t="shared" si="1"/>
        <v>#N/A</v>
      </c>
      <c r="S13" s="109" t="e">
        <f t="shared" si="1"/>
        <v>#N/A</v>
      </c>
      <c r="T13" s="109" t="e">
        <f t="shared" si="1"/>
        <v>#N/A</v>
      </c>
      <c r="U13" s="109" t="e">
        <f t="shared" si="1"/>
        <v>#N/A</v>
      </c>
      <c r="V13" s="109" t="e">
        <f t="shared" si="1"/>
        <v>#N/A</v>
      </c>
      <c r="W13" s="109" t="e">
        <f t="shared" si="1"/>
        <v>#N/A</v>
      </c>
      <c r="X13" s="109" t="e">
        <f t="shared" si="1"/>
        <v>#N/A</v>
      </c>
      <c r="Y13" s="109" t="e">
        <f t="shared" si="1"/>
        <v>#N/A</v>
      </c>
      <c r="Z13" s="109" t="e">
        <f t="shared" si="1"/>
        <v>#N/A</v>
      </c>
      <c r="AA13" s="172" t="e">
        <f t="shared" si="2"/>
        <v>#N/A</v>
      </c>
      <c r="AB13" s="108">
        <f t="shared" si="3"/>
        <v>0</v>
      </c>
    </row>
    <row r="14" spans="2:28">
      <c r="B14" s="156"/>
      <c r="C14" s="260"/>
      <c r="D14" s="259"/>
      <c r="E14" s="109" t="e">
        <f t="shared" ref="E14:N20" si="4">INDEX(scorematrix,MATCH($C14,renners,0),MATCH(E$3,etappes,0))</f>
        <v>#N/A</v>
      </c>
      <c r="F14" s="109" t="e">
        <f t="shared" si="4"/>
        <v>#N/A</v>
      </c>
      <c r="G14" s="109" t="e">
        <f t="shared" si="4"/>
        <v>#N/A</v>
      </c>
      <c r="H14" s="109" t="e">
        <f t="shared" si="4"/>
        <v>#N/A</v>
      </c>
      <c r="I14" s="109" t="e">
        <f t="shared" si="4"/>
        <v>#N/A</v>
      </c>
      <c r="J14" s="109" t="e">
        <f t="shared" si="4"/>
        <v>#N/A</v>
      </c>
      <c r="K14" s="109" t="e">
        <f t="shared" si="4"/>
        <v>#N/A</v>
      </c>
      <c r="L14" s="109" t="e">
        <f t="shared" si="4"/>
        <v>#N/A</v>
      </c>
      <c r="M14" s="109" t="e">
        <f t="shared" si="4"/>
        <v>#N/A</v>
      </c>
      <c r="N14" s="109" t="e">
        <f t="shared" si="4"/>
        <v>#N/A</v>
      </c>
      <c r="O14" s="109" t="e">
        <f t="shared" ref="O14:Z20" si="5">INDEX(scorematrix,MATCH($C14,renners,0),MATCH(O$3,etappes,0))</f>
        <v>#N/A</v>
      </c>
      <c r="P14" s="109" t="e">
        <f t="shared" si="5"/>
        <v>#N/A</v>
      </c>
      <c r="Q14" s="109" t="e">
        <f t="shared" si="5"/>
        <v>#N/A</v>
      </c>
      <c r="R14" s="109" t="e">
        <f t="shared" si="5"/>
        <v>#N/A</v>
      </c>
      <c r="S14" s="109" t="e">
        <f t="shared" si="5"/>
        <v>#N/A</v>
      </c>
      <c r="T14" s="109" t="e">
        <f t="shared" si="5"/>
        <v>#N/A</v>
      </c>
      <c r="U14" s="109" t="e">
        <f t="shared" si="5"/>
        <v>#N/A</v>
      </c>
      <c r="V14" s="109" t="e">
        <f t="shared" si="5"/>
        <v>#N/A</v>
      </c>
      <c r="W14" s="109" t="e">
        <f t="shared" si="5"/>
        <v>#N/A</v>
      </c>
      <c r="X14" s="109" t="e">
        <f t="shared" si="5"/>
        <v>#N/A</v>
      </c>
      <c r="Y14" s="109" t="e">
        <f t="shared" si="5"/>
        <v>#N/A</v>
      </c>
      <c r="Z14" s="109" t="e">
        <f t="shared" si="5"/>
        <v>#N/A</v>
      </c>
      <c r="AA14" s="172" t="e">
        <f t="shared" si="2"/>
        <v>#N/A</v>
      </c>
      <c r="AB14" s="108">
        <f t="shared" si="3"/>
        <v>0</v>
      </c>
    </row>
    <row r="15" spans="2:28">
      <c r="B15" s="156"/>
      <c r="C15" s="260"/>
      <c r="D15" s="259"/>
      <c r="E15" s="109" t="e">
        <f t="shared" si="4"/>
        <v>#N/A</v>
      </c>
      <c r="F15" s="109" t="e">
        <f t="shared" si="4"/>
        <v>#N/A</v>
      </c>
      <c r="G15" s="109" t="e">
        <f t="shared" si="4"/>
        <v>#N/A</v>
      </c>
      <c r="H15" s="109" t="e">
        <f t="shared" si="4"/>
        <v>#N/A</v>
      </c>
      <c r="I15" s="109" t="e">
        <f t="shared" si="4"/>
        <v>#N/A</v>
      </c>
      <c r="J15" s="109" t="e">
        <f t="shared" si="4"/>
        <v>#N/A</v>
      </c>
      <c r="K15" s="109" t="e">
        <f t="shared" si="4"/>
        <v>#N/A</v>
      </c>
      <c r="L15" s="109" t="e">
        <f t="shared" si="4"/>
        <v>#N/A</v>
      </c>
      <c r="M15" s="109" t="e">
        <f t="shared" si="4"/>
        <v>#N/A</v>
      </c>
      <c r="N15" s="109" t="e">
        <f t="shared" si="4"/>
        <v>#N/A</v>
      </c>
      <c r="O15" s="109" t="e">
        <f t="shared" si="5"/>
        <v>#N/A</v>
      </c>
      <c r="P15" s="109" t="e">
        <f t="shared" si="5"/>
        <v>#N/A</v>
      </c>
      <c r="Q15" s="109" t="e">
        <f t="shared" si="5"/>
        <v>#N/A</v>
      </c>
      <c r="R15" s="109" t="e">
        <f t="shared" si="5"/>
        <v>#N/A</v>
      </c>
      <c r="S15" s="109" t="e">
        <f t="shared" si="5"/>
        <v>#N/A</v>
      </c>
      <c r="T15" s="109" t="e">
        <f t="shared" si="5"/>
        <v>#N/A</v>
      </c>
      <c r="U15" s="109" t="e">
        <f t="shared" si="5"/>
        <v>#N/A</v>
      </c>
      <c r="V15" s="109" t="e">
        <f t="shared" si="5"/>
        <v>#N/A</v>
      </c>
      <c r="W15" s="109" t="e">
        <f t="shared" si="5"/>
        <v>#N/A</v>
      </c>
      <c r="X15" s="109" t="e">
        <f t="shared" si="5"/>
        <v>#N/A</v>
      </c>
      <c r="Y15" s="109" t="e">
        <f t="shared" si="5"/>
        <v>#N/A</v>
      </c>
      <c r="Z15" s="109" t="e">
        <f t="shared" si="5"/>
        <v>#N/A</v>
      </c>
      <c r="AA15" s="172" t="e">
        <f t="shared" si="2"/>
        <v>#N/A</v>
      </c>
      <c r="AB15" s="108">
        <f t="shared" si="3"/>
        <v>0</v>
      </c>
    </row>
    <row r="16" spans="2:28">
      <c r="B16" s="156"/>
      <c r="C16" s="260"/>
      <c r="D16" s="259"/>
      <c r="E16" s="109" t="e">
        <f t="shared" si="4"/>
        <v>#N/A</v>
      </c>
      <c r="F16" s="109" t="e">
        <f t="shared" si="4"/>
        <v>#N/A</v>
      </c>
      <c r="G16" s="109" t="e">
        <f t="shared" si="4"/>
        <v>#N/A</v>
      </c>
      <c r="H16" s="109" t="e">
        <f t="shared" si="4"/>
        <v>#N/A</v>
      </c>
      <c r="I16" s="109" t="e">
        <f t="shared" si="4"/>
        <v>#N/A</v>
      </c>
      <c r="J16" s="109" t="e">
        <f t="shared" si="4"/>
        <v>#N/A</v>
      </c>
      <c r="K16" s="109" t="e">
        <f t="shared" si="4"/>
        <v>#N/A</v>
      </c>
      <c r="L16" s="109" t="e">
        <f t="shared" si="4"/>
        <v>#N/A</v>
      </c>
      <c r="M16" s="109" t="e">
        <f t="shared" si="4"/>
        <v>#N/A</v>
      </c>
      <c r="N16" s="109" t="e">
        <f t="shared" si="4"/>
        <v>#N/A</v>
      </c>
      <c r="O16" s="109" t="e">
        <f t="shared" si="5"/>
        <v>#N/A</v>
      </c>
      <c r="P16" s="109" t="e">
        <f t="shared" si="5"/>
        <v>#N/A</v>
      </c>
      <c r="Q16" s="109" t="e">
        <f t="shared" si="5"/>
        <v>#N/A</v>
      </c>
      <c r="R16" s="109" t="e">
        <f t="shared" si="5"/>
        <v>#N/A</v>
      </c>
      <c r="S16" s="109" t="e">
        <f t="shared" si="5"/>
        <v>#N/A</v>
      </c>
      <c r="T16" s="109" t="e">
        <f t="shared" si="5"/>
        <v>#N/A</v>
      </c>
      <c r="U16" s="109" t="e">
        <f t="shared" si="5"/>
        <v>#N/A</v>
      </c>
      <c r="V16" s="109" t="e">
        <f t="shared" si="5"/>
        <v>#N/A</v>
      </c>
      <c r="W16" s="109" t="e">
        <f t="shared" si="5"/>
        <v>#N/A</v>
      </c>
      <c r="X16" s="109" t="e">
        <f t="shared" si="5"/>
        <v>#N/A</v>
      </c>
      <c r="Y16" s="109" t="e">
        <f t="shared" si="5"/>
        <v>#N/A</v>
      </c>
      <c r="Z16" s="109" t="e">
        <f t="shared" si="5"/>
        <v>#N/A</v>
      </c>
      <c r="AA16" s="172" t="e">
        <f t="shared" si="2"/>
        <v>#N/A</v>
      </c>
      <c r="AB16" s="108">
        <f t="shared" si="3"/>
        <v>0</v>
      </c>
    </row>
    <row r="17" spans="2:28" s="157" customFormat="1">
      <c r="B17" s="156"/>
      <c r="C17" s="260"/>
      <c r="D17" s="259"/>
      <c r="E17" s="109" t="e">
        <f t="shared" si="4"/>
        <v>#N/A</v>
      </c>
      <c r="F17" s="109" t="e">
        <f t="shared" si="4"/>
        <v>#N/A</v>
      </c>
      <c r="G17" s="109" t="e">
        <f t="shared" si="4"/>
        <v>#N/A</v>
      </c>
      <c r="H17" s="109" t="e">
        <f t="shared" si="4"/>
        <v>#N/A</v>
      </c>
      <c r="I17" s="109" t="e">
        <f t="shared" si="4"/>
        <v>#N/A</v>
      </c>
      <c r="J17" s="109" t="e">
        <f t="shared" si="4"/>
        <v>#N/A</v>
      </c>
      <c r="K17" s="109" t="e">
        <f t="shared" si="4"/>
        <v>#N/A</v>
      </c>
      <c r="L17" s="109" t="e">
        <f t="shared" si="4"/>
        <v>#N/A</v>
      </c>
      <c r="M17" s="109" t="e">
        <f t="shared" si="4"/>
        <v>#N/A</v>
      </c>
      <c r="N17" s="109" t="e">
        <f t="shared" si="4"/>
        <v>#N/A</v>
      </c>
      <c r="O17" s="109" t="e">
        <f t="shared" si="5"/>
        <v>#N/A</v>
      </c>
      <c r="P17" s="109" t="e">
        <f t="shared" si="5"/>
        <v>#N/A</v>
      </c>
      <c r="Q17" s="109" t="e">
        <f t="shared" si="5"/>
        <v>#N/A</v>
      </c>
      <c r="R17" s="109" t="e">
        <f t="shared" si="5"/>
        <v>#N/A</v>
      </c>
      <c r="S17" s="109" t="e">
        <f t="shared" si="5"/>
        <v>#N/A</v>
      </c>
      <c r="T17" s="109" t="e">
        <f t="shared" si="5"/>
        <v>#N/A</v>
      </c>
      <c r="U17" s="109" t="e">
        <f t="shared" si="5"/>
        <v>#N/A</v>
      </c>
      <c r="V17" s="109" t="e">
        <f t="shared" si="5"/>
        <v>#N/A</v>
      </c>
      <c r="W17" s="109" t="e">
        <f t="shared" si="5"/>
        <v>#N/A</v>
      </c>
      <c r="X17" s="109" t="e">
        <f t="shared" si="5"/>
        <v>#N/A</v>
      </c>
      <c r="Y17" s="109" t="e">
        <f t="shared" si="5"/>
        <v>#N/A</v>
      </c>
      <c r="Z17" s="109" t="e">
        <f t="shared" si="5"/>
        <v>#N/A</v>
      </c>
      <c r="AA17" s="172" t="e">
        <f t="shared" si="2"/>
        <v>#N/A</v>
      </c>
      <c r="AB17" s="108">
        <f t="shared" si="3"/>
        <v>0</v>
      </c>
    </row>
    <row r="18" spans="2:28">
      <c r="B18" s="156"/>
      <c r="C18" s="260"/>
      <c r="D18" s="259"/>
      <c r="E18" s="109" t="e">
        <f t="shared" si="4"/>
        <v>#N/A</v>
      </c>
      <c r="F18" s="109" t="e">
        <f t="shared" si="4"/>
        <v>#N/A</v>
      </c>
      <c r="G18" s="109" t="e">
        <f t="shared" si="4"/>
        <v>#N/A</v>
      </c>
      <c r="H18" s="109" t="e">
        <f t="shared" si="4"/>
        <v>#N/A</v>
      </c>
      <c r="I18" s="109" t="e">
        <f t="shared" si="4"/>
        <v>#N/A</v>
      </c>
      <c r="J18" s="109" t="e">
        <f t="shared" si="4"/>
        <v>#N/A</v>
      </c>
      <c r="K18" s="109" t="e">
        <f t="shared" si="4"/>
        <v>#N/A</v>
      </c>
      <c r="L18" s="109" t="e">
        <f t="shared" si="4"/>
        <v>#N/A</v>
      </c>
      <c r="M18" s="109" t="e">
        <f t="shared" si="4"/>
        <v>#N/A</v>
      </c>
      <c r="N18" s="109" t="e">
        <f t="shared" si="4"/>
        <v>#N/A</v>
      </c>
      <c r="O18" s="109" t="e">
        <f t="shared" si="5"/>
        <v>#N/A</v>
      </c>
      <c r="P18" s="109" t="e">
        <f t="shared" si="5"/>
        <v>#N/A</v>
      </c>
      <c r="Q18" s="109" t="e">
        <f t="shared" si="5"/>
        <v>#N/A</v>
      </c>
      <c r="R18" s="109" t="e">
        <f t="shared" si="5"/>
        <v>#N/A</v>
      </c>
      <c r="S18" s="109" t="e">
        <f t="shared" si="5"/>
        <v>#N/A</v>
      </c>
      <c r="T18" s="109" t="e">
        <f t="shared" si="5"/>
        <v>#N/A</v>
      </c>
      <c r="U18" s="109" t="e">
        <f t="shared" si="5"/>
        <v>#N/A</v>
      </c>
      <c r="V18" s="109" t="e">
        <f t="shared" si="5"/>
        <v>#N/A</v>
      </c>
      <c r="W18" s="109" t="e">
        <f t="shared" si="5"/>
        <v>#N/A</v>
      </c>
      <c r="X18" s="109" t="e">
        <f t="shared" si="5"/>
        <v>#N/A</v>
      </c>
      <c r="Y18" s="109" t="e">
        <f t="shared" si="5"/>
        <v>#N/A</v>
      </c>
      <c r="Z18" s="109" t="e">
        <f t="shared" si="5"/>
        <v>#N/A</v>
      </c>
      <c r="AA18" s="172" t="e">
        <f t="shared" si="2"/>
        <v>#N/A</v>
      </c>
      <c r="AB18" s="108">
        <f t="shared" si="3"/>
        <v>0</v>
      </c>
    </row>
    <row r="19" spans="2:28">
      <c r="B19" s="156"/>
      <c r="C19" s="260"/>
      <c r="D19" s="259"/>
      <c r="E19" s="109" t="e">
        <f t="shared" si="4"/>
        <v>#N/A</v>
      </c>
      <c r="F19" s="109" t="e">
        <f t="shared" si="4"/>
        <v>#N/A</v>
      </c>
      <c r="G19" s="109" t="e">
        <f t="shared" si="4"/>
        <v>#N/A</v>
      </c>
      <c r="H19" s="109" t="e">
        <f t="shared" si="4"/>
        <v>#N/A</v>
      </c>
      <c r="I19" s="109" t="e">
        <f t="shared" si="4"/>
        <v>#N/A</v>
      </c>
      <c r="J19" s="109" t="e">
        <f t="shared" si="4"/>
        <v>#N/A</v>
      </c>
      <c r="K19" s="109" t="e">
        <f t="shared" si="4"/>
        <v>#N/A</v>
      </c>
      <c r="L19" s="109" t="e">
        <f t="shared" si="4"/>
        <v>#N/A</v>
      </c>
      <c r="M19" s="109" t="e">
        <f t="shared" si="4"/>
        <v>#N/A</v>
      </c>
      <c r="N19" s="109" t="e">
        <f t="shared" si="4"/>
        <v>#N/A</v>
      </c>
      <c r="O19" s="109" t="e">
        <f t="shared" si="5"/>
        <v>#N/A</v>
      </c>
      <c r="P19" s="109" t="e">
        <f t="shared" si="5"/>
        <v>#N/A</v>
      </c>
      <c r="Q19" s="109" t="e">
        <f t="shared" si="5"/>
        <v>#N/A</v>
      </c>
      <c r="R19" s="109" t="e">
        <f t="shared" si="5"/>
        <v>#N/A</v>
      </c>
      <c r="S19" s="109" t="e">
        <f t="shared" si="5"/>
        <v>#N/A</v>
      </c>
      <c r="T19" s="109" t="e">
        <f t="shared" si="5"/>
        <v>#N/A</v>
      </c>
      <c r="U19" s="109" t="e">
        <f t="shared" si="5"/>
        <v>#N/A</v>
      </c>
      <c r="V19" s="109" t="e">
        <f t="shared" si="5"/>
        <v>#N/A</v>
      </c>
      <c r="W19" s="109" t="e">
        <f t="shared" si="5"/>
        <v>#N/A</v>
      </c>
      <c r="X19" s="109" t="e">
        <f t="shared" si="5"/>
        <v>#N/A</v>
      </c>
      <c r="Y19" s="109" t="e">
        <f t="shared" si="5"/>
        <v>#N/A</v>
      </c>
      <c r="Z19" s="109" t="e">
        <f t="shared" si="5"/>
        <v>#N/A</v>
      </c>
      <c r="AA19" s="172" t="e">
        <f t="shared" si="2"/>
        <v>#N/A</v>
      </c>
      <c r="AB19" s="108">
        <f>C19</f>
        <v>0</v>
      </c>
    </row>
    <row r="20" spans="2:28" ht="13.5" thickBot="1">
      <c r="B20" s="156"/>
      <c r="C20" s="282"/>
      <c r="D20" s="259"/>
      <c r="E20" s="109" t="e">
        <f t="shared" si="4"/>
        <v>#N/A</v>
      </c>
      <c r="F20" s="109" t="e">
        <f t="shared" si="4"/>
        <v>#N/A</v>
      </c>
      <c r="G20" s="109" t="e">
        <f t="shared" si="4"/>
        <v>#N/A</v>
      </c>
      <c r="H20" s="109" t="e">
        <f t="shared" si="4"/>
        <v>#N/A</v>
      </c>
      <c r="I20" s="109" t="e">
        <f t="shared" si="4"/>
        <v>#N/A</v>
      </c>
      <c r="J20" s="109" t="e">
        <f t="shared" si="4"/>
        <v>#N/A</v>
      </c>
      <c r="K20" s="109" t="e">
        <f t="shared" si="4"/>
        <v>#N/A</v>
      </c>
      <c r="L20" s="109" t="e">
        <f t="shared" si="4"/>
        <v>#N/A</v>
      </c>
      <c r="M20" s="109" t="e">
        <f t="shared" si="4"/>
        <v>#N/A</v>
      </c>
      <c r="N20" s="109" t="e">
        <f t="shared" si="4"/>
        <v>#N/A</v>
      </c>
      <c r="O20" s="109" t="e">
        <f t="shared" si="5"/>
        <v>#N/A</v>
      </c>
      <c r="P20" s="109" t="e">
        <f t="shared" si="5"/>
        <v>#N/A</v>
      </c>
      <c r="Q20" s="109" t="e">
        <f t="shared" si="5"/>
        <v>#N/A</v>
      </c>
      <c r="R20" s="109" t="e">
        <f t="shared" si="5"/>
        <v>#N/A</v>
      </c>
      <c r="S20" s="109" t="e">
        <f t="shared" si="5"/>
        <v>#N/A</v>
      </c>
      <c r="T20" s="109" t="e">
        <f t="shared" si="5"/>
        <v>#N/A</v>
      </c>
      <c r="U20" s="109" t="e">
        <f t="shared" si="5"/>
        <v>#N/A</v>
      </c>
      <c r="V20" s="109" t="e">
        <f t="shared" si="5"/>
        <v>#N/A</v>
      </c>
      <c r="W20" s="109" t="e">
        <f t="shared" si="5"/>
        <v>#N/A</v>
      </c>
      <c r="X20" s="109" t="e">
        <f t="shared" si="5"/>
        <v>#N/A</v>
      </c>
      <c r="Y20" s="109" t="e">
        <f t="shared" si="5"/>
        <v>#N/A</v>
      </c>
      <c r="Z20" s="109" t="e">
        <f t="shared" si="5"/>
        <v>#N/A</v>
      </c>
      <c r="AA20" s="172" t="e">
        <f t="shared" si="2"/>
        <v>#N/A</v>
      </c>
      <c r="AB20" s="108">
        <f>C20</f>
        <v>0</v>
      </c>
    </row>
    <row r="21" spans="2:28" s="158" customFormat="1">
      <c r="C21" s="261"/>
      <c r="D21" s="165"/>
      <c r="E21" s="167"/>
      <c r="F21" s="167"/>
      <c r="G21" s="167"/>
      <c r="H21" s="167"/>
      <c r="I21" s="167"/>
      <c r="J21" s="167"/>
      <c r="K21" s="167"/>
      <c r="L21" s="167"/>
      <c r="M21" s="167"/>
      <c r="N21" s="167"/>
      <c r="O21" s="167"/>
      <c r="P21" s="167"/>
      <c r="Q21" s="167"/>
      <c r="R21" s="167"/>
      <c r="S21" s="167"/>
      <c r="T21" s="167"/>
      <c r="U21" s="167"/>
      <c r="V21" s="167"/>
      <c r="W21" s="167"/>
      <c r="X21" s="167"/>
      <c r="Y21" s="167"/>
      <c r="Z21" s="167"/>
      <c r="AA21" s="221">
        <f t="shared" si="2"/>
        <v>0</v>
      </c>
    </row>
    <row r="22" spans="2:28" s="112" customFormat="1">
      <c r="C22" s="166"/>
      <c r="D22" s="166"/>
      <c r="E22" s="159" t="e">
        <f t="shared" ref="E22:AA22" si="6">SUM(E4:E21)</f>
        <v>#N/A</v>
      </c>
      <c r="F22" s="159" t="e">
        <f t="shared" ref="F22" si="7">SUM(F4:F21)</f>
        <v>#N/A</v>
      </c>
      <c r="G22" s="159" t="e">
        <f>SUM(G4:G21)</f>
        <v>#N/A</v>
      </c>
      <c r="H22" s="159" t="e">
        <f t="shared" si="6"/>
        <v>#N/A</v>
      </c>
      <c r="I22" s="159" t="e">
        <f t="shared" si="6"/>
        <v>#N/A</v>
      </c>
      <c r="J22" s="159" t="e">
        <f t="shared" si="6"/>
        <v>#N/A</v>
      </c>
      <c r="K22" s="159" t="e">
        <f t="shared" si="6"/>
        <v>#N/A</v>
      </c>
      <c r="L22" s="159" t="e">
        <f t="shared" si="6"/>
        <v>#N/A</v>
      </c>
      <c r="M22" s="159" t="e">
        <f t="shared" si="6"/>
        <v>#N/A</v>
      </c>
      <c r="N22" s="159" t="e">
        <f t="shared" si="6"/>
        <v>#N/A</v>
      </c>
      <c r="O22" s="159" t="e">
        <f t="shared" si="6"/>
        <v>#N/A</v>
      </c>
      <c r="P22" s="159" t="e">
        <f t="shared" si="6"/>
        <v>#N/A</v>
      </c>
      <c r="Q22" s="159" t="e">
        <f t="shared" si="6"/>
        <v>#N/A</v>
      </c>
      <c r="R22" s="159" t="e">
        <f t="shared" si="6"/>
        <v>#N/A</v>
      </c>
      <c r="S22" s="159" t="e">
        <f t="shared" si="6"/>
        <v>#N/A</v>
      </c>
      <c r="T22" s="159" t="e">
        <f t="shared" si="6"/>
        <v>#N/A</v>
      </c>
      <c r="U22" s="159" t="e">
        <f t="shared" si="6"/>
        <v>#N/A</v>
      </c>
      <c r="V22" s="159" t="e">
        <f t="shared" si="6"/>
        <v>#N/A</v>
      </c>
      <c r="W22" s="159" t="e">
        <f t="shared" si="6"/>
        <v>#N/A</v>
      </c>
      <c r="X22" s="159" t="e">
        <f t="shared" si="6"/>
        <v>#N/A</v>
      </c>
      <c r="Y22" s="159" t="e">
        <f t="shared" si="6"/>
        <v>#N/A</v>
      </c>
      <c r="Z22" s="159" t="e">
        <f t="shared" si="6"/>
        <v>#N/A</v>
      </c>
      <c r="AA22" s="222" t="e">
        <f t="shared" si="6"/>
        <v>#N/A</v>
      </c>
    </row>
    <row r="23" spans="2:28" s="160" customFormat="1">
      <c r="C23" s="163"/>
      <c r="D23" s="16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2:28" s="162" customFormat="1">
      <c r="B24" s="156"/>
      <c r="C24" s="262"/>
      <c r="D24" s="262"/>
      <c r="E24" s="179" t="e">
        <f t="shared" ref="E24:Z26" si="8">INDEX(scorematrix,MATCH($C24,renners,0),MATCH(E$3,etappes,0))</f>
        <v>#N/A</v>
      </c>
      <c r="F24" s="179" t="e">
        <f t="shared" si="8"/>
        <v>#N/A</v>
      </c>
      <c r="G24" s="179" t="e">
        <f t="shared" si="8"/>
        <v>#N/A</v>
      </c>
      <c r="H24" s="179" t="e">
        <f t="shared" si="8"/>
        <v>#N/A</v>
      </c>
      <c r="I24" s="179" t="e">
        <f t="shared" si="8"/>
        <v>#N/A</v>
      </c>
      <c r="J24" s="179" t="e">
        <f t="shared" si="8"/>
        <v>#N/A</v>
      </c>
      <c r="K24" s="179" t="e">
        <f t="shared" si="8"/>
        <v>#N/A</v>
      </c>
      <c r="L24" s="179" t="e">
        <f t="shared" si="8"/>
        <v>#N/A</v>
      </c>
      <c r="M24" s="179" t="e">
        <f t="shared" si="8"/>
        <v>#N/A</v>
      </c>
      <c r="N24" s="179" t="e">
        <f t="shared" si="8"/>
        <v>#N/A</v>
      </c>
      <c r="O24" s="179" t="e">
        <f t="shared" si="8"/>
        <v>#N/A</v>
      </c>
      <c r="P24" s="179" t="e">
        <f t="shared" si="8"/>
        <v>#N/A</v>
      </c>
      <c r="Q24" s="179" t="e">
        <f t="shared" si="8"/>
        <v>#N/A</v>
      </c>
      <c r="R24" s="179" t="e">
        <f t="shared" si="8"/>
        <v>#N/A</v>
      </c>
      <c r="S24" s="179" t="e">
        <f t="shared" si="8"/>
        <v>#N/A</v>
      </c>
      <c r="T24" s="179" t="e">
        <f t="shared" si="8"/>
        <v>#N/A</v>
      </c>
      <c r="U24" s="179" t="e">
        <f t="shared" si="8"/>
        <v>#N/A</v>
      </c>
      <c r="V24" s="179" t="e">
        <f t="shared" si="8"/>
        <v>#N/A</v>
      </c>
      <c r="W24" s="179" t="e">
        <f t="shared" si="8"/>
        <v>#N/A</v>
      </c>
      <c r="X24" s="179" t="e">
        <f t="shared" si="8"/>
        <v>#N/A</v>
      </c>
      <c r="Y24" s="179" t="e">
        <f t="shared" si="8"/>
        <v>#N/A</v>
      </c>
      <c r="Z24" s="179" t="e">
        <f t="shared" si="8"/>
        <v>#N/A</v>
      </c>
      <c r="AA24" s="224" t="e">
        <f>SUM(E24:Z24)</f>
        <v>#N/A</v>
      </c>
    </row>
    <row r="25" spans="2:28" s="162" customFormat="1">
      <c r="B25" s="156"/>
      <c r="C25" s="262"/>
      <c r="D25" s="262"/>
      <c r="E25" s="179" t="e">
        <f t="shared" si="8"/>
        <v>#N/A</v>
      </c>
      <c r="F25" s="179" t="e">
        <f t="shared" si="8"/>
        <v>#N/A</v>
      </c>
      <c r="G25" s="179" t="e">
        <f t="shared" si="8"/>
        <v>#N/A</v>
      </c>
      <c r="H25" s="179" t="e">
        <f t="shared" si="8"/>
        <v>#N/A</v>
      </c>
      <c r="I25" s="179" t="e">
        <f t="shared" si="8"/>
        <v>#N/A</v>
      </c>
      <c r="J25" s="179" t="e">
        <f t="shared" si="8"/>
        <v>#N/A</v>
      </c>
      <c r="K25" s="179" t="e">
        <f t="shared" si="8"/>
        <v>#N/A</v>
      </c>
      <c r="L25" s="179" t="e">
        <f t="shared" si="8"/>
        <v>#N/A</v>
      </c>
      <c r="M25" s="179" t="e">
        <f t="shared" si="8"/>
        <v>#N/A</v>
      </c>
      <c r="N25" s="179" t="e">
        <f t="shared" si="8"/>
        <v>#N/A</v>
      </c>
      <c r="O25" s="179" t="e">
        <f t="shared" si="8"/>
        <v>#N/A</v>
      </c>
      <c r="P25" s="179" t="e">
        <f t="shared" si="8"/>
        <v>#N/A</v>
      </c>
      <c r="Q25" s="179" t="e">
        <f t="shared" si="8"/>
        <v>#N/A</v>
      </c>
      <c r="R25" s="179" t="e">
        <f t="shared" si="8"/>
        <v>#N/A</v>
      </c>
      <c r="S25" s="179" t="e">
        <f t="shared" si="8"/>
        <v>#N/A</v>
      </c>
      <c r="T25" s="179" t="e">
        <f t="shared" si="8"/>
        <v>#N/A</v>
      </c>
      <c r="U25" s="179" t="e">
        <f t="shared" si="8"/>
        <v>#N/A</v>
      </c>
      <c r="V25" s="179" t="e">
        <f t="shared" si="8"/>
        <v>#N/A</v>
      </c>
      <c r="W25" s="179" t="e">
        <f t="shared" si="8"/>
        <v>#N/A</v>
      </c>
      <c r="X25" s="179" t="e">
        <f t="shared" si="8"/>
        <v>#N/A</v>
      </c>
      <c r="Y25" s="179" t="e">
        <f t="shared" si="8"/>
        <v>#N/A</v>
      </c>
      <c r="Z25" s="179" t="e">
        <f t="shared" si="8"/>
        <v>#N/A</v>
      </c>
      <c r="AA25" s="224" t="e">
        <f>SUM(E25:Z25)</f>
        <v>#N/A</v>
      </c>
    </row>
    <row r="26" spans="2:28" s="162" customFormat="1">
      <c r="B26" s="156"/>
      <c r="C26" s="262"/>
      <c r="D26" s="262"/>
      <c r="E26" s="179" t="e">
        <f t="shared" si="8"/>
        <v>#N/A</v>
      </c>
      <c r="F26" s="179" t="e">
        <f t="shared" si="8"/>
        <v>#N/A</v>
      </c>
      <c r="G26" s="179" t="e">
        <f t="shared" si="8"/>
        <v>#N/A</v>
      </c>
      <c r="H26" s="179" t="e">
        <f t="shared" si="8"/>
        <v>#N/A</v>
      </c>
      <c r="I26" s="179" t="e">
        <f t="shared" si="8"/>
        <v>#N/A</v>
      </c>
      <c r="J26" s="179" t="e">
        <f t="shared" si="8"/>
        <v>#N/A</v>
      </c>
      <c r="K26" s="179" t="e">
        <f t="shared" si="8"/>
        <v>#N/A</v>
      </c>
      <c r="L26" s="179" t="e">
        <f t="shared" si="8"/>
        <v>#N/A</v>
      </c>
      <c r="M26" s="179" t="e">
        <f t="shared" si="8"/>
        <v>#N/A</v>
      </c>
      <c r="N26" s="179" t="e">
        <f t="shared" si="8"/>
        <v>#N/A</v>
      </c>
      <c r="O26" s="179" t="e">
        <f t="shared" si="8"/>
        <v>#N/A</v>
      </c>
      <c r="P26" s="179" t="e">
        <f t="shared" si="8"/>
        <v>#N/A</v>
      </c>
      <c r="Q26" s="179" t="e">
        <f t="shared" si="8"/>
        <v>#N/A</v>
      </c>
      <c r="R26" s="179" t="e">
        <f t="shared" si="8"/>
        <v>#N/A</v>
      </c>
      <c r="S26" s="179" t="e">
        <f t="shared" si="8"/>
        <v>#N/A</v>
      </c>
      <c r="T26" s="179" t="e">
        <f t="shared" si="8"/>
        <v>#N/A</v>
      </c>
      <c r="U26" s="179" t="e">
        <f t="shared" si="8"/>
        <v>#N/A</v>
      </c>
      <c r="V26" s="179" t="e">
        <f t="shared" si="8"/>
        <v>#N/A</v>
      </c>
      <c r="W26" s="179" t="e">
        <f t="shared" si="8"/>
        <v>#N/A</v>
      </c>
      <c r="X26" s="179" t="e">
        <f t="shared" si="8"/>
        <v>#N/A</v>
      </c>
      <c r="Y26" s="179" t="e">
        <f t="shared" si="8"/>
        <v>#N/A</v>
      </c>
      <c r="Z26" s="179" t="e">
        <f t="shared" si="8"/>
        <v>#N/A</v>
      </c>
      <c r="AA26" s="224" t="e">
        <f>SUM(E26:Z26)</f>
        <v>#N/A</v>
      </c>
    </row>
    <row r="28" spans="2:28">
      <c r="C28" s="273" t="s">
        <v>121</v>
      </c>
      <c r="D28" s="274">
        <f>COUNTIF($D$4:$D$21,C28)</f>
        <v>0</v>
      </c>
    </row>
    <row r="29" spans="2:28">
      <c r="C29" s="275" t="s">
        <v>10</v>
      </c>
      <c r="D29" s="274">
        <f>COUNTIF($D$4:$D$21,C29)</f>
        <v>0</v>
      </c>
    </row>
    <row r="30" spans="2:28">
      <c r="C30" s="275" t="s">
        <v>109</v>
      </c>
      <c r="D30" s="274">
        <f>COUNTIF($D$4:$D$21,C30)</f>
        <v>0</v>
      </c>
    </row>
  </sheetData>
  <sortState ref="C4:D20">
    <sortCondition ref="D4:D20"/>
    <sortCondition ref="C4:C20"/>
  </sortState>
  <phoneticPr fontId="0" type="noConversion"/>
  <dataValidations count="1">
    <dataValidation type="list" allowBlank="1" showInputMessage="1" showErrorMessage="1" prompt="selecteer type renner:" sqref="D24:D26 D4:D20">
      <formula1>type_renner</formula1>
    </dataValidation>
  </dataValidation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sheetPr codeName="Blad21">
    <tabColor indexed="12"/>
  </sheetPr>
  <dimension ref="B1:AB30"/>
  <sheetViews>
    <sheetView showZeros="0" workbookViewId="0">
      <selection activeCell="AC26" sqref="AC26"/>
    </sheetView>
  </sheetViews>
  <sheetFormatPr defaultColWidth="9.140625" defaultRowHeight="12.75"/>
  <cols>
    <col min="1" max="1" width="2.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B1" s="163"/>
      <c r="C1" s="294" t="s">
        <v>142</v>
      </c>
      <c r="D1" s="256"/>
    </row>
    <row r="2" spans="2:28">
      <c r="B2" s="163"/>
      <c r="C2" s="295"/>
      <c r="D2" s="164"/>
      <c r="H2" s="128"/>
    </row>
    <row r="3" spans="2:28" s="126" customFormat="1" ht="13.5" thickBot="1">
      <c r="B3" s="296"/>
      <c r="C3" s="297" t="s">
        <v>46</v>
      </c>
      <c r="D3" s="257"/>
      <c r="E3" s="111">
        <v>1</v>
      </c>
      <c r="F3" s="111">
        <v>2</v>
      </c>
      <c r="G3" s="111">
        <v>3</v>
      </c>
      <c r="H3" s="111">
        <v>4</v>
      </c>
      <c r="I3" s="111">
        <v>5</v>
      </c>
      <c r="J3" s="111">
        <v>6</v>
      </c>
      <c r="K3" s="111">
        <v>7</v>
      </c>
      <c r="L3" s="111">
        <v>8</v>
      </c>
      <c r="M3" s="111">
        <v>9</v>
      </c>
      <c r="N3" s="111">
        <v>10</v>
      </c>
      <c r="O3" s="111">
        <v>11</v>
      </c>
      <c r="P3" s="111">
        <v>12</v>
      </c>
      <c r="Q3" s="111">
        <v>13</v>
      </c>
      <c r="R3" s="111">
        <v>14</v>
      </c>
      <c r="S3" s="111">
        <v>15</v>
      </c>
      <c r="T3" s="111">
        <v>16</v>
      </c>
      <c r="U3" s="111">
        <v>17</v>
      </c>
      <c r="V3" s="111">
        <v>18</v>
      </c>
      <c r="W3" s="111">
        <v>19</v>
      </c>
      <c r="X3" s="111">
        <v>20</v>
      </c>
      <c r="Y3" s="111">
        <v>21</v>
      </c>
      <c r="Z3" s="111" t="s">
        <v>1</v>
      </c>
      <c r="AA3" s="146"/>
    </row>
    <row r="4" spans="2:28">
      <c r="B4" s="322" t="s">
        <v>143</v>
      </c>
      <c r="C4" s="323" t="s">
        <v>136</v>
      </c>
      <c r="D4" s="259" t="s">
        <v>177</v>
      </c>
      <c r="E4" s="109">
        <f t="shared" ref="E4:N13" si="0">INDEX(scorematrix,MATCH($C4,renners,0),MATCH(E$3,etappes,0))</f>
        <v>0</v>
      </c>
      <c r="F4" s="109">
        <f t="shared" si="0"/>
        <v>14</v>
      </c>
      <c r="G4" s="109">
        <f t="shared" si="0"/>
        <v>8</v>
      </c>
      <c r="H4" s="109">
        <f t="shared" si="0"/>
        <v>28</v>
      </c>
      <c r="I4" s="109">
        <f t="shared" si="0"/>
        <v>18</v>
      </c>
      <c r="J4" s="109">
        <f t="shared" si="0"/>
        <v>28</v>
      </c>
      <c r="K4" s="109">
        <f t="shared" si="0"/>
        <v>30</v>
      </c>
      <c r="L4" s="109">
        <f t="shared" si="0"/>
        <v>24</v>
      </c>
      <c r="M4" s="109">
        <f t="shared" si="0"/>
        <v>38</v>
      </c>
      <c r="N4" s="109">
        <f t="shared" si="0"/>
        <v>14</v>
      </c>
      <c r="O4" s="109">
        <f t="shared" ref="O4:Z12" si="1">INDEX(scorematrix,MATCH($C4,renners,0),MATCH(O$3,etappes,0))</f>
        <v>14</v>
      </c>
      <c r="P4" s="109">
        <f t="shared" si="1"/>
        <v>14</v>
      </c>
      <c r="Q4" s="109">
        <f t="shared" si="1"/>
        <v>20</v>
      </c>
      <c r="R4" s="109">
        <f t="shared" si="1"/>
        <v>12</v>
      </c>
      <c r="S4" s="109">
        <f t="shared" si="1"/>
        <v>3</v>
      </c>
      <c r="T4" s="109">
        <f t="shared" si="1"/>
        <v>3</v>
      </c>
      <c r="U4" s="109">
        <f t="shared" si="1"/>
        <v>0</v>
      </c>
      <c r="V4" s="109">
        <f t="shared" si="1"/>
        <v>0</v>
      </c>
      <c r="W4" s="109">
        <f t="shared" si="1"/>
        <v>0</v>
      </c>
      <c r="X4" s="109">
        <f t="shared" si="1"/>
        <v>0</v>
      </c>
      <c r="Y4" s="109">
        <f t="shared" si="1"/>
        <v>0</v>
      </c>
      <c r="Z4" s="109">
        <f t="shared" si="1"/>
        <v>0</v>
      </c>
      <c r="AA4" s="172">
        <f t="shared" ref="AA4:AA21" si="2">SUM(E4:Z4)</f>
        <v>268</v>
      </c>
      <c r="AB4" s="108" t="str">
        <f t="shared" ref="AB4:AB20" si="3">C4</f>
        <v>Bernal</v>
      </c>
    </row>
    <row r="5" spans="2:28">
      <c r="B5" s="322" t="s">
        <v>188</v>
      </c>
      <c r="C5" s="324" t="s">
        <v>134</v>
      </c>
      <c r="D5" s="259" t="s">
        <v>177</v>
      </c>
      <c r="E5" s="109">
        <f t="shared" si="0"/>
        <v>0</v>
      </c>
      <c r="F5" s="109">
        <f t="shared" si="0"/>
        <v>0</v>
      </c>
      <c r="G5" s="109">
        <f t="shared" si="0"/>
        <v>0</v>
      </c>
      <c r="H5" s="109">
        <f t="shared" si="0"/>
        <v>46</v>
      </c>
      <c r="I5" s="109">
        <f t="shared" si="0"/>
        <v>12</v>
      </c>
      <c r="J5" s="109">
        <f t="shared" si="0"/>
        <v>11</v>
      </c>
      <c r="K5" s="109">
        <f t="shared" si="0"/>
        <v>11</v>
      </c>
      <c r="L5" s="109">
        <f t="shared" si="0"/>
        <v>19</v>
      </c>
      <c r="M5" s="109">
        <f t="shared" si="0"/>
        <v>40</v>
      </c>
      <c r="N5" s="109">
        <f t="shared" si="0"/>
        <v>10</v>
      </c>
      <c r="O5" s="109">
        <f t="shared" si="1"/>
        <v>10</v>
      </c>
      <c r="P5" s="109">
        <f t="shared" si="1"/>
        <v>10</v>
      </c>
      <c r="Q5" s="109">
        <f t="shared" si="1"/>
        <v>24</v>
      </c>
      <c r="R5" s="109">
        <f t="shared" si="1"/>
        <v>10</v>
      </c>
      <c r="S5" s="109">
        <f t="shared" si="1"/>
        <v>43</v>
      </c>
      <c r="T5" s="109">
        <f t="shared" si="1"/>
        <v>12</v>
      </c>
      <c r="U5" s="109">
        <f t="shared" si="1"/>
        <v>44</v>
      </c>
      <c r="V5" s="109">
        <f t="shared" si="1"/>
        <v>37</v>
      </c>
      <c r="W5" s="109">
        <f t="shared" si="1"/>
        <v>13</v>
      </c>
      <c r="X5" s="109">
        <f t="shared" si="1"/>
        <v>34</v>
      </c>
      <c r="Y5" s="109">
        <f t="shared" si="1"/>
        <v>12</v>
      </c>
      <c r="Z5" s="109">
        <f t="shared" si="1"/>
        <v>65</v>
      </c>
      <c r="AA5" s="172">
        <f t="shared" si="2"/>
        <v>463</v>
      </c>
      <c r="AB5" s="108" t="str">
        <f t="shared" si="3"/>
        <v>Roglic</v>
      </c>
    </row>
    <row r="6" spans="2:28">
      <c r="B6" s="322" t="s">
        <v>189</v>
      </c>
      <c r="C6" s="324" t="s">
        <v>106</v>
      </c>
      <c r="D6" s="259" t="s">
        <v>10</v>
      </c>
      <c r="E6" s="109">
        <f t="shared" si="0"/>
        <v>0</v>
      </c>
      <c r="F6" s="109">
        <f t="shared" si="0"/>
        <v>1</v>
      </c>
      <c r="G6" s="109">
        <f t="shared" si="0"/>
        <v>4</v>
      </c>
      <c r="H6" s="109">
        <f t="shared" si="0"/>
        <v>19</v>
      </c>
      <c r="I6" s="109">
        <f t="shared" si="0"/>
        <v>5</v>
      </c>
      <c r="J6" s="109">
        <f t="shared" si="0"/>
        <v>16</v>
      </c>
      <c r="K6" s="109">
        <f t="shared" si="0"/>
        <v>6</v>
      </c>
      <c r="L6" s="109">
        <f t="shared" si="0"/>
        <v>0</v>
      </c>
      <c r="M6" s="109">
        <f t="shared" si="0"/>
        <v>9</v>
      </c>
      <c r="N6" s="109">
        <f t="shared" si="0"/>
        <v>0</v>
      </c>
      <c r="O6" s="109">
        <f t="shared" si="1"/>
        <v>0</v>
      </c>
      <c r="P6" s="109">
        <f t="shared" si="1"/>
        <v>0</v>
      </c>
      <c r="Q6" s="109">
        <f t="shared" si="1"/>
        <v>0</v>
      </c>
      <c r="R6" s="109">
        <f t="shared" si="1"/>
        <v>0</v>
      </c>
      <c r="S6" s="109">
        <f t="shared" si="1"/>
        <v>15</v>
      </c>
      <c r="T6" s="109">
        <f t="shared" si="1"/>
        <v>2</v>
      </c>
      <c r="U6" s="109">
        <f t="shared" si="1"/>
        <v>18</v>
      </c>
      <c r="V6" s="109">
        <f t="shared" si="1"/>
        <v>18</v>
      </c>
      <c r="W6" s="109">
        <f t="shared" si="1"/>
        <v>2</v>
      </c>
      <c r="X6" s="109">
        <f t="shared" si="1"/>
        <v>34</v>
      </c>
      <c r="Y6" s="109">
        <f t="shared" si="1"/>
        <v>4</v>
      </c>
      <c r="Z6" s="109">
        <f t="shared" si="1"/>
        <v>38</v>
      </c>
      <c r="AA6" s="172">
        <f t="shared" si="2"/>
        <v>191</v>
      </c>
      <c r="AB6" s="108" t="str">
        <f t="shared" si="3"/>
        <v>Dumoulin</v>
      </c>
    </row>
    <row r="7" spans="2:28">
      <c r="B7" s="322" t="s">
        <v>175</v>
      </c>
      <c r="C7" s="324" t="s">
        <v>222</v>
      </c>
      <c r="D7" s="259" t="s">
        <v>10</v>
      </c>
      <c r="E7" s="109">
        <f t="shared" si="0"/>
        <v>0</v>
      </c>
      <c r="F7" s="109">
        <f t="shared" si="0"/>
        <v>0</v>
      </c>
      <c r="G7" s="109">
        <f t="shared" si="0"/>
        <v>0</v>
      </c>
      <c r="H7" s="109">
        <f t="shared" si="0"/>
        <v>0</v>
      </c>
      <c r="I7" s="109">
        <f t="shared" si="0"/>
        <v>35</v>
      </c>
      <c r="J7" s="109">
        <f t="shared" si="0"/>
        <v>0</v>
      </c>
      <c r="K7" s="109">
        <f t="shared" si="0"/>
        <v>38</v>
      </c>
      <c r="L7" s="109">
        <f t="shared" si="0"/>
        <v>3</v>
      </c>
      <c r="M7" s="109">
        <f t="shared" si="0"/>
        <v>3</v>
      </c>
      <c r="N7" s="109">
        <f t="shared" si="0"/>
        <v>1</v>
      </c>
      <c r="O7" s="109">
        <f t="shared" si="1"/>
        <v>26</v>
      </c>
      <c r="P7" s="109">
        <f t="shared" si="1"/>
        <v>7</v>
      </c>
      <c r="Q7" s="109">
        <f t="shared" si="1"/>
        <v>0</v>
      </c>
      <c r="R7" s="109">
        <f t="shared" si="1"/>
        <v>0</v>
      </c>
      <c r="S7" s="109">
        <f t="shared" si="1"/>
        <v>0</v>
      </c>
      <c r="T7" s="109">
        <f t="shared" si="1"/>
        <v>0</v>
      </c>
      <c r="U7" s="109">
        <f t="shared" si="1"/>
        <v>7</v>
      </c>
      <c r="V7" s="109">
        <f t="shared" si="1"/>
        <v>26</v>
      </c>
      <c r="W7" s="109">
        <f t="shared" si="1"/>
        <v>0</v>
      </c>
      <c r="X7" s="109">
        <f t="shared" si="1"/>
        <v>25</v>
      </c>
      <c r="Y7" s="109">
        <f t="shared" si="1"/>
        <v>21</v>
      </c>
      <c r="Z7" s="109">
        <f t="shared" si="1"/>
        <v>13</v>
      </c>
      <c r="AA7" s="172">
        <f t="shared" si="2"/>
        <v>205</v>
      </c>
      <c r="AB7" s="108" t="str">
        <f t="shared" si="3"/>
        <v>Van Aert</v>
      </c>
    </row>
    <row r="8" spans="2:28">
      <c r="B8" s="322" t="s">
        <v>140</v>
      </c>
      <c r="C8" s="324" t="s">
        <v>72</v>
      </c>
      <c r="D8" s="259" t="s">
        <v>10</v>
      </c>
      <c r="E8" s="109">
        <f t="shared" si="0"/>
        <v>31</v>
      </c>
      <c r="F8" s="109">
        <f t="shared" si="0"/>
        <v>4</v>
      </c>
      <c r="G8" s="109">
        <f t="shared" si="0"/>
        <v>25</v>
      </c>
      <c r="H8" s="109">
        <f t="shared" si="0"/>
        <v>5</v>
      </c>
      <c r="I8" s="109">
        <f t="shared" si="0"/>
        <v>28</v>
      </c>
      <c r="J8" s="109">
        <f t="shared" si="0"/>
        <v>4</v>
      </c>
      <c r="K8" s="109">
        <f t="shared" si="0"/>
        <v>18</v>
      </c>
      <c r="L8" s="109">
        <f t="shared" si="0"/>
        <v>5</v>
      </c>
      <c r="M8" s="109">
        <f t="shared" si="0"/>
        <v>5</v>
      </c>
      <c r="N8" s="109">
        <f t="shared" si="0"/>
        <v>30</v>
      </c>
      <c r="O8" s="109">
        <f t="shared" si="1"/>
        <v>4</v>
      </c>
      <c r="P8" s="109">
        <f t="shared" si="1"/>
        <v>17</v>
      </c>
      <c r="Q8" s="109">
        <f t="shared" si="1"/>
        <v>4</v>
      </c>
      <c r="R8" s="109">
        <f t="shared" si="1"/>
        <v>28</v>
      </c>
      <c r="S8" s="109">
        <f t="shared" si="1"/>
        <v>4</v>
      </c>
      <c r="T8" s="109">
        <f t="shared" si="1"/>
        <v>4</v>
      </c>
      <c r="U8" s="109">
        <f t="shared" si="1"/>
        <v>4</v>
      </c>
      <c r="V8" s="109">
        <f t="shared" si="1"/>
        <v>4</v>
      </c>
      <c r="W8" s="109">
        <f t="shared" si="1"/>
        <v>21</v>
      </c>
      <c r="X8" s="109">
        <f t="shared" si="1"/>
        <v>4</v>
      </c>
      <c r="Y8" s="109">
        <f t="shared" si="1"/>
        <v>30</v>
      </c>
      <c r="Z8" s="109">
        <f t="shared" si="1"/>
        <v>7</v>
      </c>
      <c r="AA8" s="172">
        <f t="shared" si="2"/>
        <v>286</v>
      </c>
      <c r="AB8" s="108" t="str">
        <f t="shared" si="3"/>
        <v>Sagan</v>
      </c>
    </row>
    <row r="9" spans="2:28">
      <c r="B9" s="322" t="s">
        <v>174</v>
      </c>
      <c r="C9" s="324" t="s">
        <v>171</v>
      </c>
      <c r="D9" s="259" t="s">
        <v>177</v>
      </c>
      <c r="E9" s="109">
        <f t="shared" si="0"/>
        <v>0</v>
      </c>
      <c r="F9" s="109">
        <f t="shared" si="0"/>
        <v>0</v>
      </c>
      <c r="G9" s="109">
        <f t="shared" si="0"/>
        <v>0</v>
      </c>
      <c r="H9" s="109">
        <f t="shared" si="0"/>
        <v>9</v>
      </c>
      <c r="I9" s="109">
        <f t="shared" si="0"/>
        <v>0</v>
      </c>
      <c r="J9" s="109">
        <f t="shared" si="0"/>
        <v>7</v>
      </c>
      <c r="K9" s="109">
        <f t="shared" si="0"/>
        <v>7</v>
      </c>
      <c r="L9" s="109">
        <f t="shared" si="0"/>
        <v>0</v>
      </c>
      <c r="M9" s="109">
        <f t="shared" si="0"/>
        <v>0</v>
      </c>
      <c r="N9" s="109">
        <f t="shared" si="0"/>
        <v>0</v>
      </c>
      <c r="O9" s="109">
        <f t="shared" si="1"/>
        <v>0</v>
      </c>
      <c r="P9" s="109">
        <f t="shared" si="1"/>
        <v>0</v>
      </c>
      <c r="Q9" s="109">
        <f t="shared" si="1"/>
        <v>0</v>
      </c>
      <c r="R9" s="109">
        <f t="shared" si="1"/>
        <v>0</v>
      </c>
      <c r="S9" s="109">
        <f t="shared" si="1"/>
        <v>0</v>
      </c>
      <c r="T9" s="109">
        <f t="shared" si="1"/>
        <v>0</v>
      </c>
      <c r="U9" s="109">
        <f t="shared" si="1"/>
        <v>0</v>
      </c>
      <c r="V9" s="109">
        <f t="shared" si="1"/>
        <v>0</v>
      </c>
      <c r="W9" s="109">
        <f t="shared" si="1"/>
        <v>0</v>
      </c>
      <c r="X9" s="109">
        <f t="shared" si="1"/>
        <v>0</v>
      </c>
      <c r="Y9" s="109">
        <f t="shared" si="1"/>
        <v>0</v>
      </c>
      <c r="Z9" s="109">
        <f t="shared" si="1"/>
        <v>0</v>
      </c>
      <c r="AA9" s="172">
        <f t="shared" si="2"/>
        <v>23</v>
      </c>
      <c r="AB9" s="108" t="str">
        <f t="shared" si="3"/>
        <v>Buchmann</v>
      </c>
    </row>
    <row r="10" spans="2:28">
      <c r="B10" s="322" t="s">
        <v>153</v>
      </c>
      <c r="C10" s="324" t="s">
        <v>154</v>
      </c>
      <c r="D10" s="259" t="s">
        <v>109</v>
      </c>
      <c r="E10" s="109">
        <f t="shared" si="0"/>
        <v>0</v>
      </c>
      <c r="F10" s="109">
        <f t="shared" si="0"/>
        <v>46</v>
      </c>
      <c r="G10" s="109">
        <f t="shared" si="0"/>
        <v>10</v>
      </c>
      <c r="H10" s="109">
        <f t="shared" si="0"/>
        <v>32</v>
      </c>
      <c r="I10" s="109">
        <f t="shared" si="0"/>
        <v>10</v>
      </c>
      <c r="J10" s="109">
        <f t="shared" si="0"/>
        <v>22</v>
      </c>
      <c r="K10" s="109">
        <f t="shared" si="0"/>
        <v>14</v>
      </c>
      <c r="L10" s="109">
        <f t="shared" si="0"/>
        <v>0</v>
      </c>
      <c r="M10" s="109">
        <f t="shared" si="0"/>
        <v>0</v>
      </c>
      <c r="N10" s="109">
        <f t="shared" si="0"/>
        <v>0</v>
      </c>
      <c r="O10" s="109">
        <f t="shared" si="1"/>
        <v>0</v>
      </c>
      <c r="P10" s="109">
        <f t="shared" si="1"/>
        <v>15</v>
      </c>
      <c r="Q10" s="109">
        <f t="shared" si="1"/>
        <v>0</v>
      </c>
      <c r="R10" s="109">
        <f t="shared" si="1"/>
        <v>0</v>
      </c>
      <c r="S10" s="109">
        <f t="shared" si="1"/>
        <v>0</v>
      </c>
      <c r="T10" s="109">
        <f t="shared" si="1"/>
        <v>16</v>
      </c>
      <c r="U10" s="109">
        <f t="shared" si="1"/>
        <v>0</v>
      </c>
      <c r="V10" s="109">
        <f t="shared" si="1"/>
        <v>0</v>
      </c>
      <c r="W10" s="109">
        <f t="shared" si="1"/>
        <v>0</v>
      </c>
      <c r="X10" s="109">
        <f t="shared" si="1"/>
        <v>0</v>
      </c>
      <c r="Y10" s="109">
        <f t="shared" si="1"/>
        <v>0</v>
      </c>
      <c r="Z10" s="109">
        <f t="shared" si="1"/>
        <v>0</v>
      </c>
      <c r="AA10" s="172">
        <f t="shared" si="2"/>
        <v>165</v>
      </c>
      <c r="AB10" s="108" t="str">
        <f t="shared" si="3"/>
        <v>Alaphilippe</v>
      </c>
    </row>
    <row r="11" spans="2:28">
      <c r="B11" s="322" t="s">
        <v>190</v>
      </c>
      <c r="C11" s="324" t="s">
        <v>191</v>
      </c>
      <c r="D11" s="259" t="s">
        <v>177</v>
      </c>
      <c r="E11" s="109">
        <f t="shared" si="0"/>
        <v>33</v>
      </c>
      <c r="F11" s="109">
        <f t="shared" si="0"/>
        <v>2</v>
      </c>
      <c r="G11" s="109">
        <f t="shared" si="0"/>
        <v>33</v>
      </c>
      <c r="H11" s="109">
        <f t="shared" si="0"/>
        <v>4</v>
      </c>
      <c r="I11" s="109">
        <f t="shared" si="0"/>
        <v>31</v>
      </c>
      <c r="J11" s="109">
        <f t="shared" si="0"/>
        <v>5</v>
      </c>
      <c r="K11" s="109">
        <f t="shared" si="0"/>
        <v>4</v>
      </c>
      <c r="L11" s="109">
        <f t="shared" si="0"/>
        <v>4</v>
      </c>
      <c r="M11" s="109">
        <f t="shared" si="0"/>
        <v>4</v>
      </c>
      <c r="N11" s="109">
        <f t="shared" si="0"/>
        <v>40</v>
      </c>
      <c r="O11" s="109">
        <f t="shared" si="1"/>
        <v>35</v>
      </c>
      <c r="P11" s="109">
        <f t="shared" si="1"/>
        <v>5</v>
      </c>
      <c r="Q11" s="109">
        <f t="shared" si="1"/>
        <v>5</v>
      </c>
      <c r="R11" s="109">
        <f t="shared" si="1"/>
        <v>5</v>
      </c>
      <c r="S11" s="109">
        <f t="shared" si="1"/>
        <v>5</v>
      </c>
      <c r="T11" s="109">
        <f t="shared" si="1"/>
        <v>5</v>
      </c>
      <c r="U11" s="109">
        <f t="shared" si="1"/>
        <v>5</v>
      </c>
      <c r="V11" s="109">
        <f t="shared" si="1"/>
        <v>5</v>
      </c>
      <c r="W11" s="109">
        <f t="shared" si="1"/>
        <v>23</v>
      </c>
      <c r="X11" s="109">
        <f t="shared" si="1"/>
        <v>5</v>
      </c>
      <c r="Y11" s="109">
        <f t="shared" si="1"/>
        <v>40</v>
      </c>
      <c r="Z11" s="109">
        <f t="shared" si="1"/>
        <v>10</v>
      </c>
      <c r="AA11" s="172">
        <f t="shared" si="2"/>
        <v>308</v>
      </c>
      <c r="AB11" s="108" t="str">
        <f t="shared" si="3"/>
        <v>Bennett</v>
      </c>
    </row>
    <row r="12" spans="2:28">
      <c r="B12" s="322" t="s">
        <v>170</v>
      </c>
      <c r="C12" s="324" t="s">
        <v>86</v>
      </c>
      <c r="D12" s="259" t="s">
        <v>177</v>
      </c>
      <c r="E12" s="109">
        <f t="shared" si="0"/>
        <v>0</v>
      </c>
      <c r="F12" s="109">
        <f t="shared" si="0"/>
        <v>0</v>
      </c>
      <c r="G12" s="109">
        <f t="shared" si="0"/>
        <v>0</v>
      </c>
      <c r="H12" s="109">
        <f t="shared" si="0"/>
        <v>18</v>
      </c>
      <c r="I12" s="109">
        <f t="shared" si="0"/>
        <v>0</v>
      </c>
      <c r="J12" s="109">
        <f t="shared" si="0"/>
        <v>12</v>
      </c>
      <c r="K12" s="109">
        <f t="shared" si="0"/>
        <v>10</v>
      </c>
      <c r="L12" s="109">
        <f t="shared" si="0"/>
        <v>0</v>
      </c>
      <c r="M12" s="109">
        <f t="shared" si="0"/>
        <v>0</v>
      </c>
      <c r="N12" s="109">
        <f t="shared" si="0"/>
        <v>0</v>
      </c>
      <c r="O12" s="109">
        <f t="shared" si="1"/>
        <v>0</v>
      </c>
      <c r="P12" s="109">
        <f t="shared" si="1"/>
        <v>0</v>
      </c>
      <c r="Q12" s="354"/>
      <c r="R12" s="354"/>
      <c r="S12" s="354"/>
      <c r="T12" s="354"/>
      <c r="U12" s="354"/>
      <c r="V12" s="354"/>
      <c r="W12" s="354"/>
      <c r="X12" s="354"/>
      <c r="Y12" s="354"/>
      <c r="Z12" s="354"/>
      <c r="AA12" s="172">
        <f t="shared" si="2"/>
        <v>40</v>
      </c>
      <c r="AB12" s="108" t="str">
        <f t="shared" si="3"/>
        <v>Pinot</v>
      </c>
    </row>
    <row r="13" spans="2:28">
      <c r="B13" s="322" t="s">
        <v>150</v>
      </c>
      <c r="C13" s="324" t="s">
        <v>151</v>
      </c>
      <c r="D13" s="259" t="s">
        <v>10</v>
      </c>
      <c r="E13" s="109">
        <f t="shared" si="0"/>
        <v>0</v>
      </c>
      <c r="F13" s="109">
        <f t="shared" si="0"/>
        <v>0</v>
      </c>
      <c r="G13" s="109">
        <f t="shared" si="0"/>
        <v>0</v>
      </c>
      <c r="H13" s="109">
        <f t="shared" si="0"/>
        <v>0</v>
      </c>
      <c r="I13" s="109">
        <f t="shared" si="0"/>
        <v>0</v>
      </c>
      <c r="J13" s="350"/>
      <c r="K13" s="350"/>
      <c r="L13" s="350"/>
      <c r="M13" s="350"/>
      <c r="N13" s="350"/>
      <c r="O13" s="350"/>
      <c r="P13" s="350"/>
      <c r="Q13" s="350"/>
      <c r="R13" s="350"/>
      <c r="S13" s="350"/>
      <c r="T13" s="350"/>
      <c r="U13" s="350"/>
      <c r="V13" s="350"/>
      <c r="W13" s="350"/>
      <c r="X13" s="350"/>
      <c r="Y13" s="350"/>
      <c r="Z13" s="350"/>
      <c r="AA13" s="172">
        <f t="shared" si="2"/>
        <v>0</v>
      </c>
      <c r="AB13" s="108" t="str">
        <f t="shared" si="3"/>
        <v>Colbrelli</v>
      </c>
    </row>
    <row r="14" spans="2:28">
      <c r="B14" s="322" t="s">
        <v>192</v>
      </c>
      <c r="C14" s="324" t="s">
        <v>193</v>
      </c>
      <c r="D14" s="259" t="s">
        <v>177</v>
      </c>
      <c r="E14" s="109">
        <f t="shared" ref="E14:N20" si="4">INDEX(scorematrix,MATCH($C14,renners,0),MATCH(E$3,etappes,0))</f>
        <v>0</v>
      </c>
      <c r="F14" s="109">
        <f t="shared" si="4"/>
        <v>0</v>
      </c>
      <c r="G14" s="109">
        <f t="shared" si="4"/>
        <v>0</v>
      </c>
      <c r="H14" s="109">
        <f t="shared" si="4"/>
        <v>0</v>
      </c>
      <c r="I14" s="109">
        <f t="shared" si="4"/>
        <v>0</v>
      </c>
      <c r="J14" s="109">
        <f t="shared" si="4"/>
        <v>1</v>
      </c>
      <c r="K14" s="109">
        <f t="shared" si="4"/>
        <v>1</v>
      </c>
      <c r="L14" s="109">
        <f t="shared" si="4"/>
        <v>0</v>
      </c>
      <c r="M14" s="109">
        <f t="shared" si="4"/>
        <v>0</v>
      </c>
      <c r="N14" s="109">
        <f t="shared" si="4"/>
        <v>0</v>
      </c>
      <c r="O14" s="109">
        <f t="shared" ref="O14:Z19" si="5">INDEX(scorematrix,MATCH($C14,renners,0),MATCH(O$3,etappes,0))</f>
        <v>1</v>
      </c>
      <c r="P14" s="109">
        <f t="shared" si="5"/>
        <v>1</v>
      </c>
      <c r="Q14" s="109">
        <f t="shared" si="5"/>
        <v>36</v>
      </c>
      <c r="R14" s="109">
        <f t="shared" si="5"/>
        <v>1</v>
      </c>
      <c r="S14" s="109">
        <f t="shared" si="5"/>
        <v>2</v>
      </c>
      <c r="T14" s="109">
        <f t="shared" si="5"/>
        <v>1</v>
      </c>
      <c r="U14" s="109">
        <f t="shared" si="5"/>
        <v>2</v>
      </c>
      <c r="V14" s="109">
        <f t="shared" si="5"/>
        <v>2</v>
      </c>
      <c r="W14" s="109">
        <f t="shared" si="5"/>
        <v>2</v>
      </c>
      <c r="X14" s="109">
        <f t="shared" si="5"/>
        <v>17</v>
      </c>
      <c r="Y14" s="109">
        <f t="shared" si="5"/>
        <v>2</v>
      </c>
      <c r="Z14" s="109">
        <f t="shared" si="5"/>
        <v>3</v>
      </c>
      <c r="AA14" s="172">
        <f t="shared" si="2"/>
        <v>72</v>
      </c>
      <c r="AB14" s="108" t="str">
        <f t="shared" si="3"/>
        <v>Martinez</v>
      </c>
    </row>
    <row r="15" spans="2:28">
      <c r="B15" s="322" t="s">
        <v>223</v>
      </c>
      <c r="C15" s="324" t="s">
        <v>53</v>
      </c>
      <c r="D15" s="259" t="s">
        <v>177</v>
      </c>
      <c r="E15" s="109">
        <f t="shared" si="4"/>
        <v>0</v>
      </c>
      <c r="F15" s="109">
        <f t="shared" si="4"/>
        <v>20</v>
      </c>
      <c r="G15" s="109">
        <f t="shared" si="4"/>
        <v>0</v>
      </c>
      <c r="H15" s="109">
        <f t="shared" si="4"/>
        <v>13</v>
      </c>
      <c r="I15" s="109">
        <f t="shared" si="4"/>
        <v>0</v>
      </c>
      <c r="J15" s="109">
        <f t="shared" si="4"/>
        <v>20</v>
      </c>
      <c r="K15" s="109">
        <f t="shared" si="4"/>
        <v>0</v>
      </c>
      <c r="L15" s="109">
        <f t="shared" si="4"/>
        <v>0</v>
      </c>
      <c r="M15" s="109">
        <f t="shared" si="4"/>
        <v>20</v>
      </c>
      <c r="N15" s="109">
        <f t="shared" si="4"/>
        <v>0</v>
      </c>
      <c r="O15" s="109">
        <f t="shared" si="5"/>
        <v>0</v>
      </c>
      <c r="P15" s="109">
        <f t="shared" si="5"/>
        <v>6</v>
      </c>
      <c r="Q15" s="109">
        <f t="shared" si="5"/>
        <v>0</v>
      </c>
      <c r="R15" s="109">
        <f t="shared" si="5"/>
        <v>0</v>
      </c>
      <c r="S15" s="109">
        <f t="shared" si="5"/>
        <v>0</v>
      </c>
      <c r="T15" s="109">
        <f t="shared" si="5"/>
        <v>0</v>
      </c>
      <c r="U15" s="109">
        <f t="shared" si="5"/>
        <v>0</v>
      </c>
      <c r="V15" s="109">
        <f t="shared" si="5"/>
        <v>0</v>
      </c>
      <c r="W15" s="109">
        <f t="shared" si="5"/>
        <v>0</v>
      </c>
      <c r="X15" s="109">
        <f t="shared" si="5"/>
        <v>0</v>
      </c>
      <c r="Y15" s="109">
        <f t="shared" si="5"/>
        <v>0</v>
      </c>
      <c r="Z15" s="109">
        <f t="shared" si="5"/>
        <v>0</v>
      </c>
      <c r="AA15" s="172">
        <f t="shared" si="2"/>
        <v>79</v>
      </c>
      <c r="AB15" s="108" t="str">
        <f t="shared" si="3"/>
        <v>Mollema</v>
      </c>
    </row>
    <row r="16" spans="2:28">
      <c r="B16" s="322" t="s">
        <v>182</v>
      </c>
      <c r="C16" s="324" t="s">
        <v>224</v>
      </c>
      <c r="D16" s="259" t="s">
        <v>109</v>
      </c>
      <c r="E16" s="109">
        <f t="shared" si="4"/>
        <v>0</v>
      </c>
      <c r="F16" s="109">
        <f t="shared" si="4"/>
        <v>24</v>
      </c>
      <c r="G16" s="109">
        <f t="shared" si="4"/>
        <v>0</v>
      </c>
      <c r="H16" s="109">
        <f t="shared" si="4"/>
        <v>0</v>
      </c>
      <c r="I16" s="109">
        <f t="shared" si="4"/>
        <v>6</v>
      </c>
      <c r="J16" s="109">
        <f t="shared" si="4"/>
        <v>26</v>
      </c>
      <c r="K16" s="109">
        <f t="shared" si="4"/>
        <v>0</v>
      </c>
      <c r="L16" s="109">
        <f t="shared" si="4"/>
        <v>0</v>
      </c>
      <c r="M16" s="109">
        <f t="shared" si="4"/>
        <v>0</v>
      </c>
      <c r="N16" s="109">
        <f t="shared" si="4"/>
        <v>0</v>
      </c>
      <c r="O16" s="109">
        <f t="shared" si="5"/>
        <v>0</v>
      </c>
      <c r="P16" s="109">
        <f t="shared" si="5"/>
        <v>12</v>
      </c>
      <c r="Q16" s="109">
        <f t="shared" si="5"/>
        <v>0</v>
      </c>
      <c r="R16" s="109">
        <f t="shared" si="5"/>
        <v>0</v>
      </c>
      <c r="S16" s="109">
        <f t="shared" si="5"/>
        <v>0</v>
      </c>
      <c r="T16" s="109">
        <f t="shared" si="5"/>
        <v>0</v>
      </c>
      <c r="U16" s="109">
        <f t="shared" si="5"/>
        <v>0</v>
      </c>
      <c r="V16" s="109">
        <f t="shared" si="5"/>
        <v>0</v>
      </c>
      <c r="W16" s="109">
        <f t="shared" si="5"/>
        <v>24</v>
      </c>
      <c r="X16" s="109">
        <f t="shared" si="5"/>
        <v>0</v>
      </c>
      <c r="Y16" s="109">
        <f t="shared" si="5"/>
        <v>0</v>
      </c>
      <c r="Z16" s="109">
        <f t="shared" si="5"/>
        <v>0</v>
      </c>
      <c r="AA16" s="172">
        <f t="shared" si="2"/>
        <v>92</v>
      </c>
      <c r="AB16" s="108" t="str">
        <f t="shared" si="3"/>
        <v>Van Avermaet</v>
      </c>
    </row>
    <row r="17" spans="2:28">
      <c r="B17" s="322" t="s">
        <v>166</v>
      </c>
      <c r="C17" s="324" t="s">
        <v>167</v>
      </c>
      <c r="D17" s="259" t="s">
        <v>10</v>
      </c>
      <c r="E17" s="109">
        <f t="shared" si="4"/>
        <v>25</v>
      </c>
      <c r="F17" s="109">
        <f t="shared" si="4"/>
        <v>0</v>
      </c>
      <c r="G17" s="109">
        <f t="shared" si="4"/>
        <v>0</v>
      </c>
      <c r="H17" s="109">
        <f t="shared" si="4"/>
        <v>0</v>
      </c>
      <c r="I17" s="109">
        <f t="shared" si="4"/>
        <v>0</v>
      </c>
      <c r="J17" s="109">
        <f t="shared" si="4"/>
        <v>0</v>
      </c>
      <c r="K17" s="109">
        <f t="shared" si="4"/>
        <v>0</v>
      </c>
      <c r="L17" s="109">
        <f t="shared" si="4"/>
        <v>0</v>
      </c>
      <c r="M17" s="109">
        <f t="shared" si="4"/>
        <v>0</v>
      </c>
      <c r="N17" s="109">
        <f t="shared" si="4"/>
        <v>24</v>
      </c>
      <c r="O17" s="109">
        <f t="shared" si="5"/>
        <v>9</v>
      </c>
      <c r="P17" s="109">
        <f t="shared" si="5"/>
        <v>0</v>
      </c>
      <c r="Q17" s="109">
        <f t="shared" si="5"/>
        <v>0</v>
      </c>
      <c r="R17" s="109">
        <f t="shared" si="5"/>
        <v>0</v>
      </c>
      <c r="S17" s="109">
        <f t="shared" si="5"/>
        <v>0</v>
      </c>
      <c r="T17" s="109">
        <f t="shared" si="5"/>
        <v>0</v>
      </c>
      <c r="U17" s="109">
        <f t="shared" si="5"/>
        <v>0</v>
      </c>
      <c r="V17" s="109">
        <f t="shared" si="5"/>
        <v>0</v>
      </c>
      <c r="W17" s="109">
        <f t="shared" si="5"/>
        <v>0</v>
      </c>
      <c r="X17" s="109">
        <f t="shared" si="5"/>
        <v>0</v>
      </c>
      <c r="Y17" s="109">
        <f t="shared" si="5"/>
        <v>22</v>
      </c>
      <c r="Z17" s="109">
        <f t="shared" si="5"/>
        <v>0</v>
      </c>
      <c r="AA17" s="172">
        <f t="shared" si="2"/>
        <v>80</v>
      </c>
      <c r="AB17" s="108" t="str">
        <f t="shared" si="3"/>
        <v>Viviani</v>
      </c>
    </row>
    <row r="18" spans="2:28">
      <c r="B18" s="322" t="s">
        <v>198</v>
      </c>
      <c r="C18" s="324" t="s">
        <v>199</v>
      </c>
      <c r="D18" s="259" t="s">
        <v>177</v>
      </c>
      <c r="E18" s="109">
        <f t="shared" si="4"/>
        <v>11</v>
      </c>
      <c r="F18" s="109">
        <f t="shared" si="4"/>
        <v>27</v>
      </c>
      <c r="G18" s="109">
        <f t="shared" si="4"/>
        <v>11</v>
      </c>
      <c r="H18" s="109">
        <f t="shared" si="4"/>
        <v>44</v>
      </c>
      <c r="I18" s="109">
        <f t="shared" si="4"/>
        <v>15</v>
      </c>
      <c r="J18" s="109">
        <f t="shared" si="4"/>
        <v>28</v>
      </c>
      <c r="K18" s="109">
        <f t="shared" si="4"/>
        <v>2</v>
      </c>
      <c r="L18" s="109">
        <f t="shared" si="4"/>
        <v>23</v>
      </c>
      <c r="M18" s="109">
        <f t="shared" si="4"/>
        <v>43</v>
      </c>
      <c r="N18" s="109">
        <f t="shared" si="4"/>
        <v>8</v>
      </c>
      <c r="O18" s="109">
        <f t="shared" si="5"/>
        <v>8</v>
      </c>
      <c r="P18" s="109">
        <f t="shared" si="5"/>
        <v>8</v>
      </c>
      <c r="Q18" s="109">
        <f t="shared" si="5"/>
        <v>27</v>
      </c>
      <c r="R18" s="109">
        <f t="shared" si="5"/>
        <v>28</v>
      </c>
      <c r="S18" s="109">
        <f t="shared" si="5"/>
        <v>53</v>
      </c>
      <c r="T18" s="109">
        <f t="shared" si="5"/>
        <v>17</v>
      </c>
      <c r="U18" s="109">
        <f t="shared" si="5"/>
        <v>45</v>
      </c>
      <c r="V18" s="109">
        <f t="shared" si="5"/>
        <v>40</v>
      </c>
      <c r="W18" s="109">
        <f t="shared" si="5"/>
        <v>18</v>
      </c>
      <c r="X18" s="109">
        <f t="shared" si="5"/>
        <v>55</v>
      </c>
      <c r="Y18" s="109">
        <f t="shared" si="5"/>
        <v>20</v>
      </c>
      <c r="Z18" s="109">
        <f t="shared" si="5"/>
        <v>90</v>
      </c>
      <c r="AA18" s="172">
        <f t="shared" si="2"/>
        <v>621</v>
      </c>
      <c r="AB18" s="108" t="str">
        <f t="shared" si="3"/>
        <v>Pogacar</v>
      </c>
    </row>
    <row r="19" spans="2:28">
      <c r="B19" s="322" t="s">
        <v>164</v>
      </c>
      <c r="C19" s="324" t="s">
        <v>165</v>
      </c>
      <c r="D19" s="259" t="s">
        <v>10</v>
      </c>
      <c r="E19" s="109">
        <f t="shared" si="4"/>
        <v>7</v>
      </c>
      <c r="F19" s="109">
        <f t="shared" si="4"/>
        <v>0</v>
      </c>
      <c r="G19" s="109">
        <f t="shared" si="4"/>
        <v>36</v>
      </c>
      <c r="H19" s="109">
        <f t="shared" si="4"/>
        <v>0</v>
      </c>
      <c r="I19" s="109">
        <f t="shared" si="4"/>
        <v>20</v>
      </c>
      <c r="J19" s="109">
        <f t="shared" si="4"/>
        <v>2</v>
      </c>
      <c r="K19" s="109">
        <f t="shared" si="4"/>
        <v>0</v>
      </c>
      <c r="L19" s="109">
        <f t="shared" si="4"/>
        <v>0</v>
      </c>
      <c r="M19" s="109">
        <f t="shared" si="4"/>
        <v>0</v>
      </c>
      <c r="N19" s="109">
        <f t="shared" si="4"/>
        <v>30</v>
      </c>
      <c r="O19" s="109">
        <f t="shared" si="5"/>
        <v>37</v>
      </c>
      <c r="P19" s="109">
        <f t="shared" si="5"/>
        <v>2</v>
      </c>
      <c r="Q19" s="109">
        <f t="shared" si="5"/>
        <v>2</v>
      </c>
      <c r="R19" s="109">
        <f t="shared" si="5"/>
        <v>1</v>
      </c>
      <c r="S19" s="109">
        <f t="shared" si="5"/>
        <v>1</v>
      </c>
      <c r="T19" s="109">
        <f t="shared" si="5"/>
        <v>1</v>
      </c>
      <c r="U19" s="109">
        <f t="shared" si="5"/>
        <v>1</v>
      </c>
      <c r="V19" s="109">
        <f t="shared" si="5"/>
        <v>1</v>
      </c>
      <c r="W19" s="109">
        <f t="shared" si="5"/>
        <v>1</v>
      </c>
      <c r="X19" s="109">
        <f t="shared" si="5"/>
        <v>0</v>
      </c>
      <c r="Y19" s="109">
        <f t="shared" si="5"/>
        <v>19</v>
      </c>
      <c r="Z19" s="109">
        <f t="shared" si="5"/>
        <v>0</v>
      </c>
      <c r="AA19" s="172">
        <f t="shared" si="2"/>
        <v>161</v>
      </c>
      <c r="AB19" s="108" t="str">
        <f t="shared" si="3"/>
        <v>Ewan</v>
      </c>
    </row>
    <row r="20" spans="2:28" s="157" customFormat="1">
      <c r="B20" s="322" t="s">
        <v>200</v>
      </c>
      <c r="C20" s="324" t="s">
        <v>201</v>
      </c>
      <c r="D20" s="259" t="s">
        <v>10</v>
      </c>
      <c r="E20" s="109">
        <f t="shared" si="4"/>
        <v>23</v>
      </c>
      <c r="F20" s="109">
        <f t="shared" si="4"/>
        <v>0</v>
      </c>
      <c r="G20" s="109">
        <f t="shared" si="4"/>
        <v>26</v>
      </c>
      <c r="H20" s="109">
        <f t="shared" si="4"/>
        <v>1</v>
      </c>
      <c r="I20" s="109">
        <f t="shared" si="4"/>
        <v>15</v>
      </c>
      <c r="J20" s="109">
        <f t="shared" si="4"/>
        <v>0</v>
      </c>
      <c r="K20" s="109">
        <f t="shared" si="4"/>
        <v>0</v>
      </c>
      <c r="L20" s="109">
        <f t="shared" si="4"/>
        <v>0</v>
      </c>
      <c r="M20" s="109">
        <f t="shared" si="4"/>
        <v>0</v>
      </c>
      <c r="N20" s="352"/>
      <c r="O20" s="352"/>
      <c r="P20" s="352"/>
      <c r="Q20" s="352"/>
      <c r="R20" s="352"/>
      <c r="S20" s="352"/>
      <c r="T20" s="352"/>
      <c r="U20" s="352"/>
      <c r="V20" s="352"/>
      <c r="W20" s="352"/>
      <c r="X20" s="352"/>
      <c r="Y20" s="352"/>
      <c r="Z20" s="352"/>
      <c r="AA20" s="172">
        <f t="shared" si="2"/>
        <v>65</v>
      </c>
      <c r="AB20" s="108" t="str">
        <f t="shared" si="3"/>
        <v>Nizzolo</v>
      </c>
    </row>
    <row r="21" spans="2:28" s="158" customFormat="1">
      <c r="B21" s="325"/>
      <c r="C21" s="326"/>
      <c r="D21" s="165"/>
      <c r="E21" s="167"/>
      <c r="F21" s="167"/>
      <c r="G21" s="167"/>
      <c r="H21" s="167"/>
      <c r="I21" s="167"/>
      <c r="J21" s="167">
        <f>J26</f>
        <v>0</v>
      </c>
      <c r="K21" s="167">
        <f t="shared" ref="K21:M21" si="6">K26</f>
        <v>0</v>
      </c>
      <c r="L21" s="167">
        <f t="shared" si="6"/>
        <v>12</v>
      </c>
      <c r="M21" s="167">
        <f t="shared" si="6"/>
        <v>23</v>
      </c>
      <c r="N21" s="167">
        <f>N26+N24</f>
        <v>1</v>
      </c>
      <c r="O21" s="167">
        <f t="shared" ref="O21:P21" si="7">O26+O24</f>
        <v>1</v>
      </c>
      <c r="P21" s="167">
        <f t="shared" si="7"/>
        <v>1</v>
      </c>
      <c r="Q21" s="167">
        <f>Q26+Q24+Q25</f>
        <v>14</v>
      </c>
      <c r="R21" s="167">
        <f t="shared" ref="R21:Z21" si="8">R26+R24+R25</f>
        <v>3</v>
      </c>
      <c r="S21" s="167">
        <f t="shared" si="8"/>
        <v>23</v>
      </c>
      <c r="T21" s="167">
        <f t="shared" si="8"/>
        <v>28</v>
      </c>
      <c r="U21" s="167">
        <f t="shared" si="8"/>
        <v>23</v>
      </c>
      <c r="V21" s="167">
        <f t="shared" si="8"/>
        <v>24</v>
      </c>
      <c r="W21" s="167">
        <f t="shared" si="8"/>
        <v>6</v>
      </c>
      <c r="X21" s="167">
        <f t="shared" si="8"/>
        <v>19</v>
      </c>
      <c r="Y21" s="167">
        <f t="shared" si="8"/>
        <v>7</v>
      </c>
      <c r="Z21" s="167">
        <f t="shared" si="8"/>
        <v>48</v>
      </c>
      <c r="AA21" s="225">
        <f t="shared" si="2"/>
        <v>233</v>
      </c>
    </row>
    <row r="22" spans="2:28" s="112" customFormat="1">
      <c r="B22" s="327"/>
      <c r="C22" s="328"/>
      <c r="D22" s="166"/>
      <c r="E22" s="159">
        <f t="shared" ref="E22:AA22" si="9">SUM(E4:E21)</f>
        <v>130</v>
      </c>
      <c r="F22" s="159">
        <f t="shared" ref="F22" si="10">SUM(F4:F21)</f>
        <v>138</v>
      </c>
      <c r="G22" s="159">
        <f>SUM(G4:G21)</f>
        <v>153</v>
      </c>
      <c r="H22" s="159">
        <f t="shared" si="9"/>
        <v>219</v>
      </c>
      <c r="I22" s="159">
        <f t="shared" si="9"/>
        <v>195</v>
      </c>
      <c r="J22" s="159">
        <f t="shared" si="9"/>
        <v>182</v>
      </c>
      <c r="K22" s="159">
        <f t="shared" si="9"/>
        <v>141</v>
      </c>
      <c r="L22" s="159">
        <f t="shared" si="9"/>
        <v>90</v>
      </c>
      <c r="M22" s="159">
        <f t="shared" si="9"/>
        <v>185</v>
      </c>
      <c r="N22" s="159">
        <f t="shared" si="9"/>
        <v>158</v>
      </c>
      <c r="O22" s="159">
        <f t="shared" si="9"/>
        <v>145</v>
      </c>
      <c r="P22" s="159">
        <f t="shared" si="9"/>
        <v>98</v>
      </c>
      <c r="Q22" s="159">
        <f t="shared" si="9"/>
        <v>132</v>
      </c>
      <c r="R22" s="159">
        <f t="shared" si="9"/>
        <v>88</v>
      </c>
      <c r="S22" s="159">
        <f t="shared" si="9"/>
        <v>149</v>
      </c>
      <c r="T22" s="159">
        <f t="shared" si="9"/>
        <v>89</v>
      </c>
      <c r="U22" s="159">
        <f t="shared" si="9"/>
        <v>149</v>
      </c>
      <c r="V22" s="159">
        <f t="shared" si="9"/>
        <v>157</v>
      </c>
      <c r="W22" s="159">
        <f t="shared" si="9"/>
        <v>110</v>
      </c>
      <c r="X22" s="159">
        <f t="shared" si="9"/>
        <v>193</v>
      </c>
      <c r="Y22" s="159">
        <f t="shared" si="9"/>
        <v>177</v>
      </c>
      <c r="Z22" s="159">
        <f t="shared" si="9"/>
        <v>274</v>
      </c>
      <c r="AA22" s="222">
        <f t="shared" si="9"/>
        <v>3352</v>
      </c>
    </row>
    <row r="23" spans="2:28" s="160" customFormat="1">
      <c r="B23" s="329"/>
      <c r="C23" s="330"/>
      <c r="D23" s="16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2:28" s="162" customFormat="1">
      <c r="B24" s="322" t="s">
        <v>210</v>
      </c>
      <c r="C24" s="331" t="s">
        <v>211</v>
      </c>
      <c r="D24" s="262" t="s">
        <v>177</v>
      </c>
      <c r="E24" s="179">
        <f t="shared" ref="E24:Z26" si="11">INDEX(scorematrix,MATCH($C24,renners,0),MATCH(E$3,etappes,0))</f>
        <v>0</v>
      </c>
      <c r="F24" s="179">
        <f t="shared" si="11"/>
        <v>0</v>
      </c>
      <c r="G24" s="179">
        <f t="shared" si="11"/>
        <v>0</v>
      </c>
      <c r="H24" s="179">
        <f t="shared" si="11"/>
        <v>0</v>
      </c>
      <c r="I24" s="179">
        <f t="shared" si="11"/>
        <v>0</v>
      </c>
      <c r="J24" s="179">
        <f t="shared" si="11"/>
        <v>0</v>
      </c>
      <c r="K24" s="179">
        <f t="shared" si="11"/>
        <v>0</v>
      </c>
      <c r="L24" s="179">
        <f t="shared" si="11"/>
        <v>0</v>
      </c>
      <c r="M24" s="179">
        <f t="shared" si="11"/>
        <v>0</v>
      </c>
      <c r="N24" s="351">
        <f t="shared" si="11"/>
        <v>0</v>
      </c>
      <c r="O24" s="351">
        <f t="shared" si="11"/>
        <v>0</v>
      </c>
      <c r="P24" s="351">
        <f t="shared" si="11"/>
        <v>0</v>
      </c>
      <c r="Q24" s="351">
        <f t="shared" si="11"/>
        <v>0</v>
      </c>
      <c r="R24" s="351">
        <f t="shared" si="11"/>
        <v>0</v>
      </c>
      <c r="S24" s="351">
        <f t="shared" si="11"/>
        <v>0</v>
      </c>
      <c r="T24" s="351">
        <f t="shared" si="11"/>
        <v>24</v>
      </c>
      <c r="U24" s="351">
        <f t="shared" si="11"/>
        <v>0</v>
      </c>
      <c r="V24" s="351">
        <f t="shared" si="11"/>
        <v>0</v>
      </c>
      <c r="W24" s="351">
        <f t="shared" si="11"/>
        <v>0</v>
      </c>
      <c r="X24" s="351">
        <f t="shared" si="11"/>
        <v>0</v>
      </c>
      <c r="Y24" s="351">
        <f t="shared" si="11"/>
        <v>0</v>
      </c>
      <c r="Z24" s="351">
        <f t="shared" si="11"/>
        <v>0</v>
      </c>
      <c r="AA24" s="290">
        <f>SUM(E24:Z24)</f>
        <v>24</v>
      </c>
    </row>
    <row r="25" spans="2:28" s="162" customFormat="1">
      <c r="B25" s="322" t="s">
        <v>225</v>
      </c>
      <c r="C25" s="331" t="s">
        <v>243</v>
      </c>
      <c r="D25" s="262" t="s">
        <v>177</v>
      </c>
      <c r="E25" s="179">
        <f t="shared" si="11"/>
        <v>0</v>
      </c>
      <c r="F25" s="179">
        <f t="shared" si="11"/>
        <v>0</v>
      </c>
      <c r="G25" s="179">
        <f t="shared" si="11"/>
        <v>0</v>
      </c>
      <c r="H25" s="179">
        <f t="shared" si="11"/>
        <v>0</v>
      </c>
      <c r="I25" s="179">
        <f t="shared" si="11"/>
        <v>0</v>
      </c>
      <c r="J25" s="179">
        <f t="shared" si="11"/>
        <v>0</v>
      </c>
      <c r="K25" s="179">
        <f t="shared" si="11"/>
        <v>0</v>
      </c>
      <c r="L25" s="179">
        <f t="shared" si="11"/>
        <v>0</v>
      </c>
      <c r="M25" s="179">
        <f t="shared" si="11"/>
        <v>0</v>
      </c>
      <c r="N25" s="179">
        <f t="shared" si="11"/>
        <v>0</v>
      </c>
      <c r="O25" s="179">
        <f t="shared" si="11"/>
        <v>0</v>
      </c>
      <c r="P25" s="179">
        <f t="shared" si="11"/>
        <v>0</v>
      </c>
      <c r="Q25" s="353">
        <f t="shared" si="11"/>
        <v>0</v>
      </c>
      <c r="R25" s="353">
        <f t="shared" si="11"/>
        <v>0</v>
      </c>
      <c r="S25" s="353">
        <f t="shared" si="11"/>
        <v>0</v>
      </c>
      <c r="T25" s="353">
        <f t="shared" si="11"/>
        <v>0</v>
      </c>
      <c r="U25" s="353">
        <f t="shared" si="11"/>
        <v>0</v>
      </c>
      <c r="V25" s="353">
        <f t="shared" si="11"/>
        <v>0</v>
      </c>
      <c r="W25" s="353">
        <f t="shared" si="11"/>
        <v>0</v>
      </c>
      <c r="X25" s="353">
        <f t="shared" si="11"/>
        <v>0</v>
      </c>
      <c r="Y25" s="353">
        <f t="shared" si="11"/>
        <v>0</v>
      </c>
      <c r="Z25" s="353">
        <f t="shared" si="11"/>
        <v>0</v>
      </c>
      <c r="AA25" s="290">
        <f>SUM(E25:Z25)</f>
        <v>0</v>
      </c>
    </row>
    <row r="26" spans="2:28" s="162" customFormat="1">
      <c r="B26" s="322" t="s">
        <v>139</v>
      </c>
      <c r="C26" s="331" t="s">
        <v>133</v>
      </c>
      <c r="D26" s="262" t="s">
        <v>177</v>
      </c>
      <c r="E26" s="179">
        <f t="shared" si="11"/>
        <v>0</v>
      </c>
      <c r="F26" s="179">
        <f t="shared" si="11"/>
        <v>0</v>
      </c>
      <c r="G26" s="179">
        <f t="shared" si="11"/>
        <v>0</v>
      </c>
      <c r="H26" s="179">
        <f t="shared" si="11"/>
        <v>17</v>
      </c>
      <c r="I26" s="179">
        <f t="shared" si="11"/>
        <v>0</v>
      </c>
      <c r="J26" s="349">
        <f t="shared" si="11"/>
        <v>0</v>
      </c>
      <c r="K26" s="349">
        <f t="shared" si="11"/>
        <v>0</v>
      </c>
      <c r="L26" s="349">
        <f t="shared" si="11"/>
        <v>12</v>
      </c>
      <c r="M26" s="349">
        <f t="shared" si="11"/>
        <v>23</v>
      </c>
      <c r="N26" s="349">
        <f t="shared" si="11"/>
        <v>1</v>
      </c>
      <c r="O26" s="349">
        <f t="shared" si="11"/>
        <v>1</v>
      </c>
      <c r="P26" s="349">
        <f t="shared" si="11"/>
        <v>1</v>
      </c>
      <c r="Q26" s="349">
        <f t="shared" si="11"/>
        <v>14</v>
      </c>
      <c r="R26" s="349">
        <f t="shared" si="11"/>
        <v>3</v>
      </c>
      <c r="S26" s="349">
        <f t="shared" si="11"/>
        <v>23</v>
      </c>
      <c r="T26" s="349">
        <f t="shared" si="11"/>
        <v>4</v>
      </c>
      <c r="U26" s="349">
        <f t="shared" si="11"/>
        <v>23</v>
      </c>
      <c r="V26" s="349">
        <f t="shared" si="11"/>
        <v>24</v>
      </c>
      <c r="W26" s="349">
        <f t="shared" si="11"/>
        <v>6</v>
      </c>
      <c r="X26" s="349">
        <f t="shared" si="11"/>
        <v>19</v>
      </c>
      <c r="Y26" s="349">
        <f t="shared" si="11"/>
        <v>7</v>
      </c>
      <c r="Z26" s="349">
        <f t="shared" si="11"/>
        <v>48</v>
      </c>
      <c r="AA26" s="290">
        <f>SUM(E26:Z26)</f>
        <v>226</v>
      </c>
    </row>
    <row r="28" spans="2:28">
      <c r="C28" s="291" t="s">
        <v>163</v>
      </c>
      <c r="D28" s="292">
        <f>COUNTIF($D$4:$D$21,C28)</f>
        <v>0</v>
      </c>
    </row>
    <row r="29" spans="2:28">
      <c r="C29" s="293" t="s">
        <v>10</v>
      </c>
      <c r="D29" s="292">
        <f>COUNTIF($D$4:$D$21,C29)</f>
        <v>7</v>
      </c>
    </row>
    <row r="30" spans="2:28">
      <c r="C30" s="293" t="s">
        <v>109</v>
      </c>
      <c r="D30" s="292">
        <f>COUNTIF($D$4:$D$21,C30)</f>
        <v>2</v>
      </c>
    </row>
  </sheetData>
  <sortState ref="B4:AB20">
    <sortCondition ref="D4:D20"/>
    <sortCondition ref="C4:C20"/>
  </sortState>
  <phoneticPr fontId="0" type="noConversion"/>
  <dataValidations count="1">
    <dataValidation type="list" allowBlank="1" showInputMessage="1" showErrorMessage="1" prompt="selecteer type renner:" sqref="D24:D26 D4:D20">
      <formula1>type_renner</formula1>
    </dataValidation>
  </dataValidation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sheetPr codeName="Blad25"/>
  <dimension ref="A2:N55"/>
  <sheetViews>
    <sheetView topLeftCell="B1" workbookViewId="0">
      <selection activeCell="Q24" sqref="Q24"/>
    </sheetView>
  </sheetViews>
  <sheetFormatPr defaultRowHeight="12.75"/>
  <cols>
    <col min="1" max="1" width="5.5703125" customWidth="1"/>
    <col min="2" max="2" width="5.7109375" customWidth="1"/>
  </cols>
  <sheetData>
    <row r="2" spans="1:3">
      <c r="A2">
        <v>1</v>
      </c>
      <c r="B2" s="95" t="s">
        <v>60</v>
      </c>
    </row>
    <row r="3" spans="1:3">
      <c r="A3">
        <v>2</v>
      </c>
      <c r="B3" s="95" t="s">
        <v>61</v>
      </c>
    </row>
    <row r="4" spans="1:3">
      <c r="A4">
        <v>3</v>
      </c>
      <c r="B4" s="95" t="s">
        <v>62</v>
      </c>
    </row>
    <row r="6" spans="1:3">
      <c r="A6">
        <v>4</v>
      </c>
      <c r="B6" s="95" t="s">
        <v>63</v>
      </c>
    </row>
    <row r="8" spans="1:3">
      <c r="B8" s="95" t="s">
        <v>70</v>
      </c>
    </row>
    <row r="10" spans="1:3">
      <c r="B10" s="174" t="s">
        <v>68</v>
      </c>
    </row>
    <row r="11" spans="1:3">
      <c r="B11" s="95"/>
      <c r="C11" s="174" t="s">
        <v>66</v>
      </c>
    </row>
    <row r="12" spans="1:3">
      <c r="C12" s="174" t="s">
        <v>69</v>
      </c>
    </row>
    <row r="14" spans="1:3">
      <c r="B14" s="95"/>
      <c r="C14" s="175" t="s">
        <v>65</v>
      </c>
    </row>
    <row r="16" spans="1:3">
      <c r="B16" s="95" t="s">
        <v>67</v>
      </c>
    </row>
    <row r="17" spans="1:14">
      <c r="B17" s="95" t="s">
        <v>71</v>
      </c>
    </row>
    <row r="20" spans="1:14" s="234" customFormat="1">
      <c r="A20" s="230" t="s">
        <v>107</v>
      </c>
      <c r="B20" s="231" t="s">
        <v>118</v>
      </c>
      <c r="C20" s="231" t="s">
        <v>118</v>
      </c>
      <c r="D20" s="231" t="s">
        <v>118</v>
      </c>
      <c r="E20" s="231" t="s">
        <v>118</v>
      </c>
      <c r="F20" s="231" t="s">
        <v>118</v>
      </c>
      <c r="G20" s="231" t="s">
        <v>118</v>
      </c>
      <c r="H20" s="231" t="s">
        <v>118</v>
      </c>
      <c r="I20" s="231" t="s">
        <v>118</v>
      </c>
      <c r="J20" s="231" t="s">
        <v>118</v>
      </c>
      <c r="K20" s="231" t="s">
        <v>118</v>
      </c>
      <c r="L20" s="231" t="s">
        <v>118</v>
      </c>
      <c r="M20" s="232">
        <v>0</v>
      </c>
      <c r="N20" s="233">
        <v>8.0211885745015282E-2</v>
      </c>
    </row>
    <row r="21" spans="1:14" s="234" customFormat="1">
      <c r="A21" s="235" t="s">
        <v>106</v>
      </c>
      <c r="B21" s="231" t="s">
        <v>118</v>
      </c>
      <c r="C21" s="231" t="s">
        <v>118</v>
      </c>
      <c r="D21" s="231" t="s">
        <v>118</v>
      </c>
      <c r="E21" s="231" t="s">
        <v>118</v>
      </c>
      <c r="F21" s="231" t="s">
        <v>118</v>
      </c>
      <c r="G21" s="231" t="s">
        <v>118</v>
      </c>
      <c r="H21" s="231" t="s">
        <v>118</v>
      </c>
      <c r="I21" s="231" t="s">
        <v>118</v>
      </c>
      <c r="J21" s="231" t="s">
        <v>118</v>
      </c>
      <c r="K21" s="231" t="s">
        <v>118</v>
      </c>
      <c r="L21" s="231" t="s">
        <v>118</v>
      </c>
      <c r="M21" s="232">
        <v>0</v>
      </c>
      <c r="N21" s="233">
        <v>6.3373523559833361E-2</v>
      </c>
    </row>
    <row r="22" spans="1:14" s="229" customFormat="1">
      <c r="A22" s="235" t="s">
        <v>44</v>
      </c>
      <c r="B22" s="231" t="s">
        <v>118</v>
      </c>
      <c r="C22" s="231" t="s">
        <v>118</v>
      </c>
      <c r="D22" s="231" t="s">
        <v>118</v>
      </c>
      <c r="E22" s="231" t="s">
        <v>118</v>
      </c>
      <c r="F22" s="231" t="s">
        <v>118</v>
      </c>
      <c r="G22" s="231" t="s">
        <v>118</v>
      </c>
      <c r="H22" s="231" t="s">
        <v>118</v>
      </c>
      <c r="I22" s="231" t="s">
        <v>118</v>
      </c>
      <c r="J22" s="231" t="s">
        <v>118</v>
      </c>
      <c r="K22" s="231" t="s">
        <v>118</v>
      </c>
      <c r="L22" s="231" t="s">
        <v>118</v>
      </c>
      <c r="M22" s="232">
        <v>0</v>
      </c>
      <c r="N22" s="233">
        <v>5.0158862361515677E-2</v>
      </c>
    </row>
    <row r="23" spans="1:14" s="229" customFormat="1">
      <c r="A23" s="235" t="s">
        <v>79</v>
      </c>
      <c r="B23" s="231" t="s">
        <v>118</v>
      </c>
      <c r="C23" s="231" t="s">
        <v>118</v>
      </c>
      <c r="D23" s="231" t="s">
        <v>118</v>
      </c>
      <c r="E23" s="231" t="s">
        <v>118</v>
      </c>
      <c r="F23" s="231" t="s">
        <v>118</v>
      </c>
      <c r="G23" s="231" t="s">
        <v>118</v>
      </c>
      <c r="H23" s="231" t="s">
        <v>118</v>
      </c>
      <c r="I23" s="231" t="s">
        <v>118</v>
      </c>
      <c r="J23" s="231" t="s">
        <v>118</v>
      </c>
      <c r="K23" s="231" t="s">
        <v>118</v>
      </c>
      <c r="L23" s="231" t="s">
        <v>118</v>
      </c>
      <c r="M23" s="232">
        <v>0</v>
      </c>
      <c r="N23" s="233">
        <v>5.4411731308286894E-2</v>
      </c>
    </row>
    <row r="24" spans="1:14" s="229" customFormat="1">
      <c r="A24" s="235" t="s">
        <v>48</v>
      </c>
      <c r="B24" s="231" t="s">
        <v>118</v>
      </c>
      <c r="C24" s="231" t="s">
        <v>118</v>
      </c>
      <c r="D24" s="231" t="s">
        <v>118</v>
      </c>
      <c r="E24" s="231" t="s">
        <v>118</v>
      </c>
      <c r="F24" s="231" t="s">
        <v>118</v>
      </c>
      <c r="G24" s="231" t="s">
        <v>118</v>
      </c>
      <c r="H24" s="231" t="s">
        <v>118</v>
      </c>
      <c r="I24" s="231" t="s">
        <v>118</v>
      </c>
      <c r="J24" s="231" t="s">
        <v>118</v>
      </c>
      <c r="K24" s="231" t="s">
        <v>118</v>
      </c>
      <c r="L24" s="231" t="s">
        <v>118</v>
      </c>
      <c r="M24" s="232">
        <v>0</v>
      </c>
      <c r="N24" s="233">
        <v>8.3214901097545368E-2</v>
      </c>
    </row>
    <row r="25" spans="1:14" s="229" customFormat="1">
      <c r="A25" s="235" t="s">
        <v>104</v>
      </c>
      <c r="B25" s="231" t="s">
        <v>118</v>
      </c>
      <c r="C25" s="231" t="s">
        <v>118</v>
      </c>
      <c r="D25" s="231" t="s">
        <v>118</v>
      </c>
      <c r="E25" s="231" t="s">
        <v>118</v>
      </c>
      <c r="F25" s="231" t="s">
        <v>118</v>
      </c>
      <c r="G25" s="231" t="s">
        <v>118</v>
      </c>
      <c r="H25" s="231">
        <v>1</v>
      </c>
      <c r="I25" s="231" t="s">
        <v>118</v>
      </c>
      <c r="J25" s="231" t="s">
        <v>118</v>
      </c>
      <c r="K25" s="231" t="s">
        <v>118</v>
      </c>
      <c r="L25" s="231" t="s">
        <v>118</v>
      </c>
      <c r="M25" s="232">
        <v>1</v>
      </c>
      <c r="N25" s="233">
        <v>9.9386633958286646E-2</v>
      </c>
    </row>
    <row r="26" spans="1:14" s="234" customFormat="1">
      <c r="A26" s="235" t="s">
        <v>92</v>
      </c>
      <c r="B26" s="231" t="s">
        <v>118</v>
      </c>
      <c r="C26" s="231" t="s">
        <v>118</v>
      </c>
      <c r="D26" s="231" t="s">
        <v>118</v>
      </c>
      <c r="E26" s="231" t="s">
        <v>118</v>
      </c>
      <c r="F26" s="231" t="s">
        <v>118</v>
      </c>
      <c r="G26" s="231" t="s">
        <v>118</v>
      </c>
      <c r="H26" s="231">
        <v>1</v>
      </c>
      <c r="I26" s="231" t="s">
        <v>118</v>
      </c>
      <c r="J26" s="231" t="s">
        <v>118</v>
      </c>
      <c r="K26" s="231" t="s">
        <v>118</v>
      </c>
      <c r="L26" s="231" t="s">
        <v>118</v>
      </c>
      <c r="M26" s="232">
        <v>1</v>
      </c>
      <c r="N26" s="233">
        <v>5.7642435440206974E-2</v>
      </c>
    </row>
    <row r="27" spans="1:14" s="234" customFormat="1">
      <c r="A27" s="230" t="s">
        <v>88</v>
      </c>
      <c r="B27" s="231" t="s">
        <v>118</v>
      </c>
      <c r="C27" s="231" t="s">
        <v>118</v>
      </c>
      <c r="D27" s="231" t="s">
        <v>118</v>
      </c>
      <c r="E27" s="231" t="s">
        <v>118</v>
      </c>
      <c r="F27" s="231" t="s">
        <v>118</v>
      </c>
      <c r="G27" s="231" t="s">
        <v>118</v>
      </c>
      <c r="H27" s="231" t="s">
        <v>118</v>
      </c>
      <c r="I27" s="231" t="s">
        <v>118</v>
      </c>
      <c r="J27" s="231">
        <v>1</v>
      </c>
      <c r="K27" s="231" t="s">
        <v>118</v>
      </c>
      <c r="L27" s="231" t="s">
        <v>118</v>
      </c>
      <c r="M27" s="232">
        <v>1</v>
      </c>
      <c r="N27" s="233">
        <v>8.130831029917944E-2</v>
      </c>
    </row>
    <row r="28" spans="1:14" s="236" customFormat="1">
      <c r="A28" s="235" t="s">
        <v>55</v>
      </c>
      <c r="B28" s="231" t="s">
        <v>118</v>
      </c>
      <c r="C28" s="231" t="s">
        <v>118</v>
      </c>
      <c r="D28" s="231" t="s">
        <v>118</v>
      </c>
      <c r="E28" s="231" t="s">
        <v>118</v>
      </c>
      <c r="F28" s="231">
        <v>1</v>
      </c>
      <c r="G28" s="231" t="s">
        <v>118</v>
      </c>
      <c r="H28" s="231" t="s">
        <v>118</v>
      </c>
      <c r="I28" s="231" t="s">
        <v>118</v>
      </c>
      <c r="J28" s="231" t="s">
        <v>118</v>
      </c>
      <c r="K28" s="231" t="s">
        <v>118</v>
      </c>
      <c r="L28" s="231" t="s">
        <v>118</v>
      </c>
      <c r="M28" s="232">
        <v>1</v>
      </c>
      <c r="N28" s="233">
        <v>4.585223531319986E-2</v>
      </c>
    </row>
    <row r="29" spans="1:14" s="236" customFormat="1">
      <c r="A29" s="230" t="s">
        <v>110</v>
      </c>
      <c r="B29" s="231" t="s">
        <v>118</v>
      </c>
      <c r="C29" s="231" t="s">
        <v>118</v>
      </c>
      <c r="D29" s="231" t="s">
        <v>118</v>
      </c>
      <c r="E29" s="231" t="s">
        <v>118</v>
      </c>
      <c r="F29" s="231" t="s">
        <v>118</v>
      </c>
      <c r="G29" s="231" t="s">
        <v>118</v>
      </c>
      <c r="H29" s="231" t="s">
        <v>118</v>
      </c>
      <c r="I29" s="231" t="s">
        <v>118</v>
      </c>
      <c r="J29" s="231">
        <v>1</v>
      </c>
      <c r="K29" s="231" t="s">
        <v>118</v>
      </c>
      <c r="L29" s="231" t="s">
        <v>118</v>
      </c>
      <c r="M29" s="232">
        <v>1</v>
      </c>
      <c r="N29" s="233">
        <v>3.1454345949478137E-2</v>
      </c>
    </row>
    <row r="30" spans="1:14" s="229" customFormat="1">
      <c r="A30" s="235" t="s">
        <v>116</v>
      </c>
      <c r="B30" s="231" t="s">
        <v>118</v>
      </c>
      <c r="C30" s="231" t="s">
        <v>118</v>
      </c>
      <c r="D30" s="231" t="s">
        <v>118</v>
      </c>
      <c r="E30" s="231" t="s">
        <v>118</v>
      </c>
      <c r="F30" s="231" t="s">
        <v>118</v>
      </c>
      <c r="G30" s="231">
        <v>1</v>
      </c>
      <c r="H30" s="231" t="s">
        <v>118</v>
      </c>
      <c r="I30" s="231" t="s">
        <v>118</v>
      </c>
      <c r="J30" s="231" t="s">
        <v>118</v>
      </c>
      <c r="K30" s="231" t="s">
        <v>118</v>
      </c>
      <c r="L30" s="231" t="s">
        <v>118</v>
      </c>
      <c r="M30" s="232">
        <v>1</v>
      </c>
      <c r="N30" s="233">
        <v>2.6920558989109812E-2</v>
      </c>
    </row>
    <row r="31" spans="1:14" s="229" customFormat="1">
      <c r="A31" s="237" t="s">
        <v>114</v>
      </c>
      <c r="B31" s="238" t="s">
        <v>118</v>
      </c>
      <c r="C31" s="238" t="s">
        <v>118</v>
      </c>
      <c r="D31" s="238" t="s">
        <v>118</v>
      </c>
      <c r="E31" s="238" t="s">
        <v>118</v>
      </c>
      <c r="F31" s="238" t="s">
        <v>118</v>
      </c>
      <c r="G31" s="238" t="s">
        <v>118</v>
      </c>
      <c r="H31" s="238" t="s">
        <v>118</v>
      </c>
      <c r="I31" s="238">
        <v>1</v>
      </c>
      <c r="J31" s="238" t="s">
        <v>118</v>
      </c>
      <c r="K31" s="238" t="s">
        <v>118</v>
      </c>
      <c r="L31" s="238" t="s">
        <v>118</v>
      </c>
      <c r="M31" s="232">
        <v>1</v>
      </c>
      <c r="N31" s="233">
        <v>8.0977892412266356E-2</v>
      </c>
    </row>
    <row r="32" spans="1:14" s="229" customFormat="1">
      <c r="A32" s="230" t="s">
        <v>115</v>
      </c>
      <c r="B32" s="231" t="s">
        <v>118</v>
      </c>
      <c r="C32" s="231" t="s">
        <v>118</v>
      </c>
      <c r="D32" s="231" t="s">
        <v>118</v>
      </c>
      <c r="E32" s="231" t="s">
        <v>118</v>
      </c>
      <c r="F32" s="231" t="s">
        <v>118</v>
      </c>
      <c r="G32" s="231">
        <v>1</v>
      </c>
      <c r="H32" s="231" t="s">
        <v>118</v>
      </c>
      <c r="I32" s="231" t="s">
        <v>118</v>
      </c>
      <c r="J32" s="231" t="s">
        <v>118</v>
      </c>
      <c r="K32" s="231" t="s">
        <v>118</v>
      </c>
      <c r="L32" s="231" t="s">
        <v>118</v>
      </c>
      <c r="M32" s="232">
        <v>1</v>
      </c>
      <c r="N32" s="233">
        <v>1.9051925015542003E-2</v>
      </c>
    </row>
    <row r="33" spans="1:14" s="229" customFormat="1">
      <c r="A33" s="239" t="s">
        <v>90</v>
      </c>
      <c r="B33" s="231" t="s">
        <v>118</v>
      </c>
      <c r="C33" s="231" t="s">
        <v>118</v>
      </c>
      <c r="D33" s="231" t="s">
        <v>118</v>
      </c>
      <c r="E33" s="231" t="s">
        <v>118</v>
      </c>
      <c r="F33" s="231" t="s">
        <v>118</v>
      </c>
      <c r="G33" s="231" t="s">
        <v>118</v>
      </c>
      <c r="H33" s="231" t="s">
        <v>118</v>
      </c>
      <c r="I33" s="231" t="s">
        <v>118</v>
      </c>
      <c r="J33" s="231">
        <v>1</v>
      </c>
      <c r="K33" s="231" t="s">
        <v>118</v>
      </c>
      <c r="L33" s="231" t="s">
        <v>118</v>
      </c>
      <c r="M33" s="232">
        <v>1</v>
      </c>
      <c r="N33" s="233">
        <v>4.5727913309143983E-2</v>
      </c>
    </row>
    <row r="34" spans="1:14" s="234" customFormat="1">
      <c r="A34" s="240" t="s">
        <v>117</v>
      </c>
      <c r="B34" s="241" t="s">
        <v>118</v>
      </c>
      <c r="C34" s="241" t="s">
        <v>118</v>
      </c>
      <c r="D34" s="241" t="s">
        <v>118</v>
      </c>
      <c r="E34" s="241" t="s">
        <v>118</v>
      </c>
      <c r="F34" s="241">
        <v>1</v>
      </c>
      <c r="G34" s="241" t="s">
        <v>118</v>
      </c>
      <c r="H34" s="241" t="s">
        <v>118</v>
      </c>
      <c r="I34" s="241" t="s">
        <v>118</v>
      </c>
      <c r="J34" s="241" t="s">
        <v>118</v>
      </c>
      <c r="K34" s="241" t="s">
        <v>118</v>
      </c>
      <c r="L34" s="241" t="s">
        <v>118</v>
      </c>
      <c r="M34" s="232">
        <v>1</v>
      </c>
      <c r="N34" s="233">
        <v>9.7942359632361378E-2</v>
      </c>
    </row>
    <row r="35" spans="1:14" s="229" customFormat="1">
      <c r="A35" s="242" t="s">
        <v>113</v>
      </c>
      <c r="B35" s="231" t="s">
        <v>118</v>
      </c>
      <c r="C35" s="231" t="s">
        <v>118</v>
      </c>
      <c r="D35" s="231" t="s">
        <v>118</v>
      </c>
      <c r="E35" s="231">
        <v>2</v>
      </c>
      <c r="F35" s="231" t="s">
        <v>118</v>
      </c>
      <c r="G35" s="231" t="s">
        <v>118</v>
      </c>
      <c r="H35" s="231" t="s">
        <v>118</v>
      </c>
      <c r="I35" s="231">
        <v>2</v>
      </c>
      <c r="J35" s="231" t="s">
        <v>118</v>
      </c>
      <c r="K35" s="231" t="s">
        <v>118</v>
      </c>
      <c r="L35" s="231" t="s">
        <v>118</v>
      </c>
      <c r="M35" s="232">
        <v>2</v>
      </c>
      <c r="N35" s="233">
        <v>5.2686491037504002E-2</v>
      </c>
    </row>
    <row r="36" spans="1:14" s="229" customFormat="1">
      <c r="A36" s="242" t="s">
        <v>86</v>
      </c>
      <c r="B36" s="231" t="s">
        <v>118</v>
      </c>
      <c r="C36" s="231" t="s">
        <v>118</v>
      </c>
      <c r="D36" s="231">
        <v>3</v>
      </c>
      <c r="E36" s="231">
        <v>3</v>
      </c>
      <c r="F36" s="231" t="s">
        <v>118</v>
      </c>
      <c r="G36" s="231" t="s">
        <v>118</v>
      </c>
      <c r="H36" s="231" t="s">
        <v>118</v>
      </c>
      <c r="I36" s="231">
        <v>3</v>
      </c>
      <c r="J36" s="231" t="s">
        <v>118</v>
      </c>
      <c r="K36" s="231" t="s">
        <v>118</v>
      </c>
      <c r="L36" s="231" t="s">
        <v>118</v>
      </c>
      <c r="M36" s="232">
        <v>3</v>
      </c>
      <c r="N36" s="233">
        <v>1.8884896193973599E-2</v>
      </c>
    </row>
    <row r="37" spans="1:14" s="229" customFormat="1">
      <c r="A37" s="243" t="s">
        <v>87</v>
      </c>
      <c r="B37" s="238" t="s">
        <v>118</v>
      </c>
      <c r="C37" s="238">
        <v>3</v>
      </c>
      <c r="D37" s="238" t="s">
        <v>118</v>
      </c>
      <c r="E37" s="238" t="s">
        <v>118</v>
      </c>
      <c r="F37" s="238" t="s">
        <v>118</v>
      </c>
      <c r="G37" s="238" t="s">
        <v>118</v>
      </c>
      <c r="H37" s="238">
        <v>3</v>
      </c>
      <c r="I37" s="238" t="s">
        <v>118</v>
      </c>
      <c r="J37" s="238">
        <v>3</v>
      </c>
      <c r="K37" s="238" t="s">
        <v>118</v>
      </c>
      <c r="L37" s="238" t="s">
        <v>118</v>
      </c>
      <c r="M37" s="232">
        <v>3</v>
      </c>
      <c r="N37" s="233">
        <v>8.4468080927495331E-2</v>
      </c>
    </row>
    <row r="38" spans="1:14" s="229" customFormat="1">
      <c r="A38" s="240" t="s">
        <v>108</v>
      </c>
      <c r="B38" s="241">
        <v>4</v>
      </c>
      <c r="C38" s="241" t="s">
        <v>118</v>
      </c>
      <c r="D38" s="241">
        <v>4</v>
      </c>
      <c r="E38" s="241" t="s">
        <v>118</v>
      </c>
      <c r="F38" s="241" t="s">
        <v>118</v>
      </c>
      <c r="G38" s="241">
        <v>4</v>
      </c>
      <c r="H38" s="241" t="s">
        <v>118</v>
      </c>
      <c r="I38" s="241" t="s">
        <v>118</v>
      </c>
      <c r="J38" s="241">
        <v>4</v>
      </c>
      <c r="K38" s="241" t="s">
        <v>118</v>
      </c>
      <c r="L38" s="241" t="s">
        <v>118</v>
      </c>
      <c r="M38" s="232">
        <v>4</v>
      </c>
      <c r="N38" s="233">
        <v>2.1081891760592875E-2</v>
      </c>
    </row>
    <row r="39" spans="1:14" s="229" customFormat="1">
      <c r="A39" s="243" t="s">
        <v>47</v>
      </c>
      <c r="B39" s="238">
        <v>4</v>
      </c>
      <c r="C39" s="238">
        <v>4</v>
      </c>
      <c r="D39" s="238" t="s">
        <v>118</v>
      </c>
      <c r="E39" s="238">
        <v>4</v>
      </c>
      <c r="F39" s="238" t="s">
        <v>118</v>
      </c>
      <c r="G39" s="238" t="s">
        <v>118</v>
      </c>
      <c r="H39" s="238">
        <v>4</v>
      </c>
      <c r="I39" s="238" t="s">
        <v>118</v>
      </c>
      <c r="J39" s="238" t="s">
        <v>118</v>
      </c>
      <c r="K39" s="238" t="s">
        <v>118</v>
      </c>
      <c r="L39" s="238" t="s">
        <v>118</v>
      </c>
      <c r="M39" s="232">
        <v>4</v>
      </c>
      <c r="N39" s="233">
        <v>9.3380839619214756E-2</v>
      </c>
    </row>
    <row r="40" spans="1:14" s="229" customFormat="1">
      <c r="A40" s="242" t="s">
        <v>56</v>
      </c>
      <c r="B40" s="231">
        <v>4</v>
      </c>
      <c r="C40" s="231" t="s">
        <v>118</v>
      </c>
      <c r="D40" s="231" t="s">
        <v>118</v>
      </c>
      <c r="E40" s="231" t="s">
        <v>118</v>
      </c>
      <c r="F40" s="231">
        <v>4</v>
      </c>
      <c r="G40" s="231">
        <v>4</v>
      </c>
      <c r="H40" s="231" t="s">
        <v>118</v>
      </c>
      <c r="I40" s="231">
        <v>4</v>
      </c>
      <c r="J40" s="231" t="s">
        <v>118</v>
      </c>
      <c r="K40" s="231" t="s">
        <v>118</v>
      </c>
      <c r="L40" s="231" t="s">
        <v>118</v>
      </c>
      <c r="M40" s="232">
        <v>4</v>
      </c>
      <c r="N40" s="233">
        <v>7.2743830407472523E-2</v>
      </c>
    </row>
    <row r="41" spans="1:14" s="229" customFormat="1">
      <c r="A41" s="268" t="s">
        <v>91</v>
      </c>
      <c r="B41" s="245" t="s">
        <v>118</v>
      </c>
      <c r="C41" s="245">
        <v>4</v>
      </c>
      <c r="D41" s="245">
        <v>4</v>
      </c>
      <c r="E41" s="245">
        <v>4</v>
      </c>
      <c r="F41" s="245" t="s">
        <v>118</v>
      </c>
      <c r="G41" s="245" t="s">
        <v>118</v>
      </c>
      <c r="H41" s="245" t="s">
        <v>118</v>
      </c>
      <c r="I41" s="245">
        <v>4</v>
      </c>
      <c r="J41" s="245" t="s">
        <v>118</v>
      </c>
      <c r="K41" s="245" t="s">
        <v>118</v>
      </c>
      <c r="L41" s="245" t="s">
        <v>118</v>
      </c>
      <c r="M41" s="232">
        <v>4</v>
      </c>
      <c r="N41" s="233">
        <v>9.742574634936399E-2</v>
      </c>
    </row>
    <row r="42" spans="1:14" s="229" customFormat="1">
      <c r="A42" s="230" t="s">
        <v>103</v>
      </c>
      <c r="B42" s="231">
        <v>6</v>
      </c>
      <c r="C42" s="231">
        <v>6</v>
      </c>
      <c r="D42" s="231">
        <v>6</v>
      </c>
      <c r="E42" s="231" t="s">
        <v>118</v>
      </c>
      <c r="F42" s="231">
        <v>6</v>
      </c>
      <c r="G42" s="231" t="s">
        <v>118</v>
      </c>
      <c r="H42" s="231">
        <v>6</v>
      </c>
      <c r="I42" s="231" t="s">
        <v>118</v>
      </c>
      <c r="J42" s="231">
        <v>6</v>
      </c>
      <c r="K42" s="231" t="s">
        <v>118</v>
      </c>
      <c r="L42" s="231" t="s">
        <v>118</v>
      </c>
      <c r="M42" s="232">
        <v>6</v>
      </c>
      <c r="N42" s="233">
        <v>5.9368114217937418E-2</v>
      </c>
    </row>
    <row r="43" spans="1:14" s="229" customFormat="1">
      <c r="A43" s="235" t="s">
        <v>102</v>
      </c>
      <c r="B43" s="231">
        <v>8</v>
      </c>
      <c r="C43" s="231">
        <v>8</v>
      </c>
      <c r="D43" s="231">
        <v>8</v>
      </c>
      <c r="E43" s="231">
        <v>8</v>
      </c>
      <c r="F43" s="231">
        <v>8</v>
      </c>
      <c r="G43" s="231">
        <v>8</v>
      </c>
      <c r="H43" s="231">
        <v>8</v>
      </c>
      <c r="I43" s="231" t="s">
        <v>118</v>
      </c>
      <c r="J43" s="231">
        <v>8</v>
      </c>
      <c r="K43" s="231" t="s">
        <v>118</v>
      </c>
      <c r="L43" s="231" t="s">
        <v>118</v>
      </c>
      <c r="M43" s="232">
        <v>8</v>
      </c>
      <c r="N43" s="233">
        <v>6.3092294016981312E-2</v>
      </c>
    </row>
    <row r="44" spans="1:14" s="229" customFormat="1">
      <c r="A44" s="230" t="s">
        <v>53</v>
      </c>
      <c r="B44" s="231">
        <v>8</v>
      </c>
      <c r="C44" s="231">
        <v>8</v>
      </c>
      <c r="D44" s="231">
        <v>8</v>
      </c>
      <c r="E44" s="231">
        <v>8</v>
      </c>
      <c r="F44" s="231">
        <v>8</v>
      </c>
      <c r="G44" s="231">
        <v>8</v>
      </c>
      <c r="H44" s="231" t="s">
        <v>118</v>
      </c>
      <c r="I44" s="231">
        <v>8</v>
      </c>
      <c r="J44" s="231">
        <v>8</v>
      </c>
      <c r="K44" s="231" t="s">
        <v>118</v>
      </c>
      <c r="L44" s="231" t="s">
        <v>118</v>
      </c>
      <c r="M44" s="232">
        <v>8</v>
      </c>
      <c r="N44" s="233">
        <v>6.2776706537620436E-2</v>
      </c>
    </row>
    <row r="45" spans="1:14" s="229" customFormat="1">
      <c r="A45" s="235" t="s">
        <v>72</v>
      </c>
      <c r="B45" s="231">
        <v>8</v>
      </c>
      <c r="C45" s="231">
        <v>8</v>
      </c>
      <c r="D45" s="231">
        <v>8</v>
      </c>
      <c r="E45" s="231">
        <v>8</v>
      </c>
      <c r="F45" s="231">
        <v>8</v>
      </c>
      <c r="G45" s="231">
        <v>8</v>
      </c>
      <c r="H45" s="231">
        <v>8</v>
      </c>
      <c r="I45" s="231">
        <v>8</v>
      </c>
      <c r="J45" s="231" t="s">
        <v>118</v>
      </c>
      <c r="K45" s="231" t="s">
        <v>118</v>
      </c>
      <c r="L45" s="231" t="s">
        <v>118</v>
      </c>
      <c r="M45" s="232">
        <v>8</v>
      </c>
      <c r="N45" s="233">
        <v>3.5168856627903103E-2</v>
      </c>
    </row>
    <row r="46" spans="1:14" s="229" customFormat="1">
      <c r="A46" s="246" t="s">
        <v>74</v>
      </c>
      <c r="B46" s="238">
        <v>8</v>
      </c>
      <c r="C46" s="238">
        <v>8</v>
      </c>
      <c r="D46" s="238">
        <v>8</v>
      </c>
      <c r="E46" s="238">
        <v>8</v>
      </c>
      <c r="F46" s="238">
        <v>8</v>
      </c>
      <c r="G46" s="238">
        <v>8</v>
      </c>
      <c r="H46" s="238">
        <v>8</v>
      </c>
      <c r="I46" s="238">
        <v>8</v>
      </c>
      <c r="J46" s="238" t="s">
        <v>118</v>
      </c>
      <c r="K46" s="238" t="s">
        <v>118</v>
      </c>
      <c r="L46" s="238" t="s">
        <v>118</v>
      </c>
      <c r="M46" s="232">
        <v>8</v>
      </c>
      <c r="N46" s="233">
        <v>6.1795322557010549E-2</v>
      </c>
    </row>
    <row r="47" spans="1:14" s="229" customFormat="1">
      <c r="A47" s="247" t="s">
        <v>43</v>
      </c>
      <c r="B47" s="241">
        <v>9</v>
      </c>
      <c r="C47" s="241">
        <v>9</v>
      </c>
      <c r="D47" s="241">
        <v>9</v>
      </c>
      <c r="E47" s="241">
        <v>9</v>
      </c>
      <c r="F47" s="241">
        <v>9</v>
      </c>
      <c r="G47" s="241">
        <v>9</v>
      </c>
      <c r="H47" s="241">
        <v>9</v>
      </c>
      <c r="I47" s="241">
        <v>9</v>
      </c>
      <c r="J47" s="241">
        <v>9</v>
      </c>
      <c r="K47" s="241" t="s">
        <v>118</v>
      </c>
      <c r="L47" s="241" t="s">
        <v>118</v>
      </c>
      <c r="M47" s="232">
        <v>9</v>
      </c>
      <c r="N47" s="233">
        <v>8.943698444927721E-2</v>
      </c>
    </row>
    <row r="48" spans="1:14" s="229" customFormat="1">
      <c r="A48" s="237" t="s">
        <v>85</v>
      </c>
      <c r="B48" s="238">
        <v>9</v>
      </c>
      <c r="C48" s="238">
        <v>9</v>
      </c>
      <c r="D48" s="238">
        <v>9</v>
      </c>
      <c r="E48" s="238">
        <v>9</v>
      </c>
      <c r="F48" s="238">
        <v>9</v>
      </c>
      <c r="G48" s="238">
        <v>9</v>
      </c>
      <c r="H48" s="238">
        <v>9</v>
      </c>
      <c r="I48" s="238">
        <v>9</v>
      </c>
      <c r="J48" s="238">
        <v>9</v>
      </c>
      <c r="K48" s="238" t="s">
        <v>118</v>
      </c>
      <c r="L48" s="238" t="s">
        <v>118</v>
      </c>
      <c r="M48" s="232">
        <v>9</v>
      </c>
      <c r="N48" s="233">
        <v>4.4185813809047757E-2</v>
      </c>
    </row>
    <row r="49" spans="1:14" s="229" customFormat="1">
      <c r="A49" s="230" t="s">
        <v>89</v>
      </c>
      <c r="B49" s="231">
        <v>9</v>
      </c>
      <c r="C49" s="231">
        <v>9</v>
      </c>
      <c r="D49" s="231">
        <v>9</v>
      </c>
      <c r="E49" s="231">
        <v>9</v>
      </c>
      <c r="F49" s="231">
        <v>9</v>
      </c>
      <c r="G49" s="231">
        <v>9</v>
      </c>
      <c r="H49" s="231">
        <v>9</v>
      </c>
      <c r="I49" s="231">
        <v>9</v>
      </c>
      <c r="J49" s="231">
        <v>9</v>
      </c>
      <c r="K49" s="231" t="s">
        <v>118</v>
      </c>
      <c r="L49" s="231" t="s">
        <v>118</v>
      </c>
      <c r="M49" s="232">
        <v>9</v>
      </c>
      <c r="N49" s="233">
        <v>9.0368057056667284E-2</v>
      </c>
    </row>
    <row r="50" spans="1:14" s="229" customFormat="1">
      <c r="A50" s="268" t="s">
        <v>75</v>
      </c>
      <c r="B50" s="245">
        <v>9</v>
      </c>
      <c r="C50" s="245">
        <v>9</v>
      </c>
      <c r="D50" s="245">
        <v>9</v>
      </c>
      <c r="E50" s="245">
        <v>9</v>
      </c>
      <c r="F50" s="245">
        <v>9</v>
      </c>
      <c r="G50" s="245">
        <v>9</v>
      </c>
      <c r="H50" s="245">
        <v>9</v>
      </c>
      <c r="I50" s="245">
        <v>9</v>
      </c>
      <c r="J50" s="245">
        <v>9</v>
      </c>
      <c r="K50" s="245" t="s">
        <v>118</v>
      </c>
      <c r="L50" s="245" t="s">
        <v>118</v>
      </c>
      <c r="M50" s="232">
        <v>9</v>
      </c>
      <c r="N50" s="233">
        <v>7.5226658749721759E-2</v>
      </c>
    </row>
    <row r="51" spans="1:14" s="229" customFormat="1">
      <c r="A51" s="244" t="s">
        <v>54</v>
      </c>
      <c r="B51" s="245">
        <v>9</v>
      </c>
      <c r="C51" s="245">
        <v>9</v>
      </c>
      <c r="D51" s="245">
        <v>9</v>
      </c>
      <c r="E51" s="245">
        <v>9</v>
      </c>
      <c r="F51" s="245">
        <v>9</v>
      </c>
      <c r="G51" s="245">
        <v>9</v>
      </c>
      <c r="H51" s="245">
        <v>9</v>
      </c>
      <c r="I51" s="245">
        <v>9</v>
      </c>
      <c r="J51" s="245">
        <v>9</v>
      </c>
      <c r="K51" s="245" t="s">
        <v>118</v>
      </c>
      <c r="L51" s="245" t="s">
        <v>118</v>
      </c>
      <c r="M51" s="232">
        <v>9</v>
      </c>
      <c r="N51" s="233">
        <v>5.6260630680892196E-2</v>
      </c>
    </row>
    <row r="52" spans="1:14" s="229" customFormat="1">
      <c r="A52" s="235" t="s">
        <v>73</v>
      </c>
      <c r="B52" s="231">
        <v>9</v>
      </c>
      <c r="C52" s="231">
        <v>9</v>
      </c>
      <c r="D52" s="231">
        <v>9</v>
      </c>
      <c r="E52" s="231">
        <v>9</v>
      </c>
      <c r="F52" s="231">
        <v>9</v>
      </c>
      <c r="G52" s="231">
        <v>9</v>
      </c>
      <c r="H52" s="231">
        <v>9</v>
      </c>
      <c r="I52" s="231">
        <v>9</v>
      </c>
      <c r="J52" s="231">
        <v>9</v>
      </c>
      <c r="K52" s="231" t="s">
        <v>118</v>
      </c>
      <c r="L52" s="231" t="s">
        <v>118</v>
      </c>
      <c r="M52" s="232">
        <v>9</v>
      </c>
      <c r="N52" s="233">
        <v>7.5407384867682392E-2</v>
      </c>
    </row>
    <row r="53" spans="1:14" s="229" customFormat="1">
      <c r="A53" s="235" t="s">
        <v>93</v>
      </c>
      <c r="B53" s="231">
        <v>9</v>
      </c>
      <c r="C53" s="231">
        <v>9</v>
      </c>
      <c r="D53" s="231">
        <v>9</v>
      </c>
      <c r="E53" s="231">
        <v>9</v>
      </c>
      <c r="F53" s="231">
        <v>9</v>
      </c>
      <c r="G53" s="231">
        <v>9</v>
      </c>
      <c r="H53" s="231">
        <v>9</v>
      </c>
      <c r="I53" s="231">
        <v>9</v>
      </c>
      <c r="J53" s="231">
        <v>9</v>
      </c>
      <c r="K53" s="231" t="s">
        <v>118</v>
      </c>
      <c r="L53" s="231" t="s">
        <v>118</v>
      </c>
      <c r="M53" s="232">
        <v>9</v>
      </c>
      <c r="N53" s="233">
        <v>9.969408152754014E-2</v>
      </c>
    </row>
    <row r="54" spans="1:14" s="236" customFormat="1">
      <c r="A54" s="235" t="s">
        <v>105</v>
      </c>
      <c r="B54" s="231">
        <v>9</v>
      </c>
      <c r="C54" s="231">
        <v>9</v>
      </c>
      <c r="D54" s="231">
        <v>9</v>
      </c>
      <c r="E54" s="231">
        <v>9</v>
      </c>
      <c r="F54" s="231">
        <v>9</v>
      </c>
      <c r="G54" s="231">
        <v>9</v>
      </c>
      <c r="H54" s="231">
        <v>9</v>
      </c>
      <c r="I54" s="231">
        <v>9</v>
      </c>
      <c r="J54" s="231">
        <v>9</v>
      </c>
      <c r="K54" s="231" t="s">
        <v>118</v>
      </c>
      <c r="L54" s="231" t="s">
        <v>118</v>
      </c>
      <c r="M54" s="232">
        <v>9</v>
      </c>
      <c r="N54" s="233">
        <v>9.7682963835206499E-2</v>
      </c>
    </row>
    <row r="55" spans="1:14" s="236" customFormat="1">
      <c r="A55" s="230" t="s">
        <v>94</v>
      </c>
      <c r="B55" s="231">
        <v>9</v>
      </c>
      <c r="C55" s="231">
        <v>9</v>
      </c>
      <c r="D55" s="231">
        <v>9</v>
      </c>
      <c r="E55" s="231">
        <v>9</v>
      </c>
      <c r="F55" s="231">
        <v>9</v>
      </c>
      <c r="G55" s="231">
        <v>9</v>
      </c>
      <c r="H55" s="231">
        <v>9</v>
      </c>
      <c r="I55" s="231">
        <v>9</v>
      </c>
      <c r="J55" s="231">
        <v>9</v>
      </c>
      <c r="K55" s="231" t="s">
        <v>118</v>
      </c>
      <c r="L55" s="231" t="s">
        <v>118</v>
      </c>
      <c r="M55" s="232">
        <v>9</v>
      </c>
      <c r="N55" s="233">
        <v>9.0449834697571313E-2</v>
      </c>
    </row>
  </sheetData>
  <sortState ref="A20:N55">
    <sortCondition ref="M20:M55"/>
    <sortCondition ref="A20:A55"/>
  </sortState>
  <conditionalFormatting sqref="A44:L44">
    <cfRule type="expression" dxfId="0" priority="1">
      <formula>$M44&lt;$M45</formula>
    </cfRule>
  </conditionalFormatting>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dimension ref="A1:AE92"/>
  <sheetViews>
    <sheetView topLeftCell="A51" workbookViewId="0">
      <selection activeCell="F51" sqref="F51:F87"/>
    </sheetView>
  </sheetViews>
  <sheetFormatPr defaultRowHeight="12.75"/>
  <cols>
    <col min="3" max="18" width="5.5703125" customWidth="1"/>
    <col min="20" max="26" width="3.7109375" customWidth="1"/>
  </cols>
  <sheetData>
    <row r="1" spans="1:27">
      <c r="A1" s="300"/>
      <c r="B1" s="101" t="s">
        <v>54</v>
      </c>
      <c r="H1">
        <v>16</v>
      </c>
      <c r="X1">
        <v>16.056982567166667</v>
      </c>
      <c r="Z1">
        <v>16.056982567166667</v>
      </c>
      <c r="AA1">
        <v>0</v>
      </c>
    </row>
    <row r="2" spans="1:27">
      <c r="A2" s="299"/>
      <c r="B2" s="98" t="s">
        <v>152</v>
      </c>
      <c r="H2">
        <v>23</v>
      </c>
      <c r="X2">
        <v>23.02608059426246</v>
      </c>
      <c r="Z2">
        <v>23.02608059426246</v>
      </c>
      <c r="AA2">
        <v>0</v>
      </c>
    </row>
    <row r="3" spans="1:27">
      <c r="A3" s="300"/>
      <c r="B3" s="101" t="s">
        <v>123</v>
      </c>
      <c r="H3">
        <v>25</v>
      </c>
      <c r="X3">
        <v>25.03412824688764</v>
      </c>
      <c r="Z3">
        <v>25.03412824688764</v>
      </c>
      <c r="AA3">
        <v>0</v>
      </c>
    </row>
    <row r="4" spans="1:27">
      <c r="A4" s="304"/>
      <c r="B4" s="306" t="s">
        <v>159</v>
      </c>
      <c r="H4">
        <v>15</v>
      </c>
      <c r="X4">
        <v>15.01810785747511</v>
      </c>
      <c r="Z4">
        <v>15.01810785747511</v>
      </c>
      <c r="AA4">
        <v>0</v>
      </c>
    </row>
    <row r="5" spans="1:27">
      <c r="A5" s="300"/>
      <c r="B5" s="101" t="s">
        <v>74</v>
      </c>
      <c r="H5">
        <v>37</v>
      </c>
      <c r="X5">
        <v>37.032665007287086</v>
      </c>
      <c r="Z5">
        <v>37.032665007287086</v>
      </c>
      <c r="AA5">
        <v>0</v>
      </c>
    </row>
    <row r="6" spans="1:27">
      <c r="A6" s="299"/>
      <c r="B6" s="98" t="s">
        <v>120</v>
      </c>
      <c r="H6">
        <v>6</v>
      </c>
      <c r="X6">
        <v>6.0149224823220147</v>
      </c>
      <c r="Z6">
        <v>6.0149224823220147</v>
      </c>
      <c r="AA6">
        <v>1</v>
      </c>
    </row>
    <row r="7" spans="1:27">
      <c r="A7" s="300"/>
      <c r="B7" s="101" t="s">
        <v>158</v>
      </c>
      <c r="H7">
        <v>10</v>
      </c>
      <c r="X7">
        <v>10.043380017389607</v>
      </c>
      <c r="Z7">
        <v>10.043380017389607</v>
      </c>
      <c r="AA7">
        <v>1</v>
      </c>
    </row>
    <row r="8" spans="1:27">
      <c r="A8" s="304"/>
      <c r="B8" s="306" t="s">
        <v>89</v>
      </c>
      <c r="H8">
        <v>10</v>
      </c>
      <c r="X8">
        <v>10.026675038496364</v>
      </c>
      <c r="Z8">
        <v>10.026675038496364</v>
      </c>
      <c r="AA8">
        <v>1</v>
      </c>
    </row>
    <row r="9" spans="1:27">
      <c r="A9" s="299"/>
      <c r="B9" s="98" t="s">
        <v>181</v>
      </c>
      <c r="H9">
        <v>18</v>
      </c>
      <c r="X9">
        <v>18.059618644862351</v>
      </c>
      <c r="Z9">
        <v>18.059618644862351</v>
      </c>
      <c r="AA9">
        <v>1</v>
      </c>
    </row>
    <row r="10" spans="1:27">
      <c r="A10" s="338"/>
      <c r="B10" s="339" t="s">
        <v>145</v>
      </c>
      <c r="H10">
        <v>22</v>
      </c>
      <c r="X10">
        <v>22.032154712216812</v>
      </c>
      <c r="Z10">
        <v>22.032154712216812</v>
      </c>
      <c r="AA10">
        <v>1</v>
      </c>
    </row>
    <row r="11" spans="1:27">
      <c r="A11" s="304"/>
      <c r="B11" s="306" t="s">
        <v>183</v>
      </c>
      <c r="H11">
        <v>24</v>
      </c>
      <c r="X11">
        <v>24.098799757474964</v>
      </c>
      <c r="Z11">
        <v>24.098799757474964</v>
      </c>
      <c r="AA11">
        <v>1</v>
      </c>
    </row>
    <row r="12" spans="1:27">
      <c r="A12" s="303"/>
      <c r="B12" s="305" t="s">
        <v>105</v>
      </c>
      <c r="H12">
        <v>28</v>
      </c>
      <c r="X12">
        <v>28.026612198115679</v>
      </c>
      <c r="Z12">
        <v>28.026612198115679</v>
      </c>
      <c r="AA12">
        <v>1</v>
      </c>
    </row>
    <row r="13" spans="1:27">
      <c r="A13" s="299"/>
      <c r="B13" s="98" t="s">
        <v>172</v>
      </c>
      <c r="H13">
        <v>38</v>
      </c>
      <c r="X13">
        <v>38.002713683718511</v>
      </c>
      <c r="Z13">
        <v>38.002713683718511</v>
      </c>
      <c r="AA13">
        <v>1</v>
      </c>
    </row>
    <row r="14" spans="1:27">
      <c r="A14" s="303"/>
      <c r="B14" s="305" t="s">
        <v>91</v>
      </c>
      <c r="H14">
        <v>40</v>
      </c>
      <c r="X14">
        <v>40.023808570063608</v>
      </c>
      <c r="Z14">
        <v>40.023808570063608</v>
      </c>
      <c r="AA14">
        <v>1</v>
      </c>
    </row>
    <row r="15" spans="1:27">
      <c r="A15" s="332"/>
      <c r="B15" s="335" t="s">
        <v>180</v>
      </c>
      <c r="H15">
        <v>42</v>
      </c>
      <c r="X15">
        <v>42.060945029075036</v>
      </c>
      <c r="Z15">
        <v>42.060945029075036</v>
      </c>
      <c r="AA15">
        <v>1</v>
      </c>
    </row>
    <row r="16" spans="1:27">
      <c r="A16" s="300"/>
      <c r="B16" s="101" t="s">
        <v>179</v>
      </c>
      <c r="H16">
        <v>33</v>
      </c>
      <c r="X16">
        <v>33.079570114028094</v>
      </c>
      <c r="Z16">
        <v>33.079570114028094</v>
      </c>
      <c r="AA16">
        <v>1</v>
      </c>
    </row>
    <row r="17" spans="1:27">
      <c r="A17" s="299"/>
      <c r="B17" s="98" t="s">
        <v>155</v>
      </c>
      <c r="H17">
        <v>43</v>
      </c>
      <c r="X17">
        <v>43.042469976607507</v>
      </c>
      <c r="Z17">
        <v>43.042469976607507</v>
      </c>
      <c r="AA17">
        <v>1</v>
      </c>
    </row>
    <row r="18" spans="1:27">
      <c r="A18" s="300"/>
      <c r="B18" s="101" t="s">
        <v>151</v>
      </c>
      <c r="H18">
        <v>9</v>
      </c>
      <c r="X18">
        <v>9.0270340632909338</v>
      </c>
      <c r="Z18">
        <v>9.0270340632909338</v>
      </c>
      <c r="AA18">
        <v>2</v>
      </c>
    </row>
    <row r="19" spans="1:27">
      <c r="A19" s="304"/>
      <c r="B19" s="306" t="s">
        <v>156</v>
      </c>
      <c r="H19">
        <v>12</v>
      </c>
      <c r="X19">
        <v>12.041014776620505</v>
      </c>
      <c r="Z19">
        <v>12.041014776620505</v>
      </c>
      <c r="AA19">
        <v>2</v>
      </c>
    </row>
    <row r="20" spans="1:27">
      <c r="A20" s="333"/>
      <c r="B20" s="336" t="s">
        <v>176</v>
      </c>
      <c r="H20">
        <v>30</v>
      </c>
      <c r="X20">
        <v>30.082992901249714</v>
      </c>
      <c r="Z20">
        <v>30.082992901249714</v>
      </c>
      <c r="AA20">
        <v>2</v>
      </c>
    </row>
    <row r="21" spans="1:27">
      <c r="A21" s="299"/>
      <c r="B21" s="98" t="s">
        <v>87</v>
      </c>
      <c r="H21">
        <v>31</v>
      </c>
      <c r="X21">
        <v>31.092817967544978</v>
      </c>
      <c r="Z21">
        <v>31.092817967544978</v>
      </c>
      <c r="AA21">
        <v>2</v>
      </c>
    </row>
    <row r="22" spans="1:27">
      <c r="A22" s="300"/>
      <c r="B22" s="101" t="s">
        <v>124</v>
      </c>
      <c r="H22">
        <v>4</v>
      </c>
      <c r="X22">
        <v>4.0893955562646571</v>
      </c>
      <c r="Z22">
        <v>4.0893955562646571</v>
      </c>
      <c r="AA22">
        <v>3</v>
      </c>
    </row>
    <row r="23" spans="1:27">
      <c r="A23" s="304"/>
      <c r="B23" s="306" t="s">
        <v>127</v>
      </c>
      <c r="H23">
        <v>11</v>
      </c>
      <c r="X23">
        <v>11.059938259120463</v>
      </c>
      <c r="Z23">
        <v>11.059938259120463</v>
      </c>
      <c r="AA23">
        <v>3</v>
      </c>
    </row>
    <row r="24" spans="1:27">
      <c r="A24" s="300"/>
      <c r="B24" s="101" t="s">
        <v>122</v>
      </c>
      <c r="H24">
        <v>36</v>
      </c>
      <c r="X24">
        <v>36.07517142266591</v>
      </c>
      <c r="Z24">
        <v>36.07517142266591</v>
      </c>
      <c r="AA24">
        <v>3</v>
      </c>
    </row>
    <row r="25" spans="1:27">
      <c r="A25" s="304"/>
      <c r="B25" s="306" t="s">
        <v>178</v>
      </c>
      <c r="H25">
        <v>39</v>
      </c>
      <c r="X25">
        <v>39.087621807967288</v>
      </c>
      <c r="Z25">
        <v>39.087621807967288</v>
      </c>
      <c r="AA25">
        <v>3</v>
      </c>
    </row>
    <row r="26" spans="1:27">
      <c r="A26" s="303"/>
      <c r="B26" s="305" t="s">
        <v>173</v>
      </c>
      <c r="H26">
        <v>1</v>
      </c>
      <c r="X26">
        <v>1.0585506882891269</v>
      </c>
      <c r="Z26">
        <v>1.0585506882891269</v>
      </c>
      <c r="AA26">
        <v>3</v>
      </c>
    </row>
    <row r="27" spans="1:27">
      <c r="A27" s="332"/>
      <c r="B27" s="335" t="s">
        <v>171</v>
      </c>
      <c r="H27">
        <v>7</v>
      </c>
      <c r="X27">
        <v>7.0753478113079611</v>
      </c>
      <c r="Z27">
        <v>7.0753478113079611</v>
      </c>
      <c r="AA27">
        <v>5</v>
      </c>
    </row>
    <row r="28" spans="1:27">
      <c r="A28" s="303"/>
      <c r="B28" s="305" t="s">
        <v>169</v>
      </c>
      <c r="H28">
        <v>26</v>
      </c>
      <c r="X28">
        <v>26.029167525487843</v>
      </c>
      <c r="Z28">
        <v>26.029167525487843</v>
      </c>
      <c r="AA28">
        <v>5</v>
      </c>
    </row>
    <row r="29" spans="1:27">
      <c r="A29" s="332"/>
      <c r="B29" s="335" t="s">
        <v>116</v>
      </c>
      <c r="H29">
        <v>27</v>
      </c>
      <c r="X29">
        <v>27.071645208665906</v>
      </c>
      <c r="Z29">
        <v>27.071645208665906</v>
      </c>
      <c r="AA29">
        <v>6</v>
      </c>
    </row>
    <row r="30" spans="1:27">
      <c r="A30" s="303"/>
      <c r="B30" s="305" t="s">
        <v>132</v>
      </c>
      <c r="H30">
        <v>32</v>
      </c>
      <c r="X30">
        <v>32.069921908609864</v>
      </c>
      <c r="Z30">
        <v>32.069921908609864</v>
      </c>
      <c r="AA30">
        <v>6</v>
      </c>
    </row>
    <row r="31" spans="1:27">
      <c r="A31" s="333"/>
      <c r="B31" s="336" t="s">
        <v>93</v>
      </c>
      <c r="H31">
        <v>19</v>
      </c>
      <c r="X31">
        <v>19.044879975775331</v>
      </c>
      <c r="Z31">
        <v>19.044879975775331</v>
      </c>
      <c r="AA31">
        <v>7</v>
      </c>
    </row>
    <row r="32" spans="1:27">
      <c r="A32" s="303"/>
      <c r="B32" s="305" t="s">
        <v>133</v>
      </c>
      <c r="H32">
        <v>21</v>
      </c>
      <c r="X32">
        <v>21.036435644597152</v>
      </c>
      <c r="Z32">
        <v>21.036435644597152</v>
      </c>
      <c r="AA32">
        <v>7</v>
      </c>
    </row>
    <row r="33" spans="1:31">
      <c r="A33" s="300"/>
      <c r="B33" s="101" t="s">
        <v>167</v>
      </c>
      <c r="H33">
        <v>41</v>
      </c>
      <c r="X33">
        <v>41.039342238779149</v>
      </c>
      <c r="Z33">
        <v>41.039342238779149</v>
      </c>
      <c r="AA33">
        <v>7</v>
      </c>
    </row>
    <row r="34" spans="1:31">
      <c r="A34" s="299"/>
      <c r="B34" s="98" t="s">
        <v>154</v>
      </c>
      <c r="H34">
        <v>2</v>
      </c>
      <c r="X34">
        <v>2.0679086930672734</v>
      </c>
      <c r="Z34">
        <v>2.0679086930672734</v>
      </c>
      <c r="AA34">
        <v>8</v>
      </c>
    </row>
    <row r="35" spans="1:31">
      <c r="A35" s="303"/>
      <c r="B35" s="305" t="s">
        <v>165</v>
      </c>
      <c r="H35">
        <v>13</v>
      </c>
      <c r="X35">
        <v>13.036818125310893</v>
      </c>
      <c r="Z35">
        <v>13.036818125310893</v>
      </c>
      <c r="AA35">
        <v>9</v>
      </c>
    </row>
    <row r="36" spans="1:31">
      <c r="A36" s="299"/>
      <c r="B36" s="98" t="s">
        <v>88</v>
      </c>
      <c r="H36">
        <v>14</v>
      </c>
      <c r="X36">
        <v>14.034263273238341</v>
      </c>
      <c r="Z36">
        <v>14.034263273238341</v>
      </c>
      <c r="AA36">
        <v>9</v>
      </c>
    </row>
    <row r="37" spans="1:31">
      <c r="A37" s="300"/>
      <c r="B37" s="101" t="s">
        <v>135</v>
      </c>
      <c r="H37">
        <v>17</v>
      </c>
      <c r="X37">
        <v>17.030849979332572</v>
      </c>
      <c r="Z37">
        <v>17.030849979332572</v>
      </c>
      <c r="AA37">
        <v>9</v>
      </c>
    </row>
    <row r="38" spans="1:31">
      <c r="A38" s="299"/>
      <c r="B38" s="98" t="s">
        <v>86</v>
      </c>
      <c r="H38">
        <v>29</v>
      </c>
      <c r="X38">
        <v>29.035292110392188</v>
      </c>
      <c r="Z38">
        <v>29.035292110392188</v>
      </c>
      <c r="AA38">
        <v>9</v>
      </c>
    </row>
    <row r="39" spans="1:31">
      <c r="A39" s="300"/>
      <c r="B39" s="101" t="s">
        <v>72</v>
      </c>
      <c r="H39">
        <v>34</v>
      </c>
      <c r="X39">
        <v>34.073350743987746</v>
      </c>
      <c r="Z39">
        <v>34.073350743987746</v>
      </c>
      <c r="AA39">
        <v>9</v>
      </c>
    </row>
    <row r="40" spans="1:31">
      <c r="A40" s="304"/>
      <c r="B40" s="306" t="s">
        <v>77</v>
      </c>
      <c r="H40">
        <v>35</v>
      </c>
      <c r="X40">
        <v>35.029496211079874</v>
      </c>
      <c r="Z40">
        <v>35.029496211079874</v>
      </c>
      <c r="AA40">
        <v>9</v>
      </c>
    </row>
    <row r="41" spans="1:31">
      <c r="A41" s="303"/>
      <c r="B41" s="305" t="s">
        <v>108</v>
      </c>
      <c r="H41">
        <v>3</v>
      </c>
      <c r="X41">
        <v>3.0124990914871304</v>
      </c>
      <c r="Z41">
        <v>3.0124990914871304</v>
      </c>
      <c r="AA41">
        <v>10</v>
      </c>
    </row>
    <row r="42" spans="1:31">
      <c r="A42" s="304"/>
      <c r="B42" s="306" t="s">
        <v>136</v>
      </c>
      <c r="H42">
        <v>5</v>
      </c>
      <c r="X42">
        <v>5.0010496411886276</v>
      </c>
      <c r="Z42">
        <v>5.0010496411886276</v>
      </c>
      <c r="AA42">
        <v>10</v>
      </c>
      <c r="AE42" s="95" t="s">
        <v>161</v>
      </c>
    </row>
    <row r="43" spans="1:31">
      <c r="A43" s="304"/>
      <c r="B43" s="306" t="s">
        <v>125</v>
      </c>
      <c r="H43">
        <v>20</v>
      </c>
      <c r="X43">
        <v>20.04906361744143</v>
      </c>
      <c r="Z43">
        <v>20.04906361744143</v>
      </c>
      <c r="AA43">
        <v>10</v>
      </c>
    </row>
    <row r="44" spans="1:31">
      <c r="A44" s="334"/>
      <c r="B44" s="337"/>
    </row>
    <row r="51" spans="1:6">
      <c r="A51" s="299"/>
      <c r="B51" s="98" t="s">
        <v>154</v>
      </c>
      <c r="F51">
        <v>1</v>
      </c>
    </row>
    <row r="52" spans="1:6">
      <c r="A52" s="300"/>
      <c r="B52" s="101" t="s">
        <v>108</v>
      </c>
      <c r="F52">
        <v>2</v>
      </c>
    </row>
    <row r="53" spans="1:6">
      <c r="A53" s="299"/>
      <c r="B53" s="98" t="s">
        <v>124</v>
      </c>
      <c r="F53">
        <v>3</v>
      </c>
    </row>
    <row r="54" spans="1:6">
      <c r="A54" s="303" t="s">
        <v>190</v>
      </c>
      <c r="B54" s="305" t="s">
        <v>191</v>
      </c>
      <c r="F54">
        <v>4</v>
      </c>
    </row>
    <row r="55" spans="1:6">
      <c r="A55" s="304" t="s">
        <v>160</v>
      </c>
      <c r="B55" s="306" t="s">
        <v>136</v>
      </c>
      <c r="F55">
        <v>5</v>
      </c>
    </row>
    <row r="56" spans="1:6">
      <c r="A56" s="303"/>
      <c r="B56" s="305" t="s">
        <v>231</v>
      </c>
      <c r="F56">
        <v>6</v>
      </c>
    </row>
    <row r="57" spans="1:6">
      <c r="A57" s="304"/>
      <c r="B57" s="306" t="s">
        <v>171</v>
      </c>
      <c r="F57">
        <v>7</v>
      </c>
    </row>
    <row r="58" spans="1:6">
      <c r="A58" s="300"/>
      <c r="B58" s="101" t="s">
        <v>187</v>
      </c>
      <c r="F58">
        <v>8</v>
      </c>
    </row>
    <row r="59" spans="1:6">
      <c r="A59" s="299"/>
      <c r="B59" s="98" t="s">
        <v>151</v>
      </c>
      <c r="F59">
        <v>9</v>
      </c>
    </row>
    <row r="60" spans="1:6">
      <c r="A60" s="303"/>
      <c r="B60" s="305" t="s">
        <v>104</v>
      </c>
      <c r="F60">
        <v>10</v>
      </c>
    </row>
    <row r="61" spans="1:6">
      <c r="A61" s="299" t="s">
        <v>148</v>
      </c>
      <c r="B61" s="98" t="s">
        <v>127</v>
      </c>
      <c r="F61">
        <v>11</v>
      </c>
    </row>
    <row r="62" spans="1:6">
      <c r="A62" s="300"/>
      <c r="B62" s="101" t="s">
        <v>234</v>
      </c>
      <c r="F62">
        <v>12</v>
      </c>
    </row>
    <row r="63" spans="1:6">
      <c r="A63" s="304"/>
      <c r="B63" s="306" t="s">
        <v>106</v>
      </c>
      <c r="F63">
        <v>13</v>
      </c>
    </row>
    <row r="64" spans="1:6">
      <c r="A64" s="303"/>
      <c r="B64" s="305" t="s">
        <v>165</v>
      </c>
      <c r="F64">
        <v>14</v>
      </c>
    </row>
    <row r="65" spans="1:6">
      <c r="A65" s="304" t="s">
        <v>157</v>
      </c>
      <c r="B65" s="306" t="s">
        <v>159</v>
      </c>
      <c r="F65">
        <v>15</v>
      </c>
    </row>
    <row r="66" spans="1:6">
      <c r="A66" s="303"/>
      <c r="B66" s="305" t="s">
        <v>212</v>
      </c>
      <c r="F66">
        <v>16</v>
      </c>
    </row>
    <row r="67" spans="1:6">
      <c r="A67" s="304"/>
      <c r="B67" s="306" t="s">
        <v>221</v>
      </c>
      <c r="F67">
        <v>17</v>
      </c>
    </row>
    <row r="68" spans="1:6">
      <c r="A68" s="300"/>
      <c r="B68" s="101" t="s">
        <v>133</v>
      </c>
      <c r="F68">
        <v>18</v>
      </c>
    </row>
    <row r="69" spans="1:6">
      <c r="A69" s="299" t="s">
        <v>208</v>
      </c>
      <c r="B69" s="98" t="s">
        <v>204</v>
      </c>
      <c r="F69">
        <v>19</v>
      </c>
    </row>
    <row r="70" spans="1:6">
      <c r="A70" s="300" t="s">
        <v>192</v>
      </c>
      <c r="B70" s="101" t="s">
        <v>193</v>
      </c>
      <c r="F70">
        <v>20</v>
      </c>
    </row>
    <row r="71" spans="1:6">
      <c r="A71" s="299"/>
      <c r="B71" s="98" t="s">
        <v>169</v>
      </c>
      <c r="F71">
        <v>21</v>
      </c>
    </row>
    <row r="72" spans="1:6">
      <c r="A72" s="303"/>
      <c r="B72" s="305" t="s">
        <v>53</v>
      </c>
      <c r="F72">
        <v>22</v>
      </c>
    </row>
    <row r="73" spans="1:6">
      <c r="A73" s="299"/>
      <c r="B73" s="98" t="s">
        <v>201</v>
      </c>
      <c r="F73">
        <v>23</v>
      </c>
    </row>
    <row r="74" spans="1:6">
      <c r="A74" s="300"/>
      <c r="B74" s="101" t="s">
        <v>86</v>
      </c>
      <c r="F74">
        <v>24</v>
      </c>
    </row>
    <row r="75" spans="1:6">
      <c r="A75" s="304"/>
      <c r="B75" s="306" t="s">
        <v>199</v>
      </c>
      <c r="F75">
        <v>25</v>
      </c>
    </row>
    <row r="76" spans="1:6">
      <c r="A76" s="300"/>
      <c r="B76" s="101" t="s">
        <v>87</v>
      </c>
      <c r="F76">
        <v>26</v>
      </c>
    </row>
    <row r="77" spans="1:6">
      <c r="A77" s="299"/>
      <c r="B77" s="98" t="s">
        <v>132</v>
      </c>
      <c r="F77">
        <v>27</v>
      </c>
    </row>
    <row r="78" spans="1:6">
      <c r="A78" s="303"/>
      <c r="B78" s="305" t="s">
        <v>134</v>
      </c>
      <c r="F78">
        <v>28</v>
      </c>
    </row>
    <row r="79" spans="1:6">
      <c r="A79" s="304"/>
      <c r="B79" s="306" t="s">
        <v>72</v>
      </c>
      <c r="F79">
        <v>29</v>
      </c>
    </row>
    <row r="80" spans="1:6">
      <c r="A80" s="303"/>
      <c r="B80" s="305" t="s">
        <v>211</v>
      </c>
      <c r="F80">
        <v>30</v>
      </c>
    </row>
    <row r="81" spans="1:6">
      <c r="A81" s="304"/>
      <c r="B81" s="306" t="s">
        <v>195</v>
      </c>
      <c r="F81">
        <v>31</v>
      </c>
    </row>
    <row r="82" spans="1:6">
      <c r="A82" s="300"/>
      <c r="B82" s="101" t="s">
        <v>197</v>
      </c>
      <c r="F82">
        <v>32</v>
      </c>
    </row>
    <row r="83" spans="1:6">
      <c r="A83" s="304"/>
      <c r="B83" s="306" t="s">
        <v>122</v>
      </c>
      <c r="F83">
        <v>33</v>
      </c>
    </row>
    <row r="84" spans="1:6">
      <c r="A84" s="303"/>
      <c r="B84" s="305" t="s">
        <v>74</v>
      </c>
      <c r="F84">
        <v>34</v>
      </c>
    </row>
    <row r="85" spans="1:6">
      <c r="A85" s="304"/>
      <c r="B85" s="306" t="s">
        <v>172</v>
      </c>
      <c r="F85">
        <v>35</v>
      </c>
    </row>
    <row r="86" spans="1:6">
      <c r="A86" s="303"/>
      <c r="B86" s="305" t="s">
        <v>178</v>
      </c>
      <c r="F86">
        <v>36</v>
      </c>
    </row>
    <row r="87" spans="1:6">
      <c r="A87" s="299"/>
      <c r="B87" s="98" t="s">
        <v>167</v>
      </c>
      <c r="F87">
        <v>37</v>
      </c>
    </row>
    <row r="88" spans="1:6">
      <c r="A88" s="300"/>
      <c r="B88" s="101"/>
    </row>
    <row r="89" spans="1:6">
      <c r="A89" s="304"/>
      <c r="B89" s="306"/>
    </row>
    <row r="90" spans="1:6">
      <c r="A90" s="303"/>
      <c r="B90" s="305"/>
    </row>
    <row r="91" spans="1:6">
      <c r="A91" s="304"/>
      <c r="B91" s="306"/>
    </row>
    <row r="92" spans="1:6">
      <c r="A92" s="303"/>
      <c r="B92" s="305"/>
    </row>
  </sheetData>
  <sortState ref="A51:B92">
    <sortCondition ref="B51:B92"/>
  </sortState>
  <pageMargins left="0.7" right="0.7" top="0.75" bottom="0.75" header="0.3" footer="0.3"/>
</worksheet>
</file>

<file path=xl/worksheets/sheet24.xml><?xml version="1.0" encoding="utf-8"?>
<worksheet xmlns="http://schemas.openxmlformats.org/spreadsheetml/2006/main" xmlns:r="http://schemas.openxmlformats.org/officeDocument/2006/relationships">
  <sheetPr>
    <tabColor rgb="FFFFC000"/>
  </sheetPr>
  <dimension ref="A1:Q548"/>
  <sheetViews>
    <sheetView showGridLines="0" zoomScaleNormal="100" workbookViewId="0">
      <pane ySplit="1" topLeftCell="A20" activePane="bottomLeft" state="frozen"/>
      <selection activeCell="H34" sqref="H34"/>
      <selection pane="bottomLeft" activeCell="Q70" sqref="Q70"/>
    </sheetView>
  </sheetViews>
  <sheetFormatPr defaultColWidth="8" defaultRowHeight="12.75"/>
  <cols>
    <col min="1" max="1" width="13" style="229" customWidth="1"/>
    <col min="2" max="12" width="10" style="252" customWidth="1"/>
    <col min="13" max="13" width="4.42578125" style="228" customWidth="1"/>
    <col min="14" max="14" width="9.7109375" style="229" bestFit="1" customWidth="1"/>
    <col min="15" max="16384" width="8" style="229"/>
  </cols>
  <sheetData>
    <row r="1" spans="1:17" ht="13.5" thickBot="1">
      <c r="A1" s="226"/>
      <c r="B1" s="227" t="s">
        <v>237</v>
      </c>
      <c r="C1" s="227" t="s">
        <v>162</v>
      </c>
      <c r="D1" s="227" t="s">
        <v>82</v>
      </c>
      <c r="E1" s="227" t="s">
        <v>84</v>
      </c>
      <c r="F1" s="227" t="s">
        <v>236</v>
      </c>
      <c r="G1" s="227" t="s">
        <v>202</v>
      </c>
      <c r="H1" s="227" t="s">
        <v>185</v>
      </c>
      <c r="I1" s="227" t="s">
        <v>83</v>
      </c>
      <c r="J1" s="227" t="s">
        <v>241</v>
      </c>
      <c r="K1" s="227" t="s">
        <v>126</v>
      </c>
      <c r="L1" s="227" t="s">
        <v>238</v>
      </c>
    </row>
    <row r="2" spans="1:17" s="234" customFormat="1" ht="13.5" thickTop="1">
      <c r="A2" s="230" t="s">
        <v>124</v>
      </c>
      <c r="B2" s="231" t="str">
        <f t="shared" ref="B2:L17" ca="1" si="0">IF(ISERROR(VLOOKUP($A2,INDIRECT(B$1&amp;"!"&amp;"c4:c20"),1,0)),"",$M2)</f>
        <v/>
      </c>
      <c r="C2" s="231" t="str">
        <f t="shared" ca="1" si="0"/>
        <v/>
      </c>
      <c r="D2" s="231" t="str">
        <f t="shared" ca="1" si="0"/>
        <v/>
      </c>
      <c r="E2" s="231" t="str">
        <f t="shared" ca="1" si="0"/>
        <v/>
      </c>
      <c r="F2" s="231" t="str">
        <f t="shared" ca="1" si="0"/>
        <v/>
      </c>
      <c r="G2" s="231" t="str">
        <f t="shared" ca="1" si="0"/>
        <v/>
      </c>
      <c r="H2" s="231" t="str">
        <f t="shared" ca="1" si="0"/>
        <v/>
      </c>
      <c r="I2" s="231" t="str">
        <f t="shared" ca="1" si="0"/>
        <v/>
      </c>
      <c r="J2" s="231" t="str">
        <f t="shared" ca="1" si="0"/>
        <v/>
      </c>
      <c r="K2" s="231" t="str">
        <f t="shared" ca="1" si="0"/>
        <v/>
      </c>
      <c r="L2" s="231" t="str">
        <f t="shared" ca="1" si="0"/>
        <v/>
      </c>
      <c r="M2" s="232">
        <f ca="1">COUNTIF(Teams!$4:$20,A2)</f>
        <v>0</v>
      </c>
      <c r="N2" s="233">
        <f ca="1">VLOOKUP(A2,Score!B:Z,25,0)</f>
        <v>90.074849696441248</v>
      </c>
      <c r="O2" s="236"/>
      <c r="P2" s="236"/>
      <c r="Q2" s="236"/>
    </row>
    <row r="3" spans="1:17" s="236" customFormat="1">
      <c r="A3" s="246" t="s">
        <v>103</v>
      </c>
      <c r="B3" s="238" t="str">
        <f t="shared" ca="1" si="0"/>
        <v/>
      </c>
      <c r="C3" s="238" t="str">
        <f t="shared" ca="1" si="0"/>
        <v/>
      </c>
      <c r="D3" s="238" t="str">
        <f t="shared" ca="1" si="0"/>
        <v/>
      </c>
      <c r="E3" s="238" t="str">
        <f t="shared" ca="1" si="0"/>
        <v/>
      </c>
      <c r="F3" s="238" t="str">
        <f t="shared" ca="1" si="0"/>
        <v/>
      </c>
      <c r="G3" s="238" t="str">
        <f t="shared" ca="1" si="0"/>
        <v/>
      </c>
      <c r="H3" s="238" t="str">
        <f t="shared" ca="1" si="0"/>
        <v/>
      </c>
      <c r="I3" s="238" t="str">
        <f t="shared" ca="1" si="0"/>
        <v/>
      </c>
      <c r="J3" s="238" t="str">
        <f t="shared" ca="1" si="0"/>
        <v/>
      </c>
      <c r="K3" s="238" t="str">
        <f t="shared" ca="1" si="0"/>
        <v/>
      </c>
      <c r="L3" s="238" t="str">
        <f t="shared" ca="1" si="0"/>
        <v/>
      </c>
      <c r="M3" s="340">
        <f ca="1">COUNTIF(Teams!$4:$20,A3)</f>
        <v>0</v>
      </c>
      <c r="N3" s="341">
        <f ca="1">VLOOKUP(A3,Score!B:Z,25,0)</f>
        <v>35.005541049287807</v>
      </c>
    </row>
    <row r="4" spans="1:17" s="236" customFormat="1">
      <c r="A4" s="230" t="s">
        <v>231</v>
      </c>
      <c r="B4" s="231" t="str">
        <f t="shared" ca="1" si="0"/>
        <v/>
      </c>
      <c r="C4" s="231" t="str">
        <f t="shared" ca="1" si="0"/>
        <v/>
      </c>
      <c r="D4" s="231" t="str">
        <f t="shared" ca="1" si="0"/>
        <v/>
      </c>
      <c r="E4" s="231" t="str">
        <f t="shared" ca="1" si="0"/>
        <v/>
      </c>
      <c r="F4" s="231" t="str">
        <f t="shared" ca="1" si="0"/>
        <v/>
      </c>
      <c r="G4" s="231" t="str">
        <f t="shared" ca="1" si="0"/>
        <v/>
      </c>
      <c r="H4" s="231" t="str">
        <f t="shared" ca="1" si="0"/>
        <v/>
      </c>
      <c r="I4" s="231" t="str">
        <f t="shared" ca="1" si="0"/>
        <v/>
      </c>
      <c r="J4" s="231" t="str">
        <f t="shared" ca="1" si="0"/>
        <v/>
      </c>
      <c r="K4" s="231" t="str">
        <f t="shared" ca="1" si="0"/>
        <v/>
      </c>
      <c r="L4" s="231">
        <f t="shared" ca="1" si="0"/>
        <v>1</v>
      </c>
      <c r="M4" s="232">
        <f ca="1">COUNTIF(Teams!$4:$20,A4)</f>
        <v>1</v>
      </c>
      <c r="N4" s="233">
        <f ca="1">VLOOKUP(A4,Score!B:Z,25,0)</f>
        <v>120.02884850300732</v>
      </c>
    </row>
    <row r="5" spans="1:17" s="236" customFormat="1">
      <c r="A5" s="230" t="s">
        <v>232</v>
      </c>
      <c r="B5" s="231" t="str">
        <f t="shared" ca="1" si="0"/>
        <v/>
      </c>
      <c r="C5" s="231" t="str">
        <f t="shared" ca="1" si="0"/>
        <v/>
      </c>
      <c r="D5" s="231" t="str">
        <f t="shared" ca="1" si="0"/>
        <v/>
      </c>
      <c r="E5" s="231" t="str">
        <f t="shared" ca="1" si="0"/>
        <v/>
      </c>
      <c r="F5" s="231" t="str">
        <f t="shared" ca="1" si="0"/>
        <v/>
      </c>
      <c r="G5" s="231" t="str">
        <f t="shared" ca="1" si="0"/>
        <v/>
      </c>
      <c r="H5" s="231" t="str">
        <f t="shared" ca="1" si="0"/>
        <v/>
      </c>
      <c r="I5" s="231" t="str">
        <f t="shared" ca="1" si="0"/>
        <v/>
      </c>
      <c r="J5" s="231" t="str">
        <f t="shared" ca="1" si="0"/>
        <v/>
      </c>
      <c r="K5" s="231" t="str">
        <f t="shared" ca="1" si="0"/>
        <v/>
      </c>
      <c r="L5" s="231">
        <f t="shared" ca="1" si="0"/>
        <v>1</v>
      </c>
      <c r="M5" s="232">
        <f ca="1">COUNTIF(Teams!$4:$20,A5)</f>
        <v>1</v>
      </c>
      <c r="N5" s="233">
        <f ca="1">VLOOKUP(A5,Score!B:Z,25,0)</f>
        <v>178.03405056575056</v>
      </c>
    </row>
    <row r="6" spans="1:17">
      <c r="A6" s="230" t="s">
        <v>221</v>
      </c>
      <c r="B6" s="231" t="str">
        <f t="shared" ca="1" si="0"/>
        <v/>
      </c>
      <c r="C6" s="231" t="str">
        <f t="shared" ca="1" si="0"/>
        <v/>
      </c>
      <c r="D6" s="231" t="str">
        <f t="shared" ca="1" si="0"/>
        <v/>
      </c>
      <c r="E6" s="231" t="str">
        <f t="shared" ca="1" si="0"/>
        <v/>
      </c>
      <c r="F6" s="231" t="str">
        <f t="shared" ca="1" si="0"/>
        <v/>
      </c>
      <c r="G6" s="231" t="str">
        <f t="shared" ca="1" si="0"/>
        <v/>
      </c>
      <c r="H6" s="231" t="str">
        <f t="shared" ca="1" si="0"/>
        <v/>
      </c>
      <c r="I6" s="231" t="str">
        <f t="shared" ca="1" si="0"/>
        <v/>
      </c>
      <c r="J6" s="231" t="str">
        <f t="shared" ca="1" si="0"/>
        <v/>
      </c>
      <c r="K6" s="231" t="str">
        <f t="shared" ca="1" si="0"/>
        <v/>
      </c>
      <c r="L6" s="231">
        <f t="shared" ca="1" si="0"/>
        <v>1</v>
      </c>
      <c r="M6" s="232">
        <f ca="1">COUNTIF(Teams!$4:$20,A6)</f>
        <v>1</v>
      </c>
      <c r="N6" s="233">
        <f ca="1">VLOOKUP(A6,Score!B:Z,25,0)</f>
        <v>71.022776523247785</v>
      </c>
      <c r="O6" s="236"/>
      <c r="P6" s="236"/>
      <c r="Q6" s="236"/>
    </row>
    <row r="7" spans="1:17" s="236" customFormat="1">
      <c r="A7" s="230" t="s">
        <v>93</v>
      </c>
      <c r="B7" s="231" t="str">
        <f t="shared" ca="1" si="0"/>
        <v/>
      </c>
      <c r="C7" s="231" t="str">
        <f t="shared" ca="1" si="0"/>
        <v/>
      </c>
      <c r="D7" s="231" t="str">
        <f t="shared" ca="1" si="0"/>
        <v/>
      </c>
      <c r="E7" s="231" t="str">
        <f t="shared" ca="1" si="0"/>
        <v/>
      </c>
      <c r="F7" s="231" t="str">
        <f t="shared" ca="1" si="0"/>
        <v/>
      </c>
      <c r="G7" s="231" t="str">
        <f t="shared" ca="1" si="0"/>
        <v/>
      </c>
      <c r="H7" s="231" t="str">
        <f t="shared" ca="1" si="0"/>
        <v/>
      </c>
      <c r="I7" s="231" t="str">
        <f t="shared" ca="1" si="0"/>
        <v/>
      </c>
      <c r="J7" s="231">
        <f t="shared" ca="1" si="0"/>
        <v>1</v>
      </c>
      <c r="K7" s="231" t="str">
        <f t="shared" ca="1" si="0"/>
        <v/>
      </c>
      <c r="L7" s="231" t="str">
        <f t="shared" ca="1" si="0"/>
        <v/>
      </c>
      <c r="M7" s="232">
        <f ca="1">COUNTIF(Teams!$4:$20,A7)</f>
        <v>1</v>
      </c>
      <c r="N7" s="233">
        <f ca="1">VLOOKUP(A7,Score!B:Z,25,0)</f>
        <v>142.08189094839477</v>
      </c>
    </row>
    <row r="8" spans="1:17" s="236" customFormat="1">
      <c r="A8" s="230" t="s">
        <v>169</v>
      </c>
      <c r="B8" s="231" t="str">
        <f t="shared" ca="1" si="0"/>
        <v/>
      </c>
      <c r="C8" s="231" t="str">
        <f t="shared" ca="1" si="0"/>
        <v/>
      </c>
      <c r="D8" s="231" t="str">
        <f t="shared" ca="1" si="0"/>
        <v/>
      </c>
      <c r="E8" s="231" t="str">
        <f t="shared" ca="1" si="0"/>
        <v/>
      </c>
      <c r="F8" s="231" t="str">
        <f t="shared" ca="1" si="0"/>
        <v/>
      </c>
      <c r="G8" s="231" t="str">
        <f t="shared" ca="1" si="0"/>
        <v/>
      </c>
      <c r="H8" s="231" t="str">
        <f t="shared" ca="1" si="0"/>
        <v/>
      </c>
      <c r="I8" s="231" t="str">
        <f t="shared" ca="1" si="0"/>
        <v/>
      </c>
      <c r="J8" s="231" t="str">
        <f t="shared" ca="1" si="0"/>
        <v/>
      </c>
      <c r="K8" s="231">
        <f t="shared" ca="1" si="0"/>
        <v>1</v>
      </c>
      <c r="L8" s="231" t="str">
        <f t="shared" ca="1" si="0"/>
        <v/>
      </c>
      <c r="M8" s="232">
        <f ca="1">COUNTIF(Teams!$4:$20,A8)</f>
        <v>1</v>
      </c>
      <c r="N8" s="233">
        <f ca="1">VLOOKUP(A8,Score!B:Z,25,0)</f>
        <v>249.05065112609282</v>
      </c>
    </row>
    <row r="9" spans="1:17" s="236" customFormat="1">
      <c r="A9" s="230" t="s">
        <v>176</v>
      </c>
      <c r="B9" s="231" t="str">
        <f t="shared" ca="1" si="0"/>
        <v/>
      </c>
      <c r="C9" s="231" t="str">
        <f t="shared" ca="1" si="0"/>
        <v/>
      </c>
      <c r="D9" s="231" t="str">
        <f t="shared" ca="1" si="0"/>
        <v/>
      </c>
      <c r="E9" s="231" t="str">
        <f t="shared" ca="1" si="0"/>
        <v/>
      </c>
      <c r="F9" s="231" t="str">
        <f t="shared" ca="1" si="0"/>
        <v/>
      </c>
      <c r="G9" s="231" t="str">
        <f t="shared" ca="1" si="0"/>
        <v/>
      </c>
      <c r="H9" s="231" t="str">
        <f t="shared" ca="1" si="0"/>
        <v/>
      </c>
      <c r="I9" s="231" t="str">
        <f t="shared" ca="1" si="0"/>
        <v/>
      </c>
      <c r="J9" s="231">
        <f t="shared" ca="1" si="0"/>
        <v>1</v>
      </c>
      <c r="K9" s="231" t="str">
        <f t="shared" ca="1" si="0"/>
        <v/>
      </c>
      <c r="L9" s="231" t="str">
        <f t="shared" ca="1" si="0"/>
        <v/>
      </c>
      <c r="M9" s="232">
        <f ca="1">COUNTIF(Teams!$4:$20,A9)</f>
        <v>1</v>
      </c>
      <c r="N9" s="233">
        <f ca="1">VLOOKUP(A9,Score!B:Z,25,0)</f>
        <v>9.1890741103038739E-3</v>
      </c>
    </row>
    <row r="10" spans="1:17" s="236" customFormat="1">
      <c r="A10" s="230" t="s">
        <v>87</v>
      </c>
      <c r="B10" s="231" t="str">
        <f t="shared" ca="1" si="0"/>
        <v/>
      </c>
      <c r="C10" s="231" t="str">
        <f t="shared" ca="1" si="0"/>
        <v/>
      </c>
      <c r="D10" s="231" t="str">
        <f t="shared" ca="1" si="0"/>
        <v/>
      </c>
      <c r="E10" s="231">
        <f t="shared" ca="1" si="0"/>
        <v>1</v>
      </c>
      <c r="F10" s="231" t="str">
        <f t="shared" ca="1" si="0"/>
        <v/>
      </c>
      <c r="G10" s="231" t="str">
        <f t="shared" ca="1" si="0"/>
        <v/>
      </c>
      <c r="H10" s="231" t="str">
        <f t="shared" ca="1" si="0"/>
        <v/>
      </c>
      <c r="I10" s="231" t="str">
        <f t="shared" ca="1" si="0"/>
        <v/>
      </c>
      <c r="J10" s="231" t="str">
        <f t="shared" ca="1" si="0"/>
        <v/>
      </c>
      <c r="K10" s="231" t="str">
        <f t="shared" ca="1" si="0"/>
        <v/>
      </c>
      <c r="L10" s="231" t="str">
        <f t="shared" ca="1" si="0"/>
        <v/>
      </c>
      <c r="M10" s="232">
        <f ca="1">COUNTIF(Teams!$4:$20,A10)</f>
        <v>1</v>
      </c>
      <c r="N10" s="233">
        <f ca="1">VLOOKUP(A10,Score!B:Z,25,0)</f>
        <v>245.01252352265149</v>
      </c>
    </row>
    <row r="11" spans="1:17" s="236" customFormat="1">
      <c r="A11" s="230" t="s">
        <v>195</v>
      </c>
      <c r="B11" s="231" t="str">
        <f t="shared" ca="1" si="0"/>
        <v/>
      </c>
      <c r="C11" s="231" t="str">
        <f t="shared" ca="1" si="0"/>
        <v/>
      </c>
      <c r="D11" s="231" t="str">
        <f t="shared" ca="1" si="0"/>
        <v/>
      </c>
      <c r="E11" s="231" t="str">
        <f t="shared" ca="1" si="0"/>
        <v/>
      </c>
      <c r="F11" s="231" t="str">
        <f t="shared" ca="1" si="0"/>
        <v/>
      </c>
      <c r="G11" s="231">
        <f t="shared" ca="1" si="0"/>
        <v>1</v>
      </c>
      <c r="H11" s="231" t="str">
        <f t="shared" ca="1" si="0"/>
        <v/>
      </c>
      <c r="I11" s="231" t="str">
        <f t="shared" ca="1" si="0"/>
        <v/>
      </c>
      <c r="J11" s="231" t="str">
        <f t="shared" ca="1" si="0"/>
        <v/>
      </c>
      <c r="K11" s="231" t="str">
        <f t="shared" ca="1" si="0"/>
        <v/>
      </c>
      <c r="L11" s="231" t="str">
        <f t="shared" ca="1" si="0"/>
        <v/>
      </c>
      <c r="M11" s="232">
        <f ca="1">COUNTIF(Teams!$4:$20,A11)</f>
        <v>1</v>
      </c>
      <c r="N11" s="233">
        <f ca="1">VLOOKUP(A11,Score!B:Z,25,0)</f>
        <v>149.07721842452361</v>
      </c>
    </row>
    <row r="12" spans="1:17" s="236" customFormat="1">
      <c r="A12" s="230" t="s">
        <v>197</v>
      </c>
      <c r="B12" s="231" t="str">
        <f t="shared" ca="1" si="0"/>
        <v/>
      </c>
      <c r="C12" s="231" t="str">
        <f t="shared" ca="1" si="0"/>
        <v/>
      </c>
      <c r="D12" s="231" t="str">
        <f t="shared" ca="1" si="0"/>
        <v/>
      </c>
      <c r="E12" s="231" t="str">
        <f t="shared" ca="1" si="0"/>
        <v/>
      </c>
      <c r="F12" s="231" t="str">
        <f t="shared" ca="1" si="0"/>
        <v/>
      </c>
      <c r="G12" s="231">
        <f t="shared" ca="1" si="0"/>
        <v>1</v>
      </c>
      <c r="H12" s="231" t="str">
        <f t="shared" ca="1" si="0"/>
        <v/>
      </c>
      <c r="I12" s="231" t="str">
        <f t="shared" ca="1" si="0"/>
        <v/>
      </c>
      <c r="J12" s="231" t="str">
        <f t="shared" ca="1" si="0"/>
        <v/>
      </c>
      <c r="K12" s="231" t="str">
        <f t="shared" ca="1" si="0"/>
        <v/>
      </c>
      <c r="L12" s="231" t="str">
        <f t="shared" ca="1" si="0"/>
        <v/>
      </c>
      <c r="M12" s="232">
        <f ca="1">COUNTIF(Teams!$4:$20,A12)</f>
        <v>1</v>
      </c>
      <c r="N12" s="233">
        <f ca="1">VLOOKUP(A12,Score!B:Z,25,0)</f>
        <v>143.06287475043627</v>
      </c>
    </row>
    <row r="13" spans="1:17" s="236" customFormat="1">
      <c r="A13" s="230" t="s">
        <v>122</v>
      </c>
      <c r="B13" s="231" t="str">
        <f t="shared" ca="1" si="0"/>
        <v/>
      </c>
      <c r="C13" s="231" t="str">
        <f t="shared" ca="1" si="0"/>
        <v/>
      </c>
      <c r="D13" s="231" t="str">
        <f t="shared" ca="1" si="0"/>
        <v/>
      </c>
      <c r="E13" s="231" t="str">
        <f t="shared" ca="1" si="0"/>
        <v/>
      </c>
      <c r="F13" s="231" t="str">
        <f t="shared" ca="1" si="0"/>
        <v/>
      </c>
      <c r="G13" s="231" t="str">
        <f t="shared" ca="1" si="0"/>
        <v/>
      </c>
      <c r="H13" s="231" t="str">
        <f t="shared" ca="1" si="0"/>
        <v/>
      </c>
      <c r="I13" s="231" t="str">
        <f t="shared" ca="1" si="0"/>
        <v/>
      </c>
      <c r="J13" s="231" t="str">
        <f t="shared" ca="1" si="0"/>
        <v/>
      </c>
      <c r="K13" s="231">
        <f t="shared" ca="1" si="0"/>
        <v>1</v>
      </c>
      <c r="L13" s="231" t="str">
        <f t="shared" ca="1" si="0"/>
        <v/>
      </c>
      <c r="M13" s="232">
        <f ca="1">COUNTIF(Teams!$4:$20,A13)</f>
        <v>1</v>
      </c>
      <c r="N13" s="233">
        <f ca="1">VLOOKUP(A13,Score!B:Z,25,0)</f>
        <v>206.00968564002864</v>
      </c>
    </row>
    <row r="14" spans="1:17" s="269" customFormat="1">
      <c r="A14" s="246" t="s">
        <v>74</v>
      </c>
      <c r="B14" s="238" t="str">
        <f t="shared" ca="1" si="0"/>
        <v/>
      </c>
      <c r="C14" s="238" t="str">
        <f t="shared" ca="1" si="0"/>
        <v/>
      </c>
      <c r="D14" s="238">
        <f t="shared" ca="1" si="0"/>
        <v>1</v>
      </c>
      <c r="E14" s="238" t="str">
        <f t="shared" ca="1" si="0"/>
        <v/>
      </c>
      <c r="F14" s="238" t="str">
        <f t="shared" ca="1" si="0"/>
        <v/>
      </c>
      <c r="G14" s="238" t="str">
        <f t="shared" ca="1" si="0"/>
        <v/>
      </c>
      <c r="H14" s="238" t="str">
        <f t="shared" ca="1" si="0"/>
        <v/>
      </c>
      <c r="I14" s="238" t="str">
        <f t="shared" ca="1" si="0"/>
        <v/>
      </c>
      <c r="J14" s="238" t="str">
        <f t="shared" ca="1" si="0"/>
        <v/>
      </c>
      <c r="K14" s="238" t="str">
        <f t="shared" ca="1" si="0"/>
        <v/>
      </c>
      <c r="L14" s="238" t="str">
        <f t="shared" ca="1" si="0"/>
        <v/>
      </c>
      <c r="M14" s="340">
        <f ca="1">COUNTIF(Teams!$4:$20,A14)</f>
        <v>1</v>
      </c>
      <c r="N14" s="341">
        <f ca="1">VLOOKUP(A14,Score!B:Z,25,0)</f>
        <v>118.04039311920802</v>
      </c>
      <c r="O14" s="236"/>
      <c r="P14" s="236"/>
      <c r="Q14" s="236"/>
    </row>
    <row r="15" spans="1:17" s="236" customFormat="1">
      <c r="A15" s="230" t="s">
        <v>234</v>
      </c>
      <c r="B15" s="231" t="str">
        <f t="shared" ca="1" si="0"/>
        <v/>
      </c>
      <c r="C15" s="231" t="str">
        <f t="shared" ca="1" si="0"/>
        <v/>
      </c>
      <c r="D15" s="231" t="str">
        <f t="shared" ca="1" si="0"/>
        <v/>
      </c>
      <c r="E15" s="231" t="str">
        <f t="shared" ca="1" si="0"/>
        <v/>
      </c>
      <c r="F15" s="231" t="str">
        <f t="shared" ca="1" si="0"/>
        <v/>
      </c>
      <c r="G15" s="231" t="str">
        <f t="shared" ca="1" si="0"/>
        <v/>
      </c>
      <c r="H15" s="231">
        <f t="shared" ca="1" si="0"/>
        <v>2</v>
      </c>
      <c r="I15" s="231" t="str">
        <f t="shared" ca="1" si="0"/>
        <v/>
      </c>
      <c r="J15" s="231">
        <f t="shared" ca="1" si="0"/>
        <v>2</v>
      </c>
      <c r="K15" s="231" t="str">
        <f t="shared" ca="1" si="0"/>
        <v/>
      </c>
      <c r="L15" s="231" t="str">
        <f t="shared" ca="1" si="0"/>
        <v/>
      </c>
      <c r="M15" s="232">
        <f ca="1">COUNTIF(Teams!$4:$20,A15)</f>
        <v>2</v>
      </c>
      <c r="N15" s="233">
        <f ca="1">VLOOKUP(A15,Score!B:Z,25,0)</f>
        <v>1.3572573696846923E-2</v>
      </c>
    </row>
    <row r="16" spans="1:17" s="269" customFormat="1">
      <c r="A16" s="230" t="s">
        <v>212</v>
      </c>
      <c r="B16" s="231" t="str">
        <f t="shared" ca="1" si="0"/>
        <v/>
      </c>
      <c r="C16" s="231" t="str">
        <f t="shared" ca="1" si="0"/>
        <v/>
      </c>
      <c r="D16" s="231" t="str">
        <f t="shared" ca="1" si="0"/>
        <v/>
      </c>
      <c r="E16" s="231">
        <f t="shared" ca="1" si="0"/>
        <v>2</v>
      </c>
      <c r="F16" s="231" t="str">
        <f t="shared" ca="1" si="0"/>
        <v/>
      </c>
      <c r="G16" s="231" t="str">
        <f t="shared" ca="1" si="0"/>
        <v/>
      </c>
      <c r="H16" s="231" t="str">
        <f t="shared" ca="1" si="0"/>
        <v/>
      </c>
      <c r="I16" s="231">
        <f t="shared" ca="1" si="0"/>
        <v>2</v>
      </c>
      <c r="J16" s="231" t="str">
        <f t="shared" ca="1" si="0"/>
        <v/>
      </c>
      <c r="K16" s="231" t="str">
        <f t="shared" ca="1" si="0"/>
        <v/>
      </c>
      <c r="L16" s="231" t="str">
        <f t="shared" ca="1" si="0"/>
        <v/>
      </c>
      <c r="M16" s="232">
        <f ca="1">COUNTIF(Teams!$4:$20,A16)</f>
        <v>2</v>
      </c>
      <c r="N16" s="233">
        <f ca="1">VLOOKUP(A16,Score!B:Z,25,0)</f>
        <v>89.073675316627188</v>
      </c>
      <c r="O16" s="307"/>
      <c r="P16" s="307"/>
      <c r="Q16" s="307"/>
    </row>
    <row r="17" spans="1:17" s="236" customFormat="1">
      <c r="A17" s="230" t="s">
        <v>211</v>
      </c>
      <c r="B17" s="231" t="str">
        <f t="shared" ca="1" si="0"/>
        <v/>
      </c>
      <c r="C17" s="231" t="str">
        <f t="shared" ca="1" si="0"/>
        <v/>
      </c>
      <c r="D17" s="231" t="str">
        <f t="shared" ca="1" si="0"/>
        <v/>
      </c>
      <c r="E17" s="231" t="str">
        <f t="shared" ca="1" si="0"/>
        <v/>
      </c>
      <c r="F17" s="231">
        <f t="shared" ca="1" si="0"/>
        <v>2</v>
      </c>
      <c r="G17" s="231" t="str">
        <f t="shared" ca="1" si="0"/>
        <v/>
      </c>
      <c r="H17" s="231" t="str">
        <f t="shared" ca="1" si="0"/>
        <v/>
      </c>
      <c r="I17" s="231">
        <f t="shared" ca="1" si="0"/>
        <v>2</v>
      </c>
      <c r="J17" s="231" t="str">
        <f t="shared" ca="1" si="0"/>
        <v/>
      </c>
      <c r="K17" s="231" t="str">
        <f t="shared" ca="1" si="0"/>
        <v/>
      </c>
      <c r="L17" s="231" t="str">
        <f t="shared" ca="1" si="0"/>
        <v/>
      </c>
      <c r="M17" s="232">
        <f ca="1">COUNTIF(Teams!$4:$20,A17)</f>
        <v>2</v>
      </c>
      <c r="N17" s="233">
        <f ca="1">VLOOKUP(A17,Score!B:Z,25,0)</f>
        <v>24.035201472053451</v>
      </c>
    </row>
    <row r="18" spans="1:17" s="236" customFormat="1">
      <c r="A18" s="246" t="s">
        <v>178</v>
      </c>
      <c r="B18" s="238" t="str">
        <f t="shared" ref="B18:L33" ca="1" si="1">IF(ISERROR(VLOOKUP($A18,INDIRECT(B$1&amp;"!"&amp;"c4:c20"),1,0)),"",$M18)</f>
        <v/>
      </c>
      <c r="C18" s="238">
        <f t="shared" ca="1" si="1"/>
        <v>2</v>
      </c>
      <c r="D18" s="238" t="str">
        <f t="shared" ca="1" si="1"/>
        <v/>
      </c>
      <c r="E18" s="238" t="str">
        <f t="shared" ca="1" si="1"/>
        <v/>
      </c>
      <c r="F18" s="238" t="str">
        <f t="shared" ca="1" si="1"/>
        <v/>
      </c>
      <c r="G18" s="238" t="str">
        <f t="shared" ca="1" si="1"/>
        <v/>
      </c>
      <c r="H18" s="238" t="str">
        <f t="shared" ca="1" si="1"/>
        <v/>
      </c>
      <c r="I18" s="238" t="str">
        <f t="shared" ca="1" si="1"/>
        <v/>
      </c>
      <c r="J18" s="238" t="str">
        <f t="shared" ca="1" si="1"/>
        <v/>
      </c>
      <c r="K18" s="238">
        <f t="shared" ca="1" si="1"/>
        <v>2</v>
      </c>
      <c r="L18" s="238" t="str">
        <f t="shared" ca="1" si="1"/>
        <v/>
      </c>
      <c r="M18" s="340">
        <f ca="1">COUNTIF(Teams!$4:$20,A18)</f>
        <v>2</v>
      </c>
      <c r="N18" s="341">
        <f ca="1">VLOOKUP(A18,Score!B:Z,25,0)</f>
        <v>92.01964497871991</v>
      </c>
    </row>
    <row r="19" spans="1:17" s="236" customFormat="1">
      <c r="A19" s="230" t="s">
        <v>151</v>
      </c>
      <c r="B19" s="231" t="str">
        <f t="shared" ca="1" si="1"/>
        <v/>
      </c>
      <c r="C19" s="231">
        <f t="shared" ca="1" si="1"/>
        <v>3</v>
      </c>
      <c r="D19" s="231" t="str">
        <f t="shared" ca="1" si="1"/>
        <v/>
      </c>
      <c r="E19" s="231" t="str">
        <f t="shared" ca="1" si="1"/>
        <v/>
      </c>
      <c r="F19" s="231" t="str">
        <f t="shared" ca="1" si="1"/>
        <v/>
      </c>
      <c r="G19" s="231" t="str">
        <f t="shared" ca="1" si="1"/>
        <v/>
      </c>
      <c r="H19" s="231">
        <f t="shared" ca="1" si="1"/>
        <v>3</v>
      </c>
      <c r="I19" s="231" t="str">
        <f t="shared" ca="1" si="1"/>
        <v/>
      </c>
      <c r="J19" s="231" t="str">
        <f t="shared" ca="1" si="1"/>
        <v/>
      </c>
      <c r="K19" s="231">
        <f t="shared" ca="1" si="1"/>
        <v>3</v>
      </c>
      <c r="L19" s="231" t="str">
        <f t="shared" ca="1" si="1"/>
        <v/>
      </c>
      <c r="M19" s="232">
        <f ca="1">COUNTIF(Teams!$4:$20,A19)</f>
        <v>3</v>
      </c>
      <c r="N19" s="233">
        <f ca="1">VLOOKUP(A19,Score!B:Z,25,0)</f>
        <v>39.060762209411898</v>
      </c>
    </row>
    <row r="20" spans="1:17" s="236" customFormat="1">
      <c r="A20" s="230" t="s">
        <v>104</v>
      </c>
      <c r="B20" s="231" t="str">
        <f t="shared" ca="1" si="1"/>
        <v/>
      </c>
      <c r="C20" s="231" t="str">
        <f t="shared" ca="1" si="1"/>
        <v/>
      </c>
      <c r="D20" s="231" t="str">
        <f t="shared" ca="1" si="1"/>
        <v/>
      </c>
      <c r="E20" s="231" t="str">
        <f t="shared" ca="1" si="1"/>
        <v/>
      </c>
      <c r="F20" s="231">
        <f t="shared" ca="1" si="1"/>
        <v>3</v>
      </c>
      <c r="G20" s="231" t="str">
        <f t="shared" ca="1" si="1"/>
        <v/>
      </c>
      <c r="H20" s="231">
        <f t="shared" ca="1" si="1"/>
        <v>3</v>
      </c>
      <c r="I20" s="231">
        <f t="shared" ca="1" si="1"/>
        <v>3</v>
      </c>
      <c r="J20" s="231" t="str">
        <f t="shared" ca="1" si="1"/>
        <v/>
      </c>
      <c r="K20" s="231" t="str">
        <f t="shared" ca="1" si="1"/>
        <v/>
      </c>
      <c r="L20" s="231" t="str">
        <f t="shared" ca="1" si="1"/>
        <v/>
      </c>
      <c r="M20" s="232">
        <f ca="1">COUNTIF(Teams!$4:$20,A20)</f>
        <v>3</v>
      </c>
      <c r="N20" s="233">
        <f ca="1">VLOOKUP(A20,Score!B:Z,25,0)</f>
        <v>191.09021765919366</v>
      </c>
      <c r="O20" s="269"/>
      <c r="P20" s="269"/>
      <c r="Q20" s="269"/>
    </row>
    <row r="21" spans="1:17" s="236" customFormat="1">
      <c r="A21" s="230" t="s">
        <v>159</v>
      </c>
      <c r="B21" s="231" t="str">
        <f t="shared" ca="1" si="1"/>
        <v/>
      </c>
      <c r="C21" s="231" t="str">
        <f t="shared" ca="1" si="1"/>
        <v/>
      </c>
      <c r="D21" s="231">
        <f t="shared" ca="1" si="1"/>
        <v>3</v>
      </c>
      <c r="E21" s="231">
        <f t="shared" ca="1" si="1"/>
        <v>3</v>
      </c>
      <c r="F21" s="231" t="str">
        <f t="shared" ca="1" si="1"/>
        <v/>
      </c>
      <c r="G21" s="231" t="str">
        <f t="shared" ca="1" si="1"/>
        <v/>
      </c>
      <c r="H21" s="231" t="str">
        <f t="shared" ca="1" si="1"/>
        <v/>
      </c>
      <c r="I21" s="231" t="str">
        <f t="shared" ca="1" si="1"/>
        <v/>
      </c>
      <c r="J21" s="231" t="str">
        <f t="shared" ca="1" si="1"/>
        <v/>
      </c>
      <c r="K21" s="231" t="str">
        <f t="shared" ca="1" si="1"/>
        <v/>
      </c>
      <c r="L21" s="231">
        <f t="shared" ca="1" si="1"/>
        <v>3</v>
      </c>
      <c r="M21" s="232">
        <f ca="1">COUNTIF(Teams!$4:$20,A21)</f>
        <v>3</v>
      </c>
      <c r="N21" s="233">
        <f ca="1">VLOOKUP(A21,Score!B:Z,25,0)</f>
        <v>209.07165437924934</v>
      </c>
    </row>
    <row r="22" spans="1:17" s="269" customFormat="1">
      <c r="A22" s="246" t="s">
        <v>53</v>
      </c>
      <c r="B22" s="238">
        <f t="shared" ca="1" si="1"/>
        <v>3</v>
      </c>
      <c r="C22" s="238">
        <f t="shared" ca="1" si="1"/>
        <v>3</v>
      </c>
      <c r="D22" s="238" t="str">
        <f t="shared" ca="1" si="1"/>
        <v/>
      </c>
      <c r="E22" s="238" t="str">
        <f t="shared" ca="1" si="1"/>
        <v/>
      </c>
      <c r="F22" s="238" t="str">
        <f t="shared" ca="1" si="1"/>
        <v/>
      </c>
      <c r="G22" s="238" t="str">
        <f t="shared" ca="1" si="1"/>
        <v/>
      </c>
      <c r="H22" s="238" t="str">
        <f t="shared" ca="1" si="1"/>
        <v/>
      </c>
      <c r="I22" s="238" t="str">
        <f t="shared" ca="1" si="1"/>
        <v/>
      </c>
      <c r="J22" s="238" t="str">
        <f t="shared" ca="1" si="1"/>
        <v/>
      </c>
      <c r="K22" s="238" t="str">
        <f t="shared" ca="1" si="1"/>
        <v/>
      </c>
      <c r="L22" s="238">
        <f t="shared" ca="1" si="1"/>
        <v>3</v>
      </c>
      <c r="M22" s="340">
        <f ca="1">COUNTIF(Teams!$4:$20,A22)</f>
        <v>3</v>
      </c>
      <c r="N22" s="341">
        <f ca="1">VLOOKUP(A22,Score!B:Z,25,0)</f>
        <v>79.077841004680081</v>
      </c>
      <c r="O22" s="236"/>
      <c r="P22" s="236"/>
      <c r="Q22" s="236"/>
    </row>
    <row r="23" spans="1:17" s="269" customFormat="1">
      <c r="A23" s="230" t="s">
        <v>108</v>
      </c>
      <c r="B23" s="231">
        <f t="shared" ca="1" si="1"/>
        <v>4</v>
      </c>
      <c r="C23" s="231" t="str">
        <f t="shared" ca="1" si="1"/>
        <v/>
      </c>
      <c r="D23" s="231">
        <f t="shared" ca="1" si="1"/>
        <v>4</v>
      </c>
      <c r="E23" s="231" t="str">
        <f t="shared" ca="1" si="1"/>
        <v/>
      </c>
      <c r="F23" s="231" t="str">
        <f t="shared" ca="1" si="1"/>
        <v/>
      </c>
      <c r="G23" s="231" t="str">
        <f t="shared" ca="1" si="1"/>
        <v/>
      </c>
      <c r="H23" s="231">
        <f t="shared" ca="1" si="1"/>
        <v>4</v>
      </c>
      <c r="I23" s="231" t="str">
        <f t="shared" ca="1" si="1"/>
        <v/>
      </c>
      <c r="J23" s="231">
        <f t="shared" ca="1" si="1"/>
        <v>4</v>
      </c>
      <c r="K23" s="231" t="str">
        <f t="shared" ca="1" si="1"/>
        <v/>
      </c>
      <c r="L23" s="231" t="str">
        <f t="shared" ca="1" si="1"/>
        <v/>
      </c>
      <c r="M23" s="232">
        <f ca="1">COUNTIF(Teams!$4:$20,A23)</f>
        <v>4</v>
      </c>
      <c r="N23" s="233">
        <f ca="1">VLOOKUP(A23,Score!B:Z,25,0)</f>
        <v>104.04196336552511</v>
      </c>
      <c r="O23" s="236"/>
      <c r="P23" s="236"/>
      <c r="Q23" s="236"/>
    </row>
    <row r="24" spans="1:17" s="269" customFormat="1">
      <c r="A24" s="246" t="s">
        <v>187</v>
      </c>
      <c r="B24" s="238" t="str">
        <f t="shared" ca="1" si="1"/>
        <v/>
      </c>
      <c r="C24" s="238" t="str">
        <f t="shared" ca="1" si="1"/>
        <v/>
      </c>
      <c r="D24" s="238" t="str">
        <f t="shared" ca="1" si="1"/>
        <v/>
      </c>
      <c r="E24" s="238" t="str">
        <f t="shared" ca="1" si="1"/>
        <v/>
      </c>
      <c r="F24" s="238">
        <f t="shared" ca="1" si="1"/>
        <v>4</v>
      </c>
      <c r="G24" s="238">
        <f t="shared" ca="1" si="1"/>
        <v>4</v>
      </c>
      <c r="H24" s="238">
        <f t="shared" ca="1" si="1"/>
        <v>4</v>
      </c>
      <c r="I24" s="238">
        <f t="shared" ca="1" si="1"/>
        <v>4</v>
      </c>
      <c r="J24" s="238" t="str">
        <f t="shared" ca="1" si="1"/>
        <v/>
      </c>
      <c r="K24" s="238" t="str">
        <f t="shared" ca="1" si="1"/>
        <v/>
      </c>
      <c r="L24" s="238" t="str">
        <f t="shared" ca="1" si="1"/>
        <v/>
      </c>
      <c r="M24" s="340">
        <f ca="1">COUNTIF(Teams!$4:$20,A24)</f>
        <v>4</v>
      </c>
      <c r="N24" s="341">
        <f ca="1">VLOOKUP(A24,Score!B:Z,25,0)</f>
        <v>163.07713678876019</v>
      </c>
    </row>
    <row r="25" spans="1:17" s="236" customFormat="1">
      <c r="A25" s="230" t="s">
        <v>193</v>
      </c>
      <c r="B25" s="231" t="str">
        <f t="shared" ca="1" si="1"/>
        <v/>
      </c>
      <c r="C25" s="231">
        <f t="shared" ca="1" si="1"/>
        <v>5</v>
      </c>
      <c r="D25" s="231">
        <f t="shared" ca="1" si="1"/>
        <v>5</v>
      </c>
      <c r="E25" s="231" t="str">
        <f t="shared" ca="1" si="1"/>
        <v/>
      </c>
      <c r="F25" s="231">
        <f t="shared" ca="1" si="1"/>
        <v>5</v>
      </c>
      <c r="G25" s="231">
        <f t="shared" ca="1" si="1"/>
        <v>5</v>
      </c>
      <c r="H25" s="231" t="str">
        <f t="shared" ca="1" si="1"/>
        <v/>
      </c>
      <c r="I25" s="231" t="str">
        <f t="shared" ca="1" si="1"/>
        <v/>
      </c>
      <c r="J25" s="231" t="str">
        <f t="shared" ca="1" si="1"/>
        <v/>
      </c>
      <c r="K25" s="231" t="str">
        <f t="shared" ca="1" si="1"/>
        <v/>
      </c>
      <c r="L25" s="231">
        <f t="shared" ca="1" si="1"/>
        <v>5</v>
      </c>
      <c r="M25" s="232">
        <f ca="1">COUNTIF(Teams!$4:$20,A25)</f>
        <v>5</v>
      </c>
      <c r="N25" s="233">
        <f ca="1">VLOOKUP(A25,Score!B:Z,25,0)</f>
        <v>72.061416673233623</v>
      </c>
    </row>
    <row r="26" spans="1:17" s="236" customFormat="1">
      <c r="A26" s="246" t="s">
        <v>132</v>
      </c>
      <c r="B26" s="238">
        <f t="shared" ca="1" si="1"/>
        <v>5</v>
      </c>
      <c r="C26" s="238" t="str">
        <f t="shared" ca="1" si="1"/>
        <v/>
      </c>
      <c r="D26" s="238" t="str">
        <f t="shared" ca="1" si="1"/>
        <v/>
      </c>
      <c r="E26" s="238" t="str">
        <f t="shared" ca="1" si="1"/>
        <v/>
      </c>
      <c r="F26" s="238">
        <f t="shared" ca="1" si="1"/>
        <v>5</v>
      </c>
      <c r="G26" s="238">
        <f t="shared" ca="1" si="1"/>
        <v>5</v>
      </c>
      <c r="H26" s="238" t="str">
        <f t="shared" ca="1" si="1"/>
        <v/>
      </c>
      <c r="I26" s="238">
        <f t="shared" ca="1" si="1"/>
        <v>5</v>
      </c>
      <c r="J26" s="238" t="str">
        <f t="shared" ca="1" si="1"/>
        <v/>
      </c>
      <c r="K26" s="238" t="str">
        <f t="shared" ca="1" si="1"/>
        <v/>
      </c>
      <c r="L26" s="238">
        <f t="shared" ca="1" si="1"/>
        <v>5</v>
      </c>
      <c r="M26" s="340">
        <f ca="1">COUNTIF(Teams!$4:$20,A26)</f>
        <v>5</v>
      </c>
      <c r="N26" s="341">
        <f ca="1">VLOOKUP(A26,Score!B:Z,25,0)</f>
        <v>153.06838466574541</v>
      </c>
    </row>
    <row r="27" spans="1:17" s="236" customFormat="1">
      <c r="A27" s="230" t="s">
        <v>204</v>
      </c>
      <c r="B27" s="231">
        <f t="shared" ca="1" si="1"/>
        <v>6</v>
      </c>
      <c r="C27" s="231" t="str">
        <f t="shared" ca="1" si="1"/>
        <v/>
      </c>
      <c r="D27" s="231">
        <f t="shared" ca="1" si="1"/>
        <v>6</v>
      </c>
      <c r="E27" s="231">
        <f t="shared" ca="1" si="1"/>
        <v>6</v>
      </c>
      <c r="F27" s="231">
        <f t="shared" ca="1" si="1"/>
        <v>6</v>
      </c>
      <c r="G27" s="231" t="str">
        <f t="shared" ca="1" si="1"/>
        <v/>
      </c>
      <c r="H27" s="231" t="str">
        <f t="shared" ca="1" si="1"/>
        <v/>
      </c>
      <c r="I27" s="231">
        <f t="shared" ca="1" si="1"/>
        <v>6</v>
      </c>
      <c r="J27" s="231">
        <f t="shared" ca="1" si="1"/>
        <v>6</v>
      </c>
      <c r="K27" s="231" t="str">
        <f t="shared" ca="1" si="1"/>
        <v/>
      </c>
      <c r="L27" s="231" t="str">
        <f t="shared" ca="1" si="1"/>
        <v/>
      </c>
      <c r="M27" s="232">
        <f ca="1">COUNTIF(Teams!$4:$20,A27)</f>
        <v>6</v>
      </c>
      <c r="N27" s="233">
        <f ca="1">VLOOKUP(A27,Score!B:Z,25,0)</f>
        <v>276.0118022959067</v>
      </c>
    </row>
    <row r="28" spans="1:17" s="236" customFormat="1">
      <c r="A28" s="246" t="s">
        <v>167</v>
      </c>
      <c r="B28" s="238">
        <f t="shared" ca="1" si="1"/>
        <v>6</v>
      </c>
      <c r="C28" s="238">
        <f t="shared" ca="1" si="1"/>
        <v>6</v>
      </c>
      <c r="D28" s="238" t="str">
        <f t="shared" ca="1" si="1"/>
        <v/>
      </c>
      <c r="E28" s="238">
        <f t="shared" ca="1" si="1"/>
        <v>6</v>
      </c>
      <c r="F28" s="238" t="str">
        <f t="shared" ca="1" si="1"/>
        <v/>
      </c>
      <c r="G28" s="238">
        <f t="shared" ca="1" si="1"/>
        <v>6</v>
      </c>
      <c r="H28" s="238">
        <f t="shared" ca="1" si="1"/>
        <v>6</v>
      </c>
      <c r="I28" s="238" t="str">
        <f t="shared" ca="1" si="1"/>
        <v/>
      </c>
      <c r="J28" s="238" t="str">
        <f t="shared" ca="1" si="1"/>
        <v/>
      </c>
      <c r="K28" s="238">
        <f t="shared" ca="1" si="1"/>
        <v>6</v>
      </c>
      <c r="L28" s="238" t="str">
        <f t="shared" ca="1" si="1"/>
        <v/>
      </c>
      <c r="M28" s="340">
        <f ca="1">COUNTIF(Teams!$4:$20,A28)</f>
        <v>6</v>
      </c>
      <c r="N28" s="341">
        <f ca="1">VLOOKUP(A28,Score!B:Z,25,0)</f>
        <v>80.095956085656127</v>
      </c>
    </row>
    <row r="29" spans="1:17" s="236" customFormat="1">
      <c r="A29" s="246" t="s">
        <v>171</v>
      </c>
      <c r="B29" s="238">
        <f t="shared" ca="1" si="1"/>
        <v>7</v>
      </c>
      <c r="C29" s="238">
        <f t="shared" ca="1" si="1"/>
        <v>7</v>
      </c>
      <c r="D29" s="238" t="str">
        <f t="shared" ca="1" si="1"/>
        <v/>
      </c>
      <c r="E29" s="238">
        <f t="shared" ca="1" si="1"/>
        <v>7</v>
      </c>
      <c r="F29" s="238">
        <f t="shared" ca="1" si="1"/>
        <v>7</v>
      </c>
      <c r="G29" s="238" t="str">
        <f t="shared" ca="1" si="1"/>
        <v/>
      </c>
      <c r="H29" s="238" t="str">
        <f t="shared" ca="1" si="1"/>
        <v/>
      </c>
      <c r="I29" s="238" t="str">
        <f t="shared" ca="1" si="1"/>
        <v/>
      </c>
      <c r="J29" s="238">
        <f t="shared" ca="1" si="1"/>
        <v>7</v>
      </c>
      <c r="K29" s="238">
        <f t="shared" ca="1" si="1"/>
        <v>7</v>
      </c>
      <c r="L29" s="238">
        <f t="shared" ca="1" si="1"/>
        <v>7</v>
      </c>
      <c r="M29" s="340">
        <f ca="1">COUNTIF(Teams!$4:$20,A29)</f>
        <v>7</v>
      </c>
      <c r="N29" s="341">
        <f ca="1">VLOOKUP(A29,Score!B:Z,25,0)</f>
        <v>23.039852377022889</v>
      </c>
    </row>
    <row r="30" spans="1:17" s="236" customFormat="1">
      <c r="A30" s="230" t="s">
        <v>133</v>
      </c>
      <c r="B30" s="231">
        <f t="shared" ca="1" si="1"/>
        <v>8</v>
      </c>
      <c r="C30" s="231" t="str">
        <f t="shared" ca="1" si="1"/>
        <v/>
      </c>
      <c r="D30" s="231">
        <f t="shared" ca="1" si="1"/>
        <v>8</v>
      </c>
      <c r="E30" s="231">
        <f t="shared" ca="1" si="1"/>
        <v>8</v>
      </c>
      <c r="F30" s="231">
        <f t="shared" ca="1" si="1"/>
        <v>8</v>
      </c>
      <c r="G30" s="231">
        <f t="shared" ca="1" si="1"/>
        <v>8</v>
      </c>
      <c r="H30" s="231" t="str">
        <f t="shared" ca="1" si="1"/>
        <v/>
      </c>
      <c r="I30" s="231">
        <f t="shared" ca="1" si="1"/>
        <v>8</v>
      </c>
      <c r="J30" s="231">
        <f t="shared" ca="1" si="1"/>
        <v>8</v>
      </c>
      <c r="K30" s="231">
        <f t="shared" ca="1" si="1"/>
        <v>8</v>
      </c>
      <c r="L30" s="231" t="str">
        <f t="shared" ca="1" si="1"/>
        <v/>
      </c>
      <c r="M30" s="232">
        <f ca="1">COUNTIF(Teams!$4:$20,A30)</f>
        <v>8</v>
      </c>
      <c r="N30" s="233">
        <f ca="1">VLOOKUP(A30,Score!B:Z,25,0)</f>
        <v>226.03806711430084</v>
      </c>
    </row>
    <row r="31" spans="1:17" s="236" customFormat="1">
      <c r="A31" s="230" t="s">
        <v>201</v>
      </c>
      <c r="B31" s="231">
        <f t="shared" ca="1" si="1"/>
        <v>8</v>
      </c>
      <c r="C31" s="231">
        <f t="shared" ca="1" si="1"/>
        <v>8</v>
      </c>
      <c r="D31" s="231">
        <f t="shared" ca="1" si="1"/>
        <v>8</v>
      </c>
      <c r="E31" s="231">
        <f t="shared" ca="1" si="1"/>
        <v>8</v>
      </c>
      <c r="F31" s="231" t="str">
        <f t="shared" ca="1" si="1"/>
        <v/>
      </c>
      <c r="G31" s="231">
        <f t="shared" ca="1" si="1"/>
        <v>8</v>
      </c>
      <c r="H31" s="231">
        <f t="shared" ca="1" si="1"/>
        <v>8</v>
      </c>
      <c r="I31" s="231">
        <f t="shared" ca="1" si="1"/>
        <v>8</v>
      </c>
      <c r="J31" s="231" t="str">
        <f t="shared" ca="1" si="1"/>
        <v/>
      </c>
      <c r="K31" s="231" t="str">
        <f t="shared" ca="1" si="1"/>
        <v/>
      </c>
      <c r="L31" s="231">
        <f t="shared" ca="1" si="1"/>
        <v>8</v>
      </c>
      <c r="M31" s="232">
        <f ca="1">COUNTIF(Teams!$4:$20,A31)</f>
        <v>8</v>
      </c>
      <c r="N31" s="233">
        <f ca="1">VLOOKUP(A31,Score!B:Z,25,0)</f>
        <v>65.089282364930398</v>
      </c>
    </row>
    <row r="32" spans="1:17" s="236" customFormat="1">
      <c r="A32" s="246" t="s">
        <v>172</v>
      </c>
      <c r="B32" s="238" t="str">
        <f t="shared" ca="1" si="1"/>
        <v/>
      </c>
      <c r="C32" s="238">
        <f t="shared" ca="1" si="1"/>
        <v>8</v>
      </c>
      <c r="D32" s="238">
        <f t="shared" ca="1" si="1"/>
        <v>8</v>
      </c>
      <c r="E32" s="238">
        <f t="shared" ca="1" si="1"/>
        <v>8</v>
      </c>
      <c r="F32" s="238">
        <f t="shared" ca="1" si="1"/>
        <v>8</v>
      </c>
      <c r="G32" s="238" t="str">
        <f t="shared" ca="1" si="1"/>
        <v/>
      </c>
      <c r="H32" s="238">
        <f t="shared" ca="1" si="1"/>
        <v>8</v>
      </c>
      <c r="I32" s="238">
        <f t="shared" ca="1" si="1"/>
        <v>8</v>
      </c>
      <c r="J32" s="238">
        <f t="shared" ca="1" si="1"/>
        <v>8</v>
      </c>
      <c r="K32" s="238">
        <f t="shared" ca="1" si="1"/>
        <v>8</v>
      </c>
      <c r="L32" s="238" t="str">
        <f t="shared" ca="1" si="1"/>
        <v/>
      </c>
      <c r="M32" s="340">
        <f ca="1">COUNTIF(Teams!$4:$20,A32)</f>
        <v>8</v>
      </c>
      <c r="N32" s="341">
        <f ca="1">VLOOKUP(A32,Score!B:Z,25,0)</f>
        <v>205.02674242672029</v>
      </c>
      <c r="O32" s="269"/>
      <c r="P32" s="269"/>
      <c r="Q32" s="269"/>
    </row>
    <row r="33" spans="1:17" s="236" customFormat="1">
      <c r="A33" s="230" t="s">
        <v>191</v>
      </c>
      <c r="B33" s="231">
        <f t="shared" ca="1" si="1"/>
        <v>8</v>
      </c>
      <c r="C33" s="231">
        <f t="shared" ca="1" si="1"/>
        <v>8</v>
      </c>
      <c r="D33" s="231">
        <f t="shared" ca="1" si="1"/>
        <v>8</v>
      </c>
      <c r="E33" s="231" t="str">
        <f t="shared" ca="1" si="1"/>
        <v/>
      </c>
      <c r="F33" s="231" t="str">
        <f t="shared" ca="1" si="1"/>
        <v/>
      </c>
      <c r="G33" s="231">
        <f t="shared" ca="1" si="1"/>
        <v>8</v>
      </c>
      <c r="H33" s="231" t="str">
        <f t="shared" ca="1" si="1"/>
        <v/>
      </c>
      <c r="I33" s="231">
        <f t="shared" ca="1" si="1"/>
        <v>8</v>
      </c>
      <c r="J33" s="231">
        <f t="shared" ca="1" si="1"/>
        <v>8</v>
      </c>
      <c r="K33" s="231">
        <f t="shared" ca="1" si="1"/>
        <v>8</v>
      </c>
      <c r="L33" s="231">
        <f t="shared" ca="1" si="1"/>
        <v>8</v>
      </c>
      <c r="M33" s="232">
        <f ca="1">COUNTIF(Teams!$4:$20,A33)</f>
        <v>8</v>
      </c>
      <c r="N33" s="233">
        <f ca="1">VLOOKUP(A33,Score!B:Z,25,0)</f>
        <v>308.03098917437455</v>
      </c>
      <c r="O33" s="269"/>
      <c r="P33" s="269"/>
      <c r="Q33" s="269"/>
    </row>
    <row r="34" spans="1:17" s="236" customFormat="1">
      <c r="A34" s="246" t="s">
        <v>165</v>
      </c>
      <c r="B34" s="238">
        <f t="shared" ref="B34:L49" ca="1" si="2">IF(ISERROR(VLOOKUP($A34,INDIRECT(B$1&amp;"!"&amp;"c4:c20"),1,0)),"",$M34)</f>
        <v>9</v>
      </c>
      <c r="C34" s="238">
        <f t="shared" ca="1" si="2"/>
        <v>9</v>
      </c>
      <c r="D34" s="238">
        <f t="shared" ca="1" si="2"/>
        <v>9</v>
      </c>
      <c r="E34" s="238">
        <f t="shared" ca="1" si="2"/>
        <v>9</v>
      </c>
      <c r="F34" s="238">
        <f t="shared" ca="1" si="2"/>
        <v>9</v>
      </c>
      <c r="G34" s="238">
        <f t="shared" ca="1" si="2"/>
        <v>9</v>
      </c>
      <c r="H34" s="238">
        <f t="shared" ca="1" si="2"/>
        <v>9</v>
      </c>
      <c r="I34" s="238" t="str">
        <f t="shared" ca="1" si="2"/>
        <v/>
      </c>
      <c r="J34" s="238">
        <f t="shared" ca="1" si="2"/>
        <v>9</v>
      </c>
      <c r="K34" s="238">
        <f t="shared" ca="1" si="2"/>
        <v>9</v>
      </c>
      <c r="L34" s="238" t="str">
        <f t="shared" ca="1" si="2"/>
        <v/>
      </c>
      <c r="M34" s="340">
        <f ca="1">COUNTIF(Teams!$4:$20,A34)</f>
        <v>9</v>
      </c>
      <c r="N34" s="341">
        <f ca="1">VLOOKUP(A34,Score!B:Z,25,0)</f>
        <v>161.02773534561166</v>
      </c>
    </row>
    <row r="35" spans="1:17" s="236" customFormat="1">
      <c r="A35" s="230" t="s">
        <v>154</v>
      </c>
      <c r="B35" s="231">
        <f t="shared" ca="1" si="2"/>
        <v>11</v>
      </c>
      <c r="C35" s="231">
        <f t="shared" ca="1" si="2"/>
        <v>11</v>
      </c>
      <c r="D35" s="231">
        <f t="shared" ca="1" si="2"/>
        <v>11</v>
      </c>
      <c r="E35" s="231">
        <f t="shared" ca="1" si="2"/>
        <v>11</v>
      </c>
      <c r="F35" s="231">
        <f t="shared" ca="1" si="2"/>
        <v>11</v>
      </c>
      <c r="G35" s="231">
        <f t="shared" ca="1" si="2"/>
        <v>11</v>
      </c>
      <c r="H35" s="231">
        <f t="shared" ca="1" si="2"/>
        <v>11</v>
      </c>
      <c r="I35" s="231">
        <f t="shared" ca="1" si="2"/>
        <v>11</v>
      </c>
      <c r="J35" s="231">
        <f t="shared" ca="1" si="2"/>
        <v>11</v>
      </c>
      <c r="K35" s="231">
        <f t="shared" ca="1" si="2"/>
        <v>11</v>
      </c>
      <c r="L35" s="231">
        <f t="shared" ca="1" si="2"/>
        <v>11</v>
      </c>
      <c r="M35" s="232">
        <f ca="1">COUNTIF(Teams!$4:$20,A35)</f>
        <v>11</v>
      </c>
      <c r="N35" s="233">
        <f ca="1">VLOOKUP(A35,Score!B:Z,25,0)</f>
        <v>165.01412087611291</v>
      </c>
    </row>
    <row r="36" spans="1:17" s="236" customFormat="1">
      <c r="A36" s="230" t="s">
        <v>136</v>
      </c>
      <c r="B36" s="231">
        <f t="shared" ca="1" si="2"/>
        <v>11</v>
      </c>
      <c r="C36" s="231">
        <f t="shared" ca="1" si="2"/>
        <v>11</v>
      </c>
      <c r="D36" s="231">
        <f t="shared" ca="1" si="2"/>
        <v>11</v>
      </c>
      <c r="E36" s="231">
        <f t="shared" ca="1" si="2"/>
        <v>11</v>
      </c>
      <c r="F36" s="231">
        <f t="shared" ca="1" si="2"/>
        <v>11</v>
      </c>
      <c r="G36" s="231">
        <f t="shared" ca="1" si="2"/>
        <v>11</v>
      </c>
      <c r="H36" s="231">
        <f t="shared" ca="1" si="2"/>
        <v>11</v>
      </c>
      <c r="I36" s="231">
        <f t="shared" ca="1" si="2"/>
        <v>11</v>
      </c>
      <c r="J36" s="231">
        <f t="shared" ca="1" si="2"/>
        <v>11</v>
      </c>
      <c r="K36" s="231">
        <f t="shared" ca="1" si="2"/>
        <v>11</v>
      </c>
      <c r="L36" s="231">
        <f t="shared" ca="1" si="2"/>
        <v>11</v>
      </c>
      <c r="M36" s="232">
        <f ca="1">COUNTIF(Teams!$4:$20,A36)</f>
        <v>11</v>
      </c>
      <c r="N36" s="233">
        <f ca="1">VLOOKUP(A36,Score!B:Z,25,0)</f>
        <v>268.06929858254693</v>
      </c>
    </row>
    <row r="37" spans="1:17" s="236" customFormat="1">
      <c r="A37" s="230" t="s">
        <v>106</v>
      </c>
      <c r="B37" s="231">
        <f t="shared" ca="1" si="2"/>
        <v>11</v>
      </c>
      <c r="C37" s="231">
        <f t="shared" ca="1" si="2"/>
        <v>11</v>
      </c>
      <c r="D37" s="231">
        <f t="shared" ca="1" si="2"/>
        <v>11</v>
      </c>
      <c r="E37" s="231">
        <f t="shared" ca="1" si="2"/>
        <v>11</v>
      </c>
      <c r="F37" s="231">
        <f t="shared" ca="1" si="2"/>
        <v>11</v>
      </c>
      <c r="G37" s="231">
        <f t="shared" ca="1" si="2"/>
        <v>11</v>
      </c>
      <c r="H37" s="231">
        <f t="shared" ca="1" si="2"/>
        <v>11</v>
      </c>
      <c r="I37" s="231">
        <f t="shared" ca="1" si="2"/>
        <v>11</v>
      </c>
      <c r="J37" s="231">
        <f t="shared" ca="1" si="2"/>
        <v>11</v>
      </c>
      <c r="K37" s="231">
        <f t="shared" ca="1" si="2"/>
        <v>11</v>
      </c>
      <c r="L37" s="231">
        <f t="shared" ca="1" si="2"/>
        <v>11</v>
      </c>
      <c r="M37" s="232">
        <f ca="1">COUNTIF(Teams!$4:$20,A37)</f>
        <v>11</v>
      </c>
      <c r="N37" s="233">
        <f ca="1">VLOOKUP(A37,Score!B:Z,25,0)</f>
        <v>191.09051541514262</v>
      </c>
    </row>
    <row r="38" spans="1:17" s="236" customFormat="1">
      <c r="A38" s="230" t="s">
        <v>86</v>
      </c>
      <c r="B38" s="231">
        <f t="shared" ca="1" si="2"/>
        <v>11</v>
      </c>
      <c r="C38" s="231">
        <f t="shared" ca="1" si="2"/>
        <v>11</v>
      </c>
      <c r="D38" s="231">
        <f t="shared" ca="1" si="2"/>
        <v>11</v>
      </c>
      <c r="E38" s="231">
        <f t="shared" ca="1" si="2"/>
        <v>11</v>
      </c>
      <c r="F38" s="231">
        <f t="shared" ca="1" si="2"/>
        <v>11</v>
      </c>
      <c r="G38" s="231">
        <f t="shared" ca="1" si="2"/>
        <v>11</v>
      </c>
      <c r="H38" s="231">
        <f t="shared" ca="1" si="2"/>
        <v>11</v>
      </c>
      <c r="I38" s="231">
        <f t="shared" ca="1" si="2"/>
        <v>11</v>
      </c>
      <c r="J38" s="231">
        <f t="shared" ca="1" si="2"/>
        <v>11</v>
      </c>
      <c r="K38" s="231">
        <f t="shared" ca="1" si="2"/>
        <v>11</v>
      </c>
      <c r="L38" s="231">
        <f t="shared" ca="1" si="2"/>
        <v>11</v>
      </c>
      <c r="M38" s="232">
        <f ca="1">COUNTIF(Teams!$4:$20,A38)</f>
        <v>11</v>
      </c>
      <c r="N38" s="233">
        <f ca="1">VLOOKUP(A38,Score!B:Z,25,0)</f>
        <v>47.095534077619774</v>
      </c>
    </row>
    <row r="39" spans="1:17" s="236" customFormat="1">
      <c r="A39" s="230" t="s">
        <v>199</v>
      </c>
      <c r="B39" s="231">
        <f t="shared" ca="1" si="2"/>
        <v>11</v>
      </c>
      <c r="C39" s="231">
        <f t="shared" ca="1" si="2"/>
        <v>11</v>
      </c>
      <c r="D39" s="231">
        <f t="shared" ca="1" si="2"/>
        <v>11</v>
      </c>
      <c r="E39" s="231">
        <f t="shared" ca="1" si="2"/>
        <v>11</v>
      </c>
      <c r="F39" s="231">
        <f t="shared" ca="1" si="2"/>
        <v>11</v>
      </c>
      <c r="G39" s="231">
        <f t="shared" ca="1" si="2"/>
        <v>11</v>
      </c>
      <c r="H39" s="231">
        <f t="shared" ca="1" si="2"/>
        <v>11</v>
      </c>
      <c r="I39" s="231">
        <f t="shared" ca="1" si="2"/>
        <v>11</v>
      </c>
      <c r="J39" s="231">
        <f t="shared" ca="1" si="2"/>
        <v>11</v>
      </c>
      <c r="K39" s="231">
        <f t="shared" ca="1" si="2"/>
        <v>11</v>
      </c>
      <c r="L39" s="231">
        <f t="shared" ca="1" si="2"/>
        <v>11</v>
      </c>
      <c r="M39" s="232">
        <f ca="1">COUNTIF(Teams!$4:$20,A39)</f>
        <v>11</v>
      </c>
      <c r="N39" s="233">
        <f ca="1">VLOOKUP(A39,Score!B:Z,25,0)</f>
        <v>621.01379209691868</v>
      </c>
      <c r="O39" s="269"/>
      <c r="P39" s="269"/>
      <c r="Q39" s="269"/>
    </row>
    <row r="40" spans="1:17" s="236" customFormat="1">
      <c r="A40" s="230" t="s">
        <v>134</v>
      </c>
      <c r="B40" s="231">
        <f t="shared" ca="1" si="2"/>
        <v>11</v>
      </c>
      <c r="C40" s="231">
        <f t="shared" ca="1" si="2"/>
        <v>11</v>
      </c>
      <c r="D40" s="231">
        <f t="shared" ca="1" si="2"/>
        <v>11</v>
      </c>
      <c r="E40" s="231">
        <f t="shared" ca="1" si="2"/>
        <v>11</v>
      </c>
      <c r="F40" s="231">
        <f t="shared" ca="1" si="2"/>
        <v>11</v>
      </c>
      <c r="G40" s="231">
        <f t="shared" ca="1" si="2"/>
        <v>11</v>
      </c>
      <c r="H40" s="231">
        <f t="shared" ca="1" si="2"/>
        <v>11</v>
      </c>
      <c r="I40" s="231">
        <f t="shared" ca="1" si="2"/>
        <v>11</v>
      </c>
      <c r="J40" s="231">
        <f t="shared" ca="1" si="2"/>
        <v>11</v>
      </c>
      <c r="K40" s="231">
        <f t="shared" ca="1" si="2"/>
        <v>11</v>
      </c>
      <c r="L40" s="231">
        <f t="shared" ca="1" si="2"/>
        <v>11</v>
      </c>
      <c r="M40" s="232">
        <f ca="1">COUNTIF(Teams!$4:$20,A40)</f>
        <v>11</v>
      </c>
      <c r="N40" s="233">
        <f ca="1">VLOOKUP(A40,Score!B:Z,25,0)</f>
        <v>463.02812813736631</v>
      </c>
    </row>
    <row r="41" spans="1:17" s="236" customFormat="1">
      <c r="A41" s="230" t="s">
        <v>72</v>
      </c>
      <c r="B41" s="231">
        <f t="shared" ca="1" si="2"/>
        <v>11</v>
      </c>
      <c r="C41" s="231">
        <f t="shared" ca="1" si="2"/>
        <v>11</v>
      </c>
      <c r="D41" s="231">
        <f t="shared" ca="1" si="2"/>
        <v>11</v>
      </c>
      <c r="E41" s="231">
        <f t="shared" ca="1" si="2"/>
        <v>11</v>
      </c>
      <c r="F41" s="231">
        <f t="shared" ca="1" si="2"/>
        <v>11</v>
      </c>
      <c r="G41" s="231">
        <f t="shared" ca="1" si="2"/>
        <v>11</v>
      </c>
      <c r="H41" s="231">
        <f t="shared" ca="1" si="2"/>
        <v>11</v>
      </c>
      <c r="I41" s="231">
        <f t="shared" ca="1" si="2"/>
        <v>11</v>
      </c>
      <c r="J41" s="231">
        <f t="shared" ca="1" si="2"/>
        <v>11</v>
      </c>
      <c r="K41" s="231">
        <f t="shared" ca="1" si="2"/>
        <v>11</v>
      </c>
      <c r="L41" s="231">
        <f t="shared" ca="1" si="2"/>
        <v>11</v>
      </c>
      <c r="M41" s="232">
        <f ca="1">COUNTIF(Teams!$4:$20,A41)</f>
        <v>11</v>
      </c>
      <c r="N41" s="233">
        <f ca="1">VLOOKUP(A41,Score!B:Z,25,0)</f>
        <v>286.00639312098394</v>
      </c>
    </row>
    <row r="42" spans="1:17" s="316" customFormat="1" hidden="1">
      <c r="A42" s="312"/>
      <c r="B42" s="313" t="str">
        <f t="shared" ca="1" si="2"/>
        <v/>
      </c>
      <c r="C42" s="313" t="str">
        <f t="shared" ca="1" si="2"/>
        <v/>
      </c>
      <c r="D42" s="313" t="str">
        <f t="shared" ca="1" si="2"/>
        <v/>
      </c>
      <c r="E42" s="313" t="str">
        <f t="shared" ca="1" si="2"/>
        <v/>
      </c>
      <c r="F42" s="313" t="str">
        <f t="shared" ca="1" si="2"/>
        <v/>
      </c>
      <c r="G42" s="313" t="str">
        <f t="shared" ca="1" si="2"/>
        <v/>
      </c>
      <c r="H42" s="313" t="str">
        <f t="shared" ca="1" si="2"/>
        <v/>
      </c>
      <c r="I42" s="313" t="str">
        <f t="shared" ca="1" si="2"/>
        <v/>
      </c>
      <c r="J42" s="313" t="str">
        <f t="shared" ca="1" si="2"/>
        <v/>
      </c>
      <c r="K42" s="313" t="str">
        <f t="shared" ca="1" si="2"/>
        <v/>
      </c>
      <c r="L42" s="313" t="str">
        <f t="shared" ca="1" si="2"/>
        <v/>
      </c>
      <c r="M42" s="314">
        <f ca="1">COUNTIF(Teams!$4:$20,A42)</f>
        <v>17</v>
      </c>
      <c r="N42" s="315" t="e">
        <f>VLOOKUP(A42,Score!B:Z,25,0)</f>
        <v>#N/A</v>
      </c>
    </row>
    <row r="43" spans="1:17" s="316" customFormat="1" hidden="1">
      <c r="A43" s="312"/>
      <c r="B43" s="313" t="str">
        <f t="shared" ca="1" si="2"/>
        <v/>
      </c>
      <c r="C43" s="313" t="str">
        <f t="shared" ca="1" si="2"/>
        <v/>
      </c>
      <c r="D43" s="313" t="str">
        <f t="shared" ca="1" si="2"/>
        <v/>
      </c>
      <c r="E43" s="313" t="str">
        <f t="shared" ca="1" si="2"/>
        <v/>
      </c>
      <c r="F43" s="313" t="str">
        <f t="shared" ca="1" si="2"/>
        <v/>
      </c>
      <c r="G43" s="313" t="str">
        <f t="shared" ca="1" si="2"/>
        <v/>
      </c>
      <c r="H43" s="313" t="str">
        <f t="shared" ca="1" si="2"/>
        <v/>
      </c>
      <c r="I43" s="313" t="str">
        <f t="shared" ca="1" si="2"/>
        <v/>
      </c>
      <c r="J43" s="313" t="str">
        <f t="shared" ca="1" si="2"/>
        <v/>
      </c>
      <c r="K43" s="313" t="str">
        <f t="shared" ca="1" si="2"/>
        <v/>
      </c>
      <c r="L43" s="313" t="str">
        <f t="shared" ca="1" si="2"/>
        <v/>
      </c>
      <c r="M43" s="314">
        <f ca="1">COUNTIF(Teams!$4:$20,A43)</f>
        <v>17</v>
      </c>
      <c r="N43" s="315" t="e">
        <f>VLOOKUP(A43,Score!B:Z,25,0)</f>
        <v>#N/A</v>
      </c>
    </row>
    <row r="44" spans="1:17" s="236" customFormat="1" hidden="1">
      <c r="A44" s="230"/>
      <c r="B44" s="231" t="str">
        <f t="shared" ca="1" si="2"/>
        <v/>
      </c>
      <c r="C44" s="231" t="str">
        <f t="shared" ca="1" si="2"/>
        <v/>
      </c>
      <c r="D44" s="231" t="str">
        <f t="shared" ca="1" si="2"/>
        <v/>
      </c>
      <c r="E44" s="231" t="str">
        <f t="shared" ca="1" si="2"/>
        <v/>
      </c>
      <c r="F44" s="231" t="str">
        <f t="shared" ca="1" si="2"/>
        <v/>
      </c>
      <c r="G44" s="231" t="str">
        <f t="shared" ca="1" si="2"/>
        <v/>
      </c>
      <c r="H44" s="231" t="str">
        <f t="shared" ca="1" si="2"/>
        <v/>
      </c>
      <c r="I44" s="231" t="str">
        <f t="shared" ca="1" si="2"/>
        <v/>
      </c>
      <c r="J44" s="231" t="str">
        <f t="shared" ca="1" si="2"/>
        <v/>
      </c>
      <c r="K44" s="231" t="str">
        <f t="shared" ca="1" si="2"/>
        <v/>
      </c>
      <c r="L44" s="231" t="str">
        <f t="shared" ca="1" si="2"/>
        <v/>
      </c>
      <c r="M44" s="232">
        <f ca="1">COUNTIF(Teams!$4:$20,A44)</f>
        <v>17</v>
      </c>
      <c r="N44" s="233" t="e">
        <f>VLOOKUP(A44,Score!B:Z,25,0)</f>
        <v>#N/A</v>
      </c>
    </row>
    <row r="45" spans="1:17" s="236" customFormat="1" hidden="1">
      <c r="A45" s="230"/>
      <c r="B45" s="231" t="str">
        <f t="shared" ca="1" si="2"/>
        <v/>
      </c>
      <c r="C45" s="231" t="str">
        <f t="shared" ca="1" si="2"/>
        <v/>
      </c>
      <c r="D45" s="231" t="str">
        <f t="shared" ca="1" si="2"/>
        <v/>
      </c>
      <c r="E45" s="231" t="str">
        <f t="shared" ca="1" si="2"/>
        <v/>
      </c>
      <c r="F45" s="231" t="str">
        <f t="shared" ca="1" si="2"/>
        <v/>
      </c>
      <c r="G45" s="231" t="str">
        <f t="shared" ca="1" si="2"/>
        <v/>
      </c>
      <c r="H45" s="231" t="str">
        <f t="shared" ca="1" si="2"/>
        <v/>
      </c>
      <c r="I45" s="231" t="str">
        <f t="shared" ca="1" si="2"/>
        <v/>
      </c>
      <c r="J45" s="231" t="str">
        <f t="shared" ca="1" si="2"/>
        <v/>
      </c>
      <c r="K45" s="231" t="str">
        <f t="shared" ca="1" si="2"/>
        <v/>
      </c>
      <c r="L45" s="231" t="str">
        <f t="shared" ca="1" si="2"/>
        <v/>
      </c>
      <c r="M45" s="232">
        <f ca="1">COUNTIF(Teams!$4:$20,A45)</f>
        <v>17</v>
      </c>
      <c r="N45" s="233" t="e">
        <f>VLOOKUP(A45,Score!B:Z,25,0)</f>
        <v>#N/A</v>
      </c>
      <c r="O45" s="269"/>
      <c r="P45" s="269"/>
      <c r="Q45" s="269"/>
    </row>
    <row r="46" spans="1:17" s="316" customFormat="1" hidden="1">
      <c r="A46" s="312"/>
      <c r="B46" s="313" t="str">
        <f t="shared" ca="1" si="2"/>
        <v/>
      </c>
      <c r="C46" s="313" t="str">
        <f t="shared" ca="1" si="2"/>
        <v/>
      </c>
      <c r="D46" s="313" t="str">
        <f t="shared" ca="1" si="2"/>
        <v/>
      </c>
      <c r="E46" s="313" t="str">
        <f t="shared" ca="1" si="2"/>
        <v/>
      </c>
      <c r="F46" s="313" t="str">
        <f t="shared" ca="1" si="2"/>
        <v/>
      </c>
      <c r="G46" s="313" t="str">
        <f t="shared" ca="1" si="2"/>
        <v/>
      </c>
      <c r="H46" s="313" t="str">
        <f t="shared" ca="1" si="2"/>
        <v/>
      </c>
      <c r="I46" s="313" t="str">
        <f t="shared" ca="1" si="2"/>
        <v/>
      </c>
      <c r="J46" s="313" t="str">
        <f t="shared" ca="1" si="2"/>
        <v/>
      </c>
      <c r="K46" s="313" t="str">
        <f t="shared" ca="1" si="2"/>
        <v/>
      </c>
      <c r="L46" s="313" t="str">
        <f t="shared" ca="1" si="2"/>
        <v/>
      </c>
      <c r="M46" s="314">
        <f ca="1">COUNTIF(Teams!$4:$20,A46)</f>
        <v>17</v>
      </c>
      <c r="N46" s="315" t="e">
        <f>VLOOKUP(A46,Score!B:Z,25,0)</f>
        <v>#N/A</v>
      </c>
    </row>
    <row r="47" spans="1:17" s="236" customFormat="1" hidden="1">
      <c r="A47" s="230"/>
      <c r="B47" s="231" t="str">
        <f t="shared" ca="1" si="2"/>
        <v/>
      </c>
      <c r="C47" s="231" t="str">
        <f t="shared" ca="1" si="2"/>
        <v/>
      </c>
      <c r="D47" s="231" t="str">
        <f t="shared" ca="1" si="2"/>
        <v/>
      </c>
      <c r="E47" s="231" t="str">
        <f t="shared" ca="1" si="2"/>
        <v/>
      </c>
      <c r="F47" s="231" t="str">
        <f t="shared" ca="1" si="2"/>
        <v/>
      </c>
      <c r="G47" s="231" t="str">
        <f t="shared" ca="1" si="2"/>
        <v/>
      </c>
      <c r="H47" s="231" t="str">
        <f t="shared" ca="1" si="2"/>
        <v/>
      </c>
      <c r="I47" s="231" t="str">
        <f t="shared" ca="1" si="2"/>
        <v/>
      </c>
      <c r="J47" s="231" t="str">
        <f t="shared" ca="1" si="2"/>
        <v/>
      </c>
      <c r="K47" s="231" t="str">
        <f t="shared" ca="1" si="2"/>
        <v/>
      </c>
      <c r="L47" s="231" t="str">
        <f t="shared" ca="1" si="2"/>
        <v/>
      </c>
      <c r="M47" s="232">
        <f ca="1">COUNTIF(Teams!$4:$20,A47)</f>
        <v>17</v>
      </c>
      <c r="N47" s="233" t="e">
        <f>VLOOKUP(A47,Score!B:Z,25,0)</f>
        <v>#N/A</v>
      </c>
    </row>
    <row r="48" spans="1:17" s="272" customFormat="1" hidden="1">
      <c r="A48" s="230"/>
      <c r="B48" s="231" t="str">
        <f t="shared" ca="1" si="2"/>
        <v/>
      </c>
      <c r="C48" s="231" t="str">
        <f t="shared" ca="1" si="2"/>
        <v/>
      </c>
      <c r="D48" s="231" t="str">
        <f t="shared" ca="1" si="2"/>
        <v/>
      </c>
      <c r="E48" s="231" t="str">
        <f t="shared" ca="1" si="2"/>
        <v/>
      </c>
      <c r="F48" s="231" t="str">
        <f t="shared" ca="1" si="2"/>
        <v/>
      </c>
      <c r="G48" s="231" t="str">
        <f t="shared" ca="1" si="2"/>
        <v/>
      </c>
      <c r="H48" s="231" t="str">
        <f t="shared" ca="1" si="2"/>
        <v/>
      </c>
      <c r="I48" s="231" t="str">
        <f t="shared" ca="1" si="2"/>
        <v/>
      </c>
      <c r="J48" s="231" t="str">
        <f t="shared" ca="1" si="2"/>
        <v/>
      </c>
      <c r="K48" s="231" t="str">
        <f t="shared" ca="1" si="2"/>
        <v/>
      </c>
      <c r="L48" s="231" t="str">
        <f t="shared" ca="1" si="2"/>
        <v/>
      </c>
      <c r="M48" s="232">
        <f ca="1">COUNTIF(Teams!$4:$20,A48)</f>
        <v>17</v>
      </c>
      <c r="N48" s="233" t="e">
        <f>VLOOKUP(A48,Score!B:Z,25,0)</f>
        <v>#N/A</v>
      </c>
    </row>
    <row r="49" spans="1:14" s="236" customFormat="1" hidden="1">
      <c r="A49" s="230"/>
      <c r="B49" s="231" t="str">
        <f t="shared" ca="1" si="2"/>
        <v/>
      </c>
      <c r="C49" s="231" t="str">
        <f t="shared" ca="1" si="2"/>
        <v/>
      </c>
      <c r="D49" s="231" t="str">
        <f t="shared" ca="1" si="2"/>
        <v/>
      </c>
      <c r="E49" s="231" t="str">
        <f t="shared" ca="1" si="2"/>
        <v/>
      </c>
      <c r="F49" s="231" t="str">
        <f t="shared" ca="1" si="2"/>
        <v/>
      </c>
      <c r="G49" s="231" t="str">
        <f t="shared" ca="1" si="2"/>
        <v/>
      </c>
      <c r="H49" s="231" t="str">
        <f t="shared" ca="1" si="2"/>
        <v/>
      </c>
      <c r="I49" s="231" t="str">
        <f t="shared" ca="1" si="2"/>
        <v/>
      </c>
      <c r="J49" s="231" t="str">
        <f t="shared" ca="1" si="2"/>
        <v/>
      </c>
      <c r="K49" s="231" t="str">
        <f t="shared" ca="1" si="2"/>
        <v/>
      </c>
      <c r="L49" s="231" t="str">
        <f t="shared" ca="1" si="2"/>
        <v/>
      </c>
      <c r="M49" s="232">
        <f ca="1">COUNTIF(Teams!$4:$20,A49)</f>
        <v>17</v>
      </c>
      <c r="N49" s="233" t="e">
        <f>VLOOKUP(A49,Score!B:Z,25,0)</f>
        <v>#N/A</v>
      </c>
    </row>
    <row r="50" spans="1:14" s="236" customFormat="1" hidden="1">
      <c r="A50" s="230"/>
      <c r="B50" s="231" t="str">
        <f t="shared" ref="B50:L61" ca="1" si="3">IF(ISERROR(VLOOKUP($A50,INDIRECT(B$1&amp;"!"&amp;"c4:c20"),1,0)),"",$M50)</f>
        <v/>
      </c>
      <c r="C50" s="231" t="str">
        <f t="shared" ca="1" si="3"/>
        <v/>
      </c>
      <c r="D50" s="231" t="str">
        <f t="shared" ca="1" si="3"/>
        <v/>
      </c>
      <c r="E50" s="231" t="str">
        <f t="shared" ca="1" si="3"/>
        <v/>
      </c>
      <c r="F50" s="231" t="str">
        <f t="shared" ca="1" si="3"/>
        <v/>
      </c>
      <c r="G50" s="231" t="str">
        <f t="shared" ca="1" si="3"/>
        <v/>
      </c>
      <c r="H50" s="231" t="str">
        <f t="shared" ca="1" si="3"/>
        <v/>
      </c>
      <c r="I50" s="231" t="str">
        <f t="shared" ca="1" si="3"/>
        <v/>
      </c>
      <c r="J50" s="231" t="str">
        <f t="shared" ca="1" si="3"/>
        <v/>
      </c>
      <c r="K50" s="231" t="str">
        <f t="shared" ca="1" si="3"/>
        <v/>
      </c>
      <c r="L50" s="231" t="str">
        <f t="shared" ca="1" si="3"/>
        <v/>
      </c>
      <c r="M50" s="232">
        <f ca="1">COUNTIF(Teams!$4:$20,A50)</f>
        <v>17</v>
      </c>
      <c r="N50" s="233" t="e">
        <f>VLOOKUP(A50,Score!B:Z,25,0)</f>
        <v>#N/A</v>
      </c>
    </row>
    <row r="51" spans="1:14" s="236" customFormat="1" hidden="1">
      <c r="A51" s="230"/>
      <c r="B51" s="231" t="str">
        <f t="shared" ca="1" si="3"/>
        <v/>
      </c>
      <c r="C51" s="231" t="str">
        <f t="shared" ca="1" si="3"/>
        <v/>
      </c>
      <c r="D51" s="231" t="str">
        <f t="shared" ca="1" si="3"/>
        <v/>
      </c>
      <c r="E51" s="231" t="str">
        <f t="shared" ca="1" si="3"/>
        <v/>
      </c>
      <c r="F51" s="231" t="str">
        <f t="shared" ca="1" si="3"/>
        <v/>
      </c>
      <c r="G51" s="231" t="str">
        <f t="shared" ca="1" si="3"/>
        <v/>
      </c>
      <c r="H51" s="231" t="str">
        <f t="shared" ca="1" si="3"/>
        <v/>
      </c>
      <c r="I51" s="231" t="str">
        <f t="shared" ca="1" si="3"/>
        <v/>
      </c>
      <c r="J51" s="231" t="str">
        <f t="shared" ca="1" si="3"/>
        <v/>
      </c>
      <c r="K51" s="231" t="str">
        <f t="shared" ca="1" si="3"/>
        <v/>
      </c>
      <c r="L51" s="231" t="str">
        <f t="shared" ca="1" si="3"/>
        <v/>
      </c>
      <c r="M51" s="232">
        <f ca="1">COUNTIF(Teams!$4:$20,A51)</f>
        <v>17</v>
      </c>
      <c r="N51" s="233" t="e">
        <f>VLOOKUP(A51,Score!B:Z,25,0)</f>
        <v>#N/A</v>
      </c>
    </row>
    <row r="52" spans="1:14" s="236" customFormat="1" hidden="1">
      <c r="A52" s="230"/>
      <c r="B52" s="231" t="str">
        <f t="shared" ca="1" si="3"/>
        <v/>
      </c>
      <c r="C52" s="231" t="str">
        <f t="shared" ca="1" si="3"/>
        <v/>
      </c>
      <c r="D52" s="231" t="str">
        <f t="shared" ca="1" si="3"/>
        <v/>
      </c>
      <c r="E52" s="231" t="str">
        <f t="shared" ca="1" si="3"/>
        <v/>
      </c>
      <c r="F52" s="231" t="str">
        <f t="shared" ca="1" si="3"/>
        <v/>
      </c>
      <c r="G52" s="231" t="str">
        <f t="shared" ca="1" si="3"/>
        <v/>
      </c>
      <c r="H52" s="231" t="str">
        <f t="shared" ca="1" si="3"/>
        <v/>
      </c>
      <c r="I52" s="231" t="str">
        <f t="shared" ca="1" si="3"/>
        <v/>
      </c>
      <c r="J52" s="231" t="str">
        <f t="shared" ca="1" si="3"/>
        <v/>
      </c>
      <c r="K52" s="231" t="str">
        <f t="shared" ca="1" si="3"/>
        <v/>
      </c>
      <c r="L52" s="231" t="str">
        <f t="shared" ca="1" si="3"/>
        <v/>
      </c>
      <c r="M52" s="232">
        <f ca="1">COUNTIF(Teams!$4:$20,A52)</f>
        <v>17</v>
      </c>
      <c r="N52" s="233" t="e">
        <f>VLOOKUP(A52,Score!B:Z,25,0)</f>
        <v>#N/A</v>
      </c>
    </row>
    <row r="53" spans="1:14" s="236" customFormat="1" hidden="1">
      <c r="A53" s="230"/>
      <c r="B53" s="231" t="str">
        <f t="shared" ca="1" si="3"/>
        <v/>
      </c>
      <c r="C53" s="231" t="str">
        <f t="shared" ca="1" si="3"/>
        <v/>
      </c>
      <c r="D53" s="231" t="str">
        <f t="shared" ca="1" si="3"/>
        <v/>
      </c>
      <c r="E53" s="231" t="str">
        <f t="shared" ca="1" si="3"/>
        <v/>
      </c>
      <c r="F53" s="231" t="str">
        <f t="shared" ca="1" si="3"/>
        <v/>
      </c>
      <c r="G53" s="231" t="str">
        <f t="shared" ca="1" si="3"/>
        <v/>
      </c>
      <c r="H53" s="231" t="str">
        <f t="shared" ca="1" si="3"/>
        <v/>
      </c>
      <c r="I53" s="231" t="str">
        <f t="shared" ca="1" si="3"/>
        <v/>
      </c>
      <c r="J53" s="231" t="str">
        <f t="shared" ca="1" si="3"/>
        <v/>
      </c>
      <c r="K53" s="231" t="str">
        <f t="shared" ca="1" si="3"/>
        <v/>
      </c>
      <c r="L53" s="231" t="str">
        <f t="shared" ca="1" si="3"/>
        <v/>
      </c>
      <c r="M53" s="232">
        <f ca="1">COUNTIF(Teams!$4:$20,A53)</f>
        <v>17</v>
      </c>
      <c r="N53" s="233" t="e">
        <f>VLOOKUP(A53,Score!B:Z,25,0)</f>
        <v>#N/A</v>
      </c>
    </row>
    <row r="54" spans="1:14" s="236" customFormat="1" hidden="1">
      <c r="A54" s="230"/>
      <c r="B54" s="231" t="str">
        <f t="shared" ca="1" si="3"/>
        <v/>
      </c>
      <c r="C54" s="231" t="str">
        <f t="shared" ca="1" si="3"/>
        <v/>
      </c>
      <c r="D54" s="231" t="str">
        <f t="shared" ca="1" si="3"/>
        <v/>
      </c>
      <c r="E54" s="231" t="str">
        <f t="shared" ca="1" si="3"/>
        <v/>
      </c>
      <c r="F54" s="231" t="str">
        <f t="shared" ca="1" si="3"/>
        <v/>
      </c>
      <c r="G54" s="231" t="str">
        <f t="shared" ca="1" si="3"/>
        <v/>
      </c>
      <c r="H54" s="231" t="str">
        <f t="shared" ca="1" si="3"/>
        <v/>
      </c>
      <c r="I54" s="231" t="str">
        <f t="shared" ca="1" si="3"/>
        <v/>
      </c>
      <c r="J54" s="231" t="str">
        <f t="shared" ca="1" si="3"/>
        <v/>
      </c>
      <c r="K54" s="231" t="str">
        <f t="shared" ca="1" si="3"/>
        <v/>
      </c>
      <c r="L54" s="231" t="str">
        <f t="shared" ca="1" si="3"/>
        <v/>
      </c>
      <c r="M54" s="232">
        <f ca="1">COUNTIF(Teams!$4:$20,A54)</f>
        <v>17</v>
      </c>
      <c r="N54" s="233" t="e">
        <f>VLOOKUP(A54,Score!B:Z,25,0)</f>
        <v>#N/A</v>
      </c>
    </row>
    <row r="55" spans="1:14" s="236" customFormat="1" hidden="1">
      <c r="A55" s="230"/>
      <c r="B55" s="231" t="str">
        <f t="shared" ca="1" si="3"/>
        <v/>
      </c>
      <c r="C55" s="231" t="str">
        <f t="shared" ca="1" si="3"/>
        <v/>
      </c>
      <c r="D55" s="231" t="str">
        <f t="shared" ca="1" si="3"/>
        <v/>
      </c>
      <c r="E55" s="231" t="str">
        <f t="shared" ca="1" si="3"/>
        <v/>
      </c>
      <c r="F55" s="231" t="str">
        <f t="shared" ca="1" si="3"/>
        <v/>
      </c>
      <c r="G55" s="231" t="str">
        <f t="shared" ca="1" si="3"/>
        <v/>
      </c>
      <c r="H55" s="231" t="str">
        <f t="shared" ca="1" si="3"/>
        <v/>
      </c>
      <c r="I55" s="231" t="str">
        <f t="shared" ca="1" si="3"/>
        <v/>
      </c>
      <c r="J55" s="231" t="str">
        <f t="shared" ca="1" si="3"/>
        <v/>
      </c>
      <c r="K55" s="231" t="str">
        <f t="shared" ca="1" si="3"/>
        <v/>
      </c>
      <c r="L55" s="231" t="str">
        <f t="shared" ca="1" si="3"/>
        <v/>
      </c>
      <c r="M55" s="232">
        <f ca="1">COUNTIF(Teams!$4:$20,A55)</f>
        <v>17</v>
      </c>
      <c r="N55" s="233" t="e">
        <f>VLOOKUP(A55,Score!B:Z,25,0)</f>
        <v>#N/A</v>
      </c>
    </row>
    <row r="56" spans="1:14" s="236" customFormat="1" hidden="1">
      <c r="A56" s="230"/>
      <c r="B56" s="231" t="str">
        <f t="shared" ca="1" si="3"/>
        <v/>
      </c>
      <c r="C56" s="231" t="str">
        <f t="shared" ca="1" si="3"/>
        <v/>
      </c>
      <c r="D56" s="231" t="str">
        <f t="shared" ca="1" si="3"/>
        <v/>
      </c>
      <c r="E56" s="231" t="str">
        <f t="shared" ca="1" si="3"/>
        <v/>
      </c>
      <c r="F56" s="231" t="str">
        <f t="shared" ca="1" si="3"/>
        <v/>
      </c>
      <c r="G56" s="231" t="str">
        <f t="shared" ca="1" si="3"/>
        <v/>
      </c>
      <c r="H56" s="231" t="str">
        <f t="shared" ca="1" si="3"/>
        <v/>
      </c>
      <c r="I56" s="231" t="str">
        <f t="shared" ca="1" si="3"/>
        <v/>
      </c>
      <c r="J56" s="231" t="str">
        <f t="shared" ca="1" si="3"/>
        <v/>
      </c>
      <c r="K56" s="231" t="str">
        <f t="shared" ca="1" si="3"/>
        <v/>
      </c>
      <c r="L56" s="231" t="str">
        <f t="shared" ca="1" si="3"/>
        <v/>
      </c>
      <c r="M56" s="232">
        <f ca="1">COUNTIF(Teams!$4:$20,A56)</f>
        <v>17</v>
      </c>
      <c r="N56" s="233" t="e">
        <f>VLOOKUP(A56,Score!B:Z,25,0)</f>
        <v>#N/A</v>
      </c>
    </row>
    <row r="57" spans="1:14" s="236" customFormat="1" hidden="1">
      <c r="A57" s="230"/>
      <c r="B57" s="231" t="str">
        <f t="shared" ca="1" si="3"/>
        <v/>
      </c>
      <c r="C57" s="231" t="str">
        <f t="shared" ca="1" si="3"/>
        <v/>
      </c>
      <c r="D57" s="231" t="str">
        <f t="shared" ca="1" si="3"/>
        <v/>
      </c>
      <c r="E57" s="231" t="str">
        <f t="shared" ca="1" si="3"/>
        <v/>
      </c>
      <c r="F57" s="231" t="str">
        <f t="shared" ca="1" si="3"/>
        <v/>
      </c>
      <c r="G57" s="231" t="str">
        <f t="shared" ca="1" si="3"/>
        <v/>
      </c>
      <c r="H57" s="231" t="str">
        <f t="shared" ca="1" si="3"/>
        <v/>
      </c>
      <c r="I57" s="231" t="str">
        <f t="shared" ca="1" si="3"/>
        <v/>
      </c>
      <c r="J57" s="231" t="str">
        <f t="shared" ca="1" si="3"/>
        <v/>
      </c>
      <c r="K57" s="231" t="str">
        <f t="shared" ca="1" si="3"/>
        <v/>
      </c>
      <c r="L57" s="231" t="str">
        <f t="shared" ca="1" si="3"/>
        <v/>
      </c>
      <c r="M57" s="232">
        <f ca="1">COUNTIF(Teams!$4:$20,A57)</f>
        <v>17</v>
      </c>
      <c r="N57" s="233" t="e">
        <f>VLOOKUP(A57,Score!B:Z,25,0)</f>
        <v>#N/A</v>
      </c>
    </row>
    <row r="58" spans="1:14" s="236" customFormat="1" hidden="1">
      <c r="A58" s="230"/>
      <c r="B58" s="231" t="str">
        <f t="shared" ca="1" si="3"/>
        <v/>
      </c>
      <c r="C58" s="231" t="str">
        <f t="shared" ca="1" si="3"/>
        <v/>
      </c>
      <c r="D58" s="231" t="str">
        <f t="shared" ca="1" si="3"/>
        <v/>
      </c>
      <c r="E58" s="231" t="str">
        <f t="shared" ca="1" si="3"/>
        <v/>
      </c>
      <c r="F58" s="231" t="str">
        <f t="shared" ca="1" si="3"/>
        <v/>
      </c>
      <c r="G58" s="231" t="str">
        <f t="shared" ca="1" si="3"/>
        <v/>
      </c>
      <c r="H58" s="231" t="str">
        <f t="shared" ca="1" si="3"/>
        <v/>
      </c>
      <c r="I58" s="231" t="str">
        <f t="shared" ca="1" si="3"/>
        <v/>
      </c>
      <c r="J58" s="231" t="str">
        <f t="shared" ca="1" si="3"/>
        <v/>
      </c>
      <c r="K58" s="231" t="str">
        <f t="shared" ca="1" si="3"/>
        <v/>
      </c>
      <c r="L58" s="231" t="str">
        <f t="shared" ca="1" si="3"/>
        <v/>
      </c>
      <c r="M58" s="232">
        <f ca="1">COUNTIF(Teams!$4:$20,A58)</f>
        <v>17</v>
      </c>
      <c r="N58" s="233" t="e">
        <f>VLOOKUP(A58,Score!B:Z,25,0)</f>
        <v>#N/A</v>
      </c>
    </row>
    <row r="59" spans="1:14" hidden="1">
      <c r="A59" s="230"/>
      <c r="B59" s="231" t="str">
        <f t="shared" ca="1" si="3"/>
        <v/>
      </c>
      <c r="C59" s="231" t="str">
        <f t="shared" ca="1" si="3"/>
        <v/>
      </c>
      <c r="D59" s="231" t="str">
        <f t="shared" ca="1" si="3"/>
        <v/>
      </c>
      <c r="E59" s="231" t="str">
        <f t="shared" ca="1" si="3"/>
        <v/>
      </c>
      <c r="F59" s="231" t="str">
        <f t="shared" ca="1" si="3"/>
        <v/>
      </c>
      <c r="G59" s="231" t="str">
        <f t="shared" ca="1" si="3"/>
        <v/>
      </c>
      <c r="H59" s="231" t="str">
        <f t="shared" ca="1" si="3"/>
        <v/>
      </c>
      <c r="I59" s="231" t="str">
        <f t="shared" ca="1" si="3"/>
        <v/>
      </c>
      <c r="J59" s="231" t="str">
        <f t="shared" ca="1" si="3"/>
        <v/>
      </c>
      <c r="K59" s="231" t="str">
        <f t="shared" ca="1" si="3"/>
        <v/>
      </c>
      <c r="L59" s="231" t="str">
        <f t="shared" ca="1" si="3"/>
        <v/>
      </c>
      <c r="M59" s="232">
        <f ca="1">COUNTIF(Teams!$4:$20,A59)</f>
        <v>17</v>
      </c>
      <c r="N59" s="233" t="e">
        <f>VLOOKUP(A59,Score!B:Z,25,0)</f>
        <v>#N/A</v>
      </c>
    </row>
    <row r="60" spans="1:14" hidden="1">
      <c r="A60" s="230"/>
      <c r="B60" s="231" t="str">
        <f t="shared" ca="1" si="3"/>
        <v/>
      </c>
      <c r="C60" s="231" t="str">
        <f t="shared" ca="1" si="3"/>
        <v/>
      </c>
      <c r="D60" s="231" t="str">
        <f t="shared" ca="1" si="3"/>
        <v/>
      </c>
      <c r="E60" s="231" t="str">
        <f t="shared" ca="1" si="3"/>
        <v/>
      </c>
      <c r="F60" s="231" t="str">
        <f t="shared" ca="1" si="3"/>
        <v/>
      </c>
      <c r="G60" s="231" t="str">
        <f t="shared" ca="1" si="3"/>
        <v/>
      </c>
      <c r="H60" s="231" t="str">
        <f t="shared" ca="1" si="3"/>
        <v/>
      </c>
      <c r="I60" s="231" t="str">
        <f t="shared" ca="1" si="3"/>
        <v/>
      </c>
      <c r="J60" s="231" t="str">
        <f t="shared" ca="1" si="3"/>
        <v/>
      </c>
      <c r="K60" s="231" t="str">
        <f t="shared" ca="1" si="3"/>
        <v/>
      </c>
      <c r="L60" s="231" t="str">
        <f t="shared" ca="1" si="3"/>
        <v/>
      </c>
      <c r="M60" s="232">
        <f ca="1">COUNTIF(Teams!$4:$20,A60)</f>
        <v>17</v>
      </c>
      <c r="N60" s="233" t="e">
        <f>VLOOKUP(A60,Score!B:Z,25,0)</f>
        <v>#N/A</v>
      </c>
    </row>
    <row r="61" spans="1:14" hidden="1">
      <c r="A61" s="230"/>
      <c r="B61" s="231" t="str">
        <f t="shared" ca="1" si="3"/>
        <v/>
      </c>
      <c r="C61" s="231" t="str">
        <f t="shared" ca="1" si="3"/>
        <v/>
      </c>
      <c r="D61" s="231" t="str">
        <f t="shared" ca="1" si="3"/>
        <v/>
      </c>
      <c r="E61" s="231" t="str">
        <f t="shared" ca="1" si="3"/>
        <v/>
      </c>
      <c r="F61" s="231" t="str">
        <f t="shared" ca="1" si="3"/>
        <v/>
      </c>
      <c r="G61" s="231" t="str">
        <f t="shared" ca="1" si="3"/>
        <v/>
      </c>
      <c r="H61" s="231" t="str">
        <f t="shared" ca="1" si="3"/>
        <v/>
      </c>
      <c r="I61" s="231" t="str">
        <f t="shared" ca="1" si="3"/>
        <v/>
      </c>
      <c r="J61" s="231" t="str">
        <f t="shared" ca="1" si="3"/>
        <v/>
      </c>
      <c r="K61" s="231" t="str">
        <f t="shared" ca="1" si="3"/>
        <v/>
      </c>
      <c r="L61" s="231" t="str">
        <f t="shared" ca="1" si="3"/>
        <v/>
      </c>
      <c r="M61" s="232">
        <f ca="1">COUNTIF(Teams!$4:$20,A61)</f>
        <v>17</v>
      </c>
      <c r="N61" s="233" t="e">
        <f>VLOOKUP(A61,Score!B:Z,25,0)</f>
        <v>#N/A</v>
      </c>
    </row>
    <row r="62" spans="1:14" ht="13.5" thickBot="1">
      <c r="A62" s="342"/>
      <c r="B62" s="343" t="str">
        <f t="shared" ref="B62:L62" ca="1" si="4">IF(B68&lt;&gt;17,"Onvolledig","")</f>
        <v/>
      </c>
      <c r="C62" s="343" t="str">
        <f t="shared" ca="1" si="4"/>
        <v/>
      </c>
      <c r="D62" s="343" t="str">
        <f t="shared" ca="1" si="4"/>
        <v/>
      </c>
      <c r="E62" s="343" t="str">
        <f t="shared" ca="1" si="4"/>
        <v/>
      </c>
      <c r="F62" s="343" t="str">
        <f t="shared" ca="1" si="4"/>
        <v/>
      </c>
      <c r="G62" s="343" t="str">
        <f ca="1">IF(G68&lt;&gt;17,"Onvolledig","")</f>
        <v/>
      </c>
      <c r="H62" s="343" t="str">
        <f ca="1">IF(H68&lt;&gt;17,"Onvolledig","")</f>
        <v>Onvolledig</v>
      </c>
      <c r="I62" s="343" t="str">
        <f t="shared" ca="1" si="4"/>
        <v/>
      </c>
      <c r="J62" s="343" t="str">
        <f t="shared" ca="1" si="4"/>
        <v/>
      </c>
      <c r="K62" s="343" t="str">
        <f t="shared" ca="1" si="4"/>
        <v/>
      </c>
      <c r="L62" s="343" t="str">
        <f t="shared" ca="1" si="4"/>
        <v/>
      </c>
      <c r="M62" s="344"/>
      <c r="N62" s="342"/>
    </row>
    <row r="63" spans="1:14">
      <c r="A63" s="229" t="s">
        <v>3</v>
      </c>
      <c r="B63" s="248">
        <f t="shared" ref="B63:L63" ca="1" si="5">SUM(B1:B61)</f>
        <v>141</v>
      </c>
      <c r="C63" s="248">
        <f t="shared" ca="1" si="5"/>
        <v>136</v>
      </c>
      <c r="D63" s="248">
        <f t="shared" ca="1" si="5"/>
        <v>137</v>
      </c>
      <c r="E63" s="248">
        <f t="shared" ca="1" si="5"/>
        <v>135</v>
      </c>
      <c r="F63" s="248">
        <f t="shared" ca="1" si="5"/>
        <v>134</v>
      </c>
      <c r="G63" s="248">
        <f ca="1">SUM(G1:G61)</f>
        <v>132</v>
      </c>
      <c r="H63" s="248">
        <f ca="1">SUM(H1:H61)</f>
        <v>124</v>
      </c>
      <c r="I63" s="248">
        <f t="shared" ca="1" si="5"/>
        <v>131</v>
      </c>
      <c r="J63" s="248">
        <f t="shared" ref="J63" ca="1" si="6">SUM(J1:J61)</f>
        <v>131</v>
      </c>
      <c r="K63" s="248">
        <f t="shared" ca="1" si="5"/>
        <v>130</v>
      </c>
      <c r="L63" s="248">
        <f t="shared" ca="1" si="5"/>
        <v>119</v>
      </c>
    </row>
    <row r="64" spans="1:14" s="308" customFormat="1">
      <c r="A64" s="308" t="s">
        <v>3</v>
      </c>
      <c r="B64" s="309">
        <f t="shared" ref="B64:L64" ca="1" si="7">B63/SUM($B63:$L63)</f>
        <v>9.7241379310344822E-2</v>
      </c>
      <c r="C64" s="309">
        <f t="shared" ca="1" si="7"/>
        <v>9.3793103448275864E-2</v>
      </c>
      <c r="D64" s="309">
        <f t="shared" ca="1" si="7"/>
        <v>9.4482758620689652E-2</v>
      </c>
      <c r="E64" s="309">
        <f t="shared" ca="1" si="7"/>
        <v>9.3103448275862075E-2</v>
      </c>
      <c r="F64" s="309">
        <f t="shared" ca="1" si="7"/>
        <v>9.2413793103448272E-2</v>
      </c>
      <c r="G64" s="309">
        <f t="shared" ca="1" si="7"/>
        <v>9.1034482758620694E-2</v>
      </c>
      <c r="H64" s="309">
        <f t="shared" ca="1" si="7"/>
        <v>8.5517241379310341E-2</v>
      </c>
      <c r="I64" s="309">
        <f t="shared" ca="1" si="7"/>
        <v>9.0344827586206891E-2</v>
      </c>
      <c r="J64" s="309">
        <f t="shared" ca="1" si="7"/>
        <v>9.0344827586206891E-2</v>
      </c>
      <c r="K64" s="309">
        <f t="shared" ca="1" si="7"/>
        <v>8.9655172413793102E-2</v>
      </c>
      <c r="L64" s="309">
        <f t="shared" ca="1" si="7"/>
        <v>8.2068965517241382E-2</v>
      </c>
      <c r="M64" s="310"/>
    </row>
    <row r="65" spans="1:12">
      <c r="A65" s="229" t="s">
        <v>3</v>
      </c>
      <c r="B65" s="249">
        <f t="shared" ref="B65:L65" ca="1" si="8">1/(B64*aantal_deelnemers)</f>
        <v>0.9348807221147647</v>
      </c>
      <c r="C65" s="249">
        <f t="shared" ca="1" si="8"/>
        <v>0.96925133689839571</v>
      </c>
      <c r="D65" s="249">
        <f t="shared" ca="1" si="8"/>
        <v>0.96217650962176504</v>
      </c>
      <c r="E65" s="249">
        <f t="shared" ca="1" si="8"/>
        <v>0.97643097643097632</v>
      </c>
      <c r="F65" s="249">
        <f t="shared" ca="1" si="8"/>
        <v>0.98371777476255096</v>
      </c>
      <c r="G65" s="249">
        <f ca="1">1/(G64*aantal_deelnemers)</f>
        <v>0.99862258953168037</v>
      </c>
      <c r="H65" s="249">
        <f ca="1">1/(H64*aantal_deelnemers)</f>
        <v>1.063049853372434</v>
      </c>
      <c r="I65" s="249">
        <f t="shared" ca="1" si="8"/>
        <v>1.0062456627342125</v>
      </c>
      <c r="J65" s="249">
        <f t="shared" ca="1" si="8"/>
        <v>1.0062456627342125</v>
      </c>
      <c r="K65" s="249">
        <f t="shared" ca="1" si="8"/>
        <v>1.013986013986014</v>
      </c>
      <c r="L65" s="249">
        <f t="shared" ca="1" si="8"/>
        <v>1.1077158135981666</v>
      </c>
    </row>
    <row r="66" spans="1:12">
      <c r="A66" s="270" t="s">
        <v>9</v>
      </c>
      <c r="B66" s="271">
        <f>aantal_deelnemers</f>
        <v>11</v>
      </c>
      <c r="C66" s="250"/>
      <c r="D66" s="125"/>
      <c r="E66" s="125"/>
      <c r="F66" s="125"/>
      <c r="G66" s="125"/>
      <c r="H66" s="125"/>
      <c r="I66" s="229"/>
      <c r="L66" s="125"/>
    </row>
    <row r="67" spans="1:12">
      <c r="A67" s="236"/>
      <c r="B67" s="125"/>
      <c r="C67" s="125"/>
      <c r="D67" s="125"/>
      <c r="E67" s="125"/>
      <c r="F67" s="125"/>
      <c r="G67" s="125"/>
      <c r="H67" s="125"/>
      <c r="I67" s="125"/>
      <c r="J67" s="125"/>
      <c r="K67" s="125"/>
      <c r="L67" s="125"/>
    </row>
    <row r="68" spans="1:12">
      <c r="A68" s="236"/>
      <c r="B68" s="251">
        <f t="shared" ref="B68:L68" ca="1" si="9">COUNT(B2:B61)</f>
        <v>17</v>
      </c>
      <c r="C68" s="251">
        <f t="shared" ca="1" si="9"/>
        <v>17</v>
      </c>
      <c r="D68" s="251">
        <f t="shared" ca="1" si="9"/>
        <v>17</v>
      </c>
      <c r="E68" s="251">
        <f t="shared" ca="1" si="9"/>
        <v>17</v>
      </c>
      <c r="F68" s="251">
        <f t="shared" ca="1" si="9"/>
        <v>17</v>
      </c>
      <c r="G68" s="251">
        <f ca="1">COUNT(G2:G61)</f>
        <v>17</v>
      </c>
      <c r="H68" s="251">
        <f ca="1">COUNT(H2:H61)</f>
        <v>16</v>
      </c>
      <c r="I68" s="251">
        <f t="shared" ca="1" si="9"/>
        <v>17</v>
      </c>
      <c r="J68" s="251">
        <f t="shared" ca="1" si="9"/>
        <v>17</v>
      </c>
      <c r="K68" s="251">
        <f t="shared" ca="1" si="9"/>
        <v>17</v>
      </c>
      <c r="L68" s="251">
        <f t="shared" ca="1" si="9"/>
        <v>17</v>
      </c>
    </row>
    <row r="69" spans="1:12">
      <c r="A69" s="236"/>
      <c r="B69" s="125"/>
      <c r="C69" s="125"/>
      <c r="D69" s="125"/>
      <c r="E69" s="125"/>
      <c r="F69" s="125"/>
      <c r="G69" s="125"/>
      <c r="H69" s="125"/>
      <c r="I69" s="125"/>
      <c r="J69" s="125"/>
      <c r="K69" s="125"/>
      <c r="L69" s="125"/>
    </row>
    <row r="70" spans="1:12">
      <c r="A70" s="236"/>
      <c r="B70" s="123"/>
      <c r="C70" s="123"/>
      <c r="D70" s="123"/>
      <c r="E70" s="123"/>
      <c r="F70" s="123"/>
      <c r="G70" s="123"/>
      <c r="H70" s="123"/>
      <c r="I70" s="123"/>
      <c r="J70" s="123"/>
      <c r="K70" s="123"/>
      <c r="L70" s="123"/>
    </row>
    <row r="71" spans="1:12">
      <c r="A71" s="236"/>
      <c r="B71" s="125"/>
      <c r="C71" s="125"/>
      <c r="D71" s="125"/>
      <c r="E71" s="125"/>
      <c r="F71" s="125"/>
      <c r="G71" s="125"/>
      <c r="H71" s="125"/>
      <c r="I71" s="125"/>
      <c r="J71" s="125"/>
      <c r="K71" s="125"/>
      <c r="L71" s="125"/>
    </row>
    <row r="72" spans="1:12">
      <c r="A72" s="236"/>
      <c r="B72" s="125"/>
      <c r="C72" s="125"/>
      <c r="D72" s="125"/>
      <c r="E72" s="125"/>
      <c r="F72" s="125"/>
      <c r="G72" s="125"/>
      <c r="H72" s="125"/>
      <c r="I72" s="125"/>
      <c r="J72" s="125"/>
      <c r="K72" s="125"/>
      <c r="L72" s="125"/>
    </row>
    <row r="73" spans="1:12">
      <c r="A73" s="236"/>
      <c r="B73" s="125"/>
      <c r="C73" s="125"/>
      <c r="D73" s="125"/>
      <c r="E73" s="125"/>
      <c r="F73" s="125"/>
      <c r="G73" s="125"/>
      <c r="H73" s="125"/>
      <c r="I73" s="125"/>
      <c r="J73" s="125"/>
      <c r="K73" s="125"/>
      <c r="L73" s="125"/>
    </row>
    <row r="74" spans="1:12">
      <c r="A74" s="236" t="s">
        <v>126</v>
      </c>
      <c r="B74" s="125"/>
      <c r="C74" s="125"/>
      <c r="D74" s="125"/>
      <c r="E74" s="125"/>
      <c r="F74" s="125"/>
      <c r="G74" s="125"/>
      <c r="H74" s="125"/>
      <c r="I74" s="125"/>
      <c r="J74" s="125"/>
      <c r="K74" s="125"/>
      <c r="L74" s="125"/>
    </row>
    <row r="75" spans="1:12">
      <c r="A75" s="236" t="s">
        <v>202</v>
      </c>
      <c r="B75" s="125"/>
      <c r="C75" s="125"/>
      <c r="D75" s="125"/>
      <c r="E75" s="125"/>
      <c r="F75" s="125"/>
      <c r="G75" s="125"/>
      <c r="H75" s="125"/>
      <c r="I75" s="125"/>
      <c r="J75" s="125"/>
      <c r="K75" s="125"/>
      <c r="L75" s="125"/>
    </row>
    <row r="76" spans="1:12">
      <c r="A76" s="236" t="s">
        <v>236</v>
      </c>
      <c r="B76" s="125"/>
      <c r="C76" s="125"/>
      <c r="D76" s="125"/>
      <c r="E76" s="125"/>
      <c r="F76" s="125"/>
      <c r="G76" s="125"/>
      <c r="H76" s="125"/>
      <c r="I76" s="125"/>
      <c r="J76" s="125"/>
      <c r="K76" s="125"/>
      <c r="L76" s="125"/>
    </row>
    <row r="77" spans="1:12">
      <c r="A77" s="236" t="s">
        <v>84</v>
      </c>
      <c r="B77" s="125"/>
      <c r="C77" s="125"/>
      <c r="D77" s="125"/>
      <c r="E77" s="125"/>
      <c r="F77" s="125"/>
      <c r="G77" s="125"/>
      <c r="H77" s="125"/>
      <c r="I77" s="125"/>
      <c r="J77" s="125"/>
      <c r="K77" s="125"/>
      <c r="L77" s="125"/>
    </row>
    <row r="78" spans="1:12">
      <c r="A78" s="236" t="s">
        <v>162</v>
      </c>
      <c r="B78" s="125"/>
      <c r="C78" s="125"/>
      <c r="D78" s="125"/>
      <c r="E78" s="125"/>
      <c r="F78" s="125"/>
      <c r="G78" s="125"/>
      <c r="H78" s="125"/>
      <c r="I78" s="125"/>
      <c r="J78" s="125"/>
      <c r="K78" s="125"/>
      <c r="L78" s="125"/>
    </row>
    <row r="79" spans="1:12">
      <c r="A79" s="236" t="s">
        <v>237</v>
      </c>
      <c r="B79" s="125"/>
      <c r="C79" s="125"/>
      <c r="D79" s="125"/>
      <c r="E79" s="125"/>
      <c r="F79" s="125"/>
      <c r="G79" s="125"/>
      <c r="H79" s="125"/>
      <c r="I79" s="125"/>
      <c r="J79" s="125"/>
      <c r="K79" s="125"/>
      <c r="L79" s="125"/>
    </row>
    <row r="80" spans="1:12">
      <c r="A80" s="236" t="s">
        <v>238</v>
      </c>
      <c r="B80" s="125"/>
      <c r="C80" s="125"/>
      <c r="D80" s="125"/>
      <c r="E80" s="125"/>
      <c r="F80" s="125"/>
      <c r="G80" s="125"/>
      <c r="H80" s="125"/>
      <c r="I80" s="125"/>
      <c r="J80" s="125"/>
      <c r="K80" s="125"/>
      <c r="L80" s="125"/>
    </row>
    <row r="81" spans="1:12">
      <c r="A81" s="236" t="s">
        <v>82</v>
      </c>
      <c r="B81" s="125"/>
      <c r="C81" s="125"/>
      <c r="D81" s="125"/>
      <c r="E81" s="125"/>
      <c r="F81" s="125"/>
      <c r="G81" s="125"/>
      <c r="H81" s="125"/>
      <c r="I81" s="125"/>
      <c r="J81" s="125"/>
      <c r="K81" s="125"/>
      <c r="L81" s="125"/>
    </row>
    <row r="82" spans="1:12">
      <c r="A82" s="236" t="s">
        <v>83</v>
      </c>
      <c r="B82" s="125"/>
      <c r="C82" s="125"/>
      <c r="D82" s="125"/>
      <c r="E82" s="125"/>
      <c r="F82" s="125"/>
      <c r="G82" s="125"/>
      <c r="H82" s="125"/>
      <c r="I82" s="125"/>
      <c r="J82" s="125"/>
      <c r="K82" s="125"/>
      <c r="L82" s="125"/>
    </row>
    <row r="83" spans="1:12">
      <c r="A83" s="236" t="s">
        <v>185</v>
      </c>
      <c r="B83" s="125"/>
      <c r="C83" s="125"/>
      <c r="D83" s="125"/>
      <c r="E83" s="125"/>
      <c r="F83" s="125"/>
      <c r="G83" s="125"/>
      <c r="H83" s="125"/>
      <c r="I83" s="125"/>
      <c r="J83" s="125"/>
      <c r="K83" s="125"/>
      <c r="L83" s="125"/>
    </row>
    <row r="84" spans="1:12">
      <c r="A84" s="236"/>
      <c r="B84" s="125"/>
      <c r="C84" s="125"/>
      <c r="D84" s="125"/>
      <c r="E84" s="125"/>
      <c r="F84" s="125"/>
      <c r="G84" s="125"/>
      <c r="H84" s="125"/>
      <c r="I84" s="125"/>
      <c r="J84" s="125"/>
      <c r="K84" s="125"/>
      <c r="L84" s="125"/>
    </row>
    <row r="85" spans="1:12">
      <c r="A85" s="236"/>
      <c r="B85" s="125"/>
      <c r="C85" s="125"/>
      <c r="D85" s="125"/>
      <c r="E85" s="125"/>
      <c r="F85" s="125"/>
      <c r="G85" s="125"/>
      <c r="H85" s="125"/>
      <c r="I85" s="125"/>
      <c r="J85" s="125"/>
      <c r="K85" s="125"/>
      <c r="L85" s="125"/>
    </row>
    <row r="86" spans="1:12">
      <c r="A86" s="236"/>
      <c r="B86" s="125"/>
      <c r="C86" s="125"/>
      <c r="D86" s="125"/>
      <c r="E86" s="125"/>
      <c r="F86" s="125"/>
      <c r="G86" s="125"/>
      <c r="H86" s="125"/>
      <c r="I86" s="125"/>
      <c r="J86" s="125"/>
      <c r="K86" s="125"/>
      <c r="L86" s="125"/>
    </row>
    <row r="87" spans="1:12">
      <c r="A87" s="236"/>
      <c r="B87" s="125"/>
      <c r="C87" s="125"/>
      <c r="D87" s="125"/>
      <c r="E87" s="125"/>
      <c r="F87" s="125"/>
      <c r="G87" s="125"/>
      <c r="H87" s="125"/>
      <c r="I87" s="125"/>
      <c r="J87" s="125"/>
      <c r="K87" s="125"/>
      <c r="L87" s="125"/>
    </row>
    <row r="88" spans="1:12">
      <c r="A88" s="236"/>
      <c r="B88" s="125"/>
      <c r="C88" s="125"/>
      <c r="D88" s="125"/>
      <c r="E88" s="125"/>
      <c r="F88" s="125"/>
      <c r="G88" s="125"/>
      <c r="H88" s="125"/>
      <c r="I88" s="125"/>
      <c r="J88" s="125"/>
      <c r="K88" s="125"/>
      <c r="L88" s="125"/>
    </row>
    <row r="89" spans="1:12">
      <c r="A89" s="236"/>
      <c r="B89" s="125"/>
      <c r="C89" s="125"/>
      <c r="D89" s="125"/>
      <c r="E89" s="125"/>
      <c r="F89" s="125"/>
      <c r="G89" s="125"/>
      <c r="H89" s="125"/>
      <c r="I89" s="125"/>
      <c r="J89" s="125"/>
      <c r="K89" s="125"/>
      <c r="L89" s="125"/>
    </row>
    <row r="90" spans="1:12">
      <c r="A90" s="236"/>
      <c r="B90" s="125"/>
      <c r="C90" s="125"/>
      <c r="D90" s="125"/>
      <c r="E90" s="125"/>
      <c r="F90" s="125"/>
      <c r="G90" s="125"/>
      <c r="H90" s="125"/>
      <c r="I90" s="125"/>
      <c r="J90" s="125"/>
      <c r="K90" s="125"/>
      <c r="L90" s="125"/>
    </row>
    <row r="91" spans="1:12">
      <c r="A91" s="236"/>
      <c r="B91" s="125"/>
      <c r="C91" s="125"/>
      <c r="D91" s="125"/>
      <c r="E91" s="125"/>
      <c r="F91" s="125"/>
      <c r="G91" s="125"/>
      <c r="H91" s="125"/>
      <c r="I91" s="125"/>
      <c r="J91" s="125"/>
      <c r="K91" s="125"/>
      <c r="L91" s="125"/>
    </row>
    <row r="92" spans="1:12">
      <c r="A92" s="236"/>
      <c r="B92" s="125"/>
      <c r="C92" s="125"/>
      <c r="D92" s="125"/>
      <c r="E92" s="125"/>
      <c r="F92" s="125"/>
      <c r="G92" s="125"/>
      <c r="H92" s="125"/>
      <c r="I92" s="125"/>
      <c r="J92" s="125"/>
      <c r="K92" s="125"/>
      <c r="L92" s="125"/>
    </row>
    <row r="93" spans="1:12">
      <c r="A93" s="236"/>
      <c r="B93" s="125"/>
      <c r="C93" s="125"/>
      <c r="D93" s="125"/>
      <c r="E93" s="125"/>
      <c r="F93" s="125"/>
      <c r="G93" s="125"/>
      <c r="H93" s="125"/>
      <c r="I93" s="125"/>
      <c r="J93" s="125"/>
      <c r="K93" s="125"/>
      <c r="L93" s="125"/>
    </row>
    <row r="94" spans="1:12">
      <c r="A94" s="236"/>
      <c r="B94" s="125"/>
      <c r="C94" s="125"/>
      <c r="D94" s="125"/>
      <c r="E94" s="125"/>
      <c r="F94" s="125"/>
      <c r="G94" s="125"/>
      <c r="H94" s="125"/>
      <c r="I94" s="125"/>
      <c r="J94" s="125"/>
      <c r="K94" s="125"/>
      <c r="L94" s="125"/>
    </row>
    <row r="95" spans="1:12">
      <c r="A95" s="236"/>
      <c r="B95" s="125"/>
      <c r="C95" s="125"/>
      <c r="D95" s="125"/>
      <c r="E95" s="125"/>
      <c r="F95" s="125"/>
      <c r="G95" s="125"/>
      <c r="H95" s="125"/>
      <c r="I95" s="125"/>
      <c r="J95" s="125"/>
      <c r="K95" s="125"/>
      <c r="L95" s="125"/>
    </row>
    <row r="96" spans="1:12">
      <c r="A96" s="236"/>
      <c r="B96" s="125"/>
      <c r="C96" s="125"/>
      <c r="D96" s="125"/>
      <c r="E96" s="125"/>
      <c r="F96" s="125"/>
      <c r="G96" s="125"/>
      <c r="H96" s="125"/>
      <c r="I96" s="125"/>
      <c r="J96" s="125"/>
      <c r="K96" s="125"/>
      <c r="L96" s="125"/>
    </row>
    <row r="97" spans="1:12">
      <c r="A97" s="236"/>
      <c r="B97" s="125"/>
      <c r="C97" s="125"/>
      <c r="D97" s="125"/>
      <c r="E97" s="125"/>
      <c r="F97" s="125"/>
      <c r="G97" s="125"/>
      <c r="H97" s="125"/>
      <c r="I97" s="125"/>
      <c r="J97" s="125"/>
      <c r="K97" s="125"/>
      <c r="L97" s="125"/>
    </row>
    <row r="98" spans="1:12">
      <c r="A98" s="236"/>
      <c r="B98" s="125"/>
      <c r="C98" s="125"/>
      <c r="D98" s="125"/>
      <c r="E98" s="125"/>
      <c r="F98" s="125"/>
      <c r="G98" s="125"/>
      <c r="H98" s="125"/>
      <c r="I98" s="125"/>
      <c r="J98" s="125"/>
      <c r="K98" s="125"/>
      <c r="L98" s="125"/>
    </row>
    <row r="99" spans="1:12">
      <c r="A99" s="236"/>
      <c r="B99" s="125"/>
      <c r="C99" s="125"/>
      <c r="D99" s="125"/>
      <c r="E99" s="125"/>
      <c r="F99" s="125"/>
      <c r="G99" s="125"/>
      <c r="H99" s="125"/>
      <c r="I99" s="125"/>
      <c r="J99" s="125"/>
      <c r="K99" s="125"/>
      <c r="L99" s="125"/>
    </row>
    <row r="100" spans="1:12">
      <c r="A100" s="236"/>
      <c r="B100" s="125"/>
      <c r="C100" s="125"/>
      <c r="D100" s="125"/>
      <c r="E100" s="125"/>
      <c r="F100" s="125"/>
      <c r="G100" s="125"/>
      <c r="H100" s="125"/>
      <c r="I100" s="125"/>
      <c r="J100" s="125"/>
      <c r="K100" s="125"/>
      <c r="L100" s="125"/>
    </row>
    <row r="101" spans="1:12">
      <c r="A101" s="236"/>
      <c r="B101" s="125"/>
      <c r="C101" s="125"/>
      <c r="D101" s="125"/>
      <c r="E101" s="125"/>
      <c r="F101" s="125"/>
      <c r="G101" s="125"/>
      <c r="H101" s="125"/>
      <c r="I101" s="125"/>
      <c r="J101" s="125"/>
      <c r="K101" s="125"/>
      <c r="L101" s="125"/>
    </row>
    <row r="102" spans="1:12">
      <c r="A102" s="236"/>
      <c r="B102" s="125"/>
      <c r="C102" s="125"/>
      <c r="D102" s="125"/>
      <c r="E102" s="125"/>
      <c r="F102" s="125"/>
      <c r="G102" s="125"/>
      <c r="H102" s="125"/>
      <c r="I102" s="125"/>
      <c r="J102" s="125"/>
      <c r="K102" s="125"/>
      <c r="L102" s="125"/>
    </row>
    <row r="103" spans="1:12">
      <c r="A103" s="236"/>
      <c r="B103" s="125"/>
      <c r="C103" s="125"/>
      <c r="D103" s="125"/>
      <c r="E103" s="125"/>
      <c r="F103" s="125"/>
      <c r="G103" s="125"/>
      <c r="H103" s="125"/>
      <c r="I103" s="125"/>
      <c r="J103" s="125"/>
      <c r="K103" s="125"/>
      <c r="L103" s="125"/>
    </row>
    <row r="104" spans="1:12">
      <c r="A104" s="236"/>
      <c r="B104" s="125"/>
      <c r="C104" s="125"/>
      <c r="D104" s="125"/>
      <c r="E104" s="125"/>
      <c r="F104" s="125"/>
      <c r="G104" s="125"/>
      <c r="H104" s="125"/>
      <c r="I104" s="125"/>
      <c r="J104" s="125"/>
      <c r="K104" s="125"/>
      <c r="L104" s="125"/>
    </row>
    <row r="105" spans="1:12">
      <c r="A105" s="236"/>
      <c r="B105" s="125"/>
      <c r="C105" s="125"/>
      <c r="D105" s="125"/>
      <c r="E105" s="125"/>
      <c r="F105" s="125"/>
      <c r="G105" s="125"/>
      <c r="H105" s="125"/>
      <c r="I105" s="125"/>
      <c r="J105" s="125"/>
      <c r="K105" s="125"/>
      <c r="L105" s="125"/>
    </row>
    <row r="106" spans="1:12">
      <c r="A106" s="236"/>
      <c r="B106" s="125"/>
      <c r="C106" s="125"/>
      <c r="D106" s="125"/>
      <c r="E106" s="125"/>
      <c r="F106" s="125"/>
      <c r="G106" s="125"/>
      <c r="H106" s="125"/>
      <c r="I106" s="125"/>
      <c r="J106" s="125"/>
      <c r="K106" s="125"/>
      <c r="L106" s="125"/>
    </row>
    <row r="107" spans="1:12">
      <c r="A107" s="236"/>
      <c r="B107" s="125"/>
      <c r="C107" s="125"/>
      <c r="D107" s="125"/>
      <c r="E107" s="125"/>
      <c r="F107" s="125"/>
      <c r="G107" s="125"/>
      <c r="H107" s="125"/>
      <c r="I107" s="125"/>
      <c r="J107" s="125"/>
      <c r="K107" s="125"/>
      <c r="L107" s="125"/>
    </row>
    <row r="108" spans="1:12">
      <c r="A108" s="236"/>
      <c r="B108" s="125"/>
      <c r="C108" s="125"/>
      <c r="D108" s="125"/>
      <c r="E108" s="125"/>
      <c r="F108" s="125"/>
      <c r="G108" s="125"/>
      <c r="H108" s="125"/>
      <c r="I108" s="125"/>
      <c r="J108" s="125"/>
      <c r="K108" s="125"/>
      <c r="L108" s="125"/>
    </row>
    <row r="109" spans="1:12">
      <c r="A109" s="236"/>
      <c r="B109" s="125"/>
      <c r="C109" s="125"/>
      <c r="D109" s="125"/>
      <c r="E109" s="125"/>
      <c r="F109" s="125"/>
      <c r="G109" s="125"/>
      <c r="H109" s="125"/>
      <c r="I109" s="125"/>
      <c r="J109" s="125"/>
      <c r="K109" s="125"/>
      <c r="L109" s="125"/>
    </row>
    <row r="110" spans="1:12">
      <c r="A110" s="236"/>
      <c r="B110" s="125"/>
      <c r="C110" s="125"/>
      <c r="D110" s="125"/>
      <c r="E110" s="125"/>
      <c r="F110" s="125"/>
      <c r="G110" s="125"/>
      <c r="H110" s="125"/>
      <c r="I110" s="125"/>
      <c r="J110" s="125"/>
      <c r="K110" s="125"/>
      <c r="L110" s="125"/>
    </row>
    <row r="111" spans="1:12">
      <c r="A111" s="236"/>
      <c r="B111" s="125"/>
      <c r="C111" s="125"/>
      <c r="D111" s="125"/>
      <c r="E111" s="125"/>
      <c r="F111" s="125"/>
      <c r="G111" s="125"/>
      <c r="H111" s="125"/>
      <c r="I111" s="125"/>
      <c r="J111" s="125"/>
      <c r="K111" s="125"/>
      <c r="L111" s="125"/>
    </row>
    <row r="112" spans="1:12">
      <c r="A112" s="236"/>
      <c r="B112" s="125"/>
      <c r="C112" s="125"/>
      <c r="D112" s="125"/>
      <c r="E112" s="125"/>
      <c r="F112" s="125"/>
      <c r="G112" s="125"/>
      <c r="H112" s="125"/>
      <c r="I112" s="125"/>
      <c r="J112" s="125"/>
      <c r="K112" s="125"/>
      <c r="L112" s="125"/>
    </row>
    <row r="113" spans="1:12">
      <c r="A113" s="236"/>
      <c r="B113" s="125"/>
      <c r="C113" s="125"/>
      <c r="D113" s="125"/>
      <c r="E113" s="125"/>
      <c r="F113" s="125"/>
      <c r="G113" s="125"/>
      <c r="H113" s="125"/>
      <c r="I113" s="125"/>
      <c r="J113" s="125"/>
      <c r="K113" s="125"/>
      <c r="L113" s="125"/>
    </row>
    <row r="114" spans="1:12">
      <c r="A114" s="236"/>
      <c r="B114" s="125"/>
      <c r="C114" s="125"/>
      <c r="D114" s="125"/>
      <c r="E114" s="125"/>
      <c r="F114" s="125"/>
      <c r="G114" s="125"/>
      <c r="H114" s="125"/>
      <c r="I114" s="125"/>
      <c r="J114" s="125"/>
      <c r="K114" s="125"/>
      <c r="L114" s="125"/>
    </row>
    <row r="115" spans="1:12">
      <c r="A115" s="236"/>
      <c r="B115" s="125"/>
      <c r="C115" s="125"/>
      <c r="D115" s="125"/>
      <c r="E115" s="125"/>
      <c r="F115" s="125"/>
      <c r="G115" s="125"/>
      <c r="H115" s="125"/>
      <c r="I115" s="125"/>
      <c r="J115" s="125"/>
      <c r="K115" s="125"/>
      <c r="L115" s="125"/>
    </row>
    <row r="116" spans="1:12">
      <c r="A116" s="236"/>
      <c r="B116" s="125"/>
      <c r="C116" s="125"/>
      <c r="D116" s="125"/>
      <c r="E116" s="125"/>
      <c r="F116" s="125"/>
      <c r="G116" s="125"/>
      <c r="H116" s="125"/>
      <c r="I116" s="125"/>
      <c r="J116" s="125"/>
      <c r="K116" s="125"/>
      <c r="L116" s="125"/>
    </row>
    <row r="117" spans="1:12">
      <c r="A117" s="236"/>
      <c r="B117" s="125"/>
      <c r="C117" s="125"/>
      <c r="D117" s="125"/>
      <c r="E117" s="125"/>
      <c r="F117" s="125"/>
      <c r="G117" s="125"/>
      <c r="H117" s="125"/>
      <c r="I117" s="125"/>
      <c r="J117" s="125"/>
      <c r="K117" s="125"/>
      <c r="L117" s="125"/>
    </row>
    <row r="118" spans="1:12">
      <c r="A118" s="236"/>
      <c r="B118" s="125"/>
      <c r="C118" s="125"/>
      <c r="D118" s="125"/>
      <c r="E118" s="125"/>
      <c r="F118" s="125"/>
      <c r="G118" s="125"/>
      <c r="H118" s="125"/>
      <c r="I118" s="125"/>
      <c r="J118" s="125"/>
      <c r="K118" s="125"/>
      <c r="L118" s="125"/>
    </row>
    <row r="119" spans="1:12">
      <c r="A119" s="236"/>
      <c r="B119" s="125"/>
      <c r="C119" s="125"/>
      <c r="D119" s="125"/>
      <c r="E119" s="125"/>
      <c r="F119" s="125"/>
      <c r="G119" s="125"/>
      <c r="H119" s="125"/>
      <c r="I119" s="125"/>
      <c r="J119" s="125"/>
      <c r="K119" s="125"/>
      <c r="L119" s="125"/>
    </row>
    <row r="120" spans="1:12">
      <c r="A120" s="236"/>
      <c r="B120" s="125"/>
      <c r="C120" s="125"/>
      <c r="D120" s="125"/>
      <c r="E120" s="125"/>
      <c r="F120" s="125"/>
      <c r="G120" s="125"/>
      <c r="H120" s="125"/>
      <c r="I120" s="125"/>
      <c r="J120" s="125"/>
      <c r="K120" s="125"/>
      <c r="L120" s="125"/>
    </row>
    <row r="121" spans="1:12">
      <c r="A121" s="236"/>
      <c r="B121" s="125"/>
      <c r="C121" s="125"/>
      <c r="D121" s="125"/>
      <c r="E121" s="125"/>
      <c r="F121" s="125"/>
      <c r="G121" s="125"/>
      <c r="H121" s="125"/>
      <c r="I121" s="125"/>
      <c r="J121" s="125"/>
      <c r="K121" s="125"/>
      <c r="L121" s="125"/>
    </row>
    <row r="122" spans="1:12">
      <c r="A122" s="236"/>
      <c r="B122" s="125"/>
      <c r="C122" s="125"/>
      <c r="D122" s="125"/>
      <c r="E122" s="125"/>
      <c r="F122" s="125"/>
      <c r="G122" s="125"/>
      <c r="H122" s="125"/>
      <c r="I122" s="125"/>
      <c r="J122" s="125"/>
      <c r="K122" s="125"/>
      <c r="L122" s="125"/>
    </row>
    <row r="123" spans="1:12">
      <c r="A123" s="236"/>
      <c r="B123" s="125"/>
      <c r="C123" s="125"/>
      <c r="D123" s="125"/>
      <c r="E123" s="125"/>
      <c r="F123" s="125"/>
      <c r="G123" s="125"/>
      <c r="H123" s="125"/>
      <c r="I123" s="125"/>
      <c r="J123" s="125"/>
      <c r="K123" s="125"/>
      <c r="L123" s="125"/>
    </row>
    <row r="124" spans="1:12">
      <c r="A124" s="236"/>
      <c r="B124" s="125"/>
      <c r="C124" s="125"/>
      <c r="D124" s="125"/>
      <c r="E124" s="125"/>
      <c r="F124" s="125"/>
      <c r="G124" s="125"/>
      <c r="H124" s="125"/>
      <c r="I124" s="125"/>
      <c r="J124" s="125"/>
      <c r="K124" s="125"/>
      <c r="L124" s="125"/>
    </row>
    <row r="125" spans="1:12">
      <c r="A125" s="236"/>
      <c r="B125" s="125"/>
      <c r="C125" s="125"/>
      <c r="D125" s="125"/>
      <c r="E125" s="125"/>
      <c r="F125" s="125"/>
      <c r="G125" s="125"/>
      <c r="H125" s="125"/>
      <c r="I125" s="125"/>
      <c r="J125" s="125"/>
      <c r="K125" s="125"/>
      <c r="L125" s="125"/>
    </row>
    <row r="126" spans="1:12">
      <c r="A126" s="236"/>
      <c r="B126" s="125"/>
      <c r="C126" s="125"/>
      <c r="D126" s="125"/>
      <c r="E126" s="125"/>
      <c r="F126" s="125"/>
      <c r="G126" s="125"/>
      <c r="H126" s="125"/>
      <c r="I126" s="125"/>
      <c r="J126" s="125"/>
      <c r="K126" s="125"/>
      <c r="L126" s="125"/>
    </row>
    <row r="127" spans="1:12">
      <c r="A127" s="236"/>
      <c r="B127" s="125"/>
      <c r="C127" s="125"/>
      <c r="D127" s="125"/>
      <c r="E127" s="125"/>
      <c r="F127" s="125"/>
      <c r="G127" s="125"/>
      <c r="H127" s="125"/>
      <c r="I127" s="125"/>
      <c r="J127" s="125"/>
      <c r="K127" s="125"/>
      <c r="L127" s="125"/>
    </row>
    <row r="128" spans="1:12">
      <c r="A128" s="236"/>
      <c r="B128" s="125"/>
      <c r="C128" s="125"/>
      <c r="D128" s="125"/>
      <c r="E128" s="125"/>
      <c r="F128" s="125"/>
      <c r="G128" s="125"/>
      <c r="H128" s="125"/>
      <c r="I128" s="125"/>
      <c r="J128" s="125"/>
      <c r="K128" s="125"/>
      <c r="L128" s="125"/>
    </row>
    <row r="129" spans="1:12">
      <c r="A129" s="236"/>
      <c r="B129" s="125"/>
      <c r="C129" s="125"/>
      <c r="D129" s="125"/>
      <c r="E129" s="125"/>
      <c r="F129" s="125"/>
      <c r="G129" s="125"/>
      <c r="H129" s="125"/>
      <c r="I129" s="125"/>
      <c r="J129" s="125"/>
      <c r="K129" s="125"/>
      <c r="L129" s="125"/>
    </row>
    <row r="130" spans="1:12">
      <c r="A130" s="236"/>
      <c r="B130" s="125"/>
      <c r="C130" s="125"/>
      <c r="D130" s="125"/>
      <c r="E130" s="125"/>
      <c r="F130" s="125"/>
      <c r="G130" s="125"/>
      <c r="H130" s="125"/>
      <c r="I130" s="125"/>
      <c r="J130" s="125"/>
      <c r="K130" s="125"/>
      <c r="L130" s="125"/>
    </row>
    <row r="131" spans="1:12">
      <c r="A131" s="236"/>
      <c r="B131" s="125"/>
      <c r="C131" s="125"/>
      <c r="D131" s="125"/>
      <c r="E131" s="125"/>
      <c r="F131" s="125"/>
      <c r="G131" s="125"/>
      <c r="H131" s="125"/>
      <c r="I131" s="125"/>
      <c r="J131" s="125"/>
      <c r="K131" s="125"/>
      <c r="L131" s="125"/>
    </row>
    <row r="132" spans="1:12">
      <c r="A132" s="236"/>
      <c r="B132" s="125"/>
      <c r="C132" s="125"/>
      <c r="D132" s="125"/>
      <c r="E132" s="125"/>
      <c r="F132" s="125"/>
      <c r="G132" s="125"/>
      <c r="H132" s="125"/>
      <c r="I132" s="125"/>
      <c r="J132" s="125"/>
      <c r="K132" s="125"/>
      <c r="L132" s="125"/>
    </row>
    <row r="133" spans="1:12">
      <c r="A133" s="236"/>
      <c r="B133" s="125"/>
      <c r="C133" s="125"/>
      <c r="D133" s="125"/>
      <c r="E133" s="125"/>
      <c r="F133" s="125"/>
      <c r="G133" s="125"/>
      <c r="H133" s="125"/>
      <c r="I133" s="125"/>
      <c r="J133" s="125"/>
      <c r="K133" s="125"/>
      <c r="L133" s="125"/>
    </row>
    <row r="134" spans="1:12">
      <c r="A134" s="236"/>
      <c r="B134" s="125"/>
      <c r="C134" s="125"/>
      <c r="D134" s="125"/>
      <c r="E134" s="125"/>
      <c r="F134" s="125"/>
      <c r="G134" s="125"/>
      <c r="H134" s="125"/>
      <c r="I134" s="125"/>
      <c r="J134" s="125"/>
      <c r="K134" s="125"/>
      <c r="L134" s="125"/>
    </row>
    <row r="135" spans="1:12">
      <c r="A135" s="236"/>
      <c r="B135" s="125"/>
      <c r="C135" s="125"/>
      <c r="D135" s="125"/>
      <c r="E135" s="125"/>
      <c r="F135" s="125"/>
      <c r="G135" s="125"/>
      <c r="H135" s="125"/>
      <c r="I135" s="125"/>
      <c r="J135" s="125"/>
      <c r="K135" s="125"/>
      <c r="L135" s="125"/>
    </row>
    <row r="136" spans="1:12">
      <c r="A136" s="236"/>
      <c r="B136" s="125"/>
      <c r="C136" s="125"/>
      <c r="D136" s="125"/>
      <c r="E136" s="125"/>
      <c r="F136" s="125"/>
      <c r="G136" s="125"/>
      <c r="H136" s="125"/>
      <c r="I136" s="125"/>
      <c r="J136" s="125"/>
      <c r="K136" s="125"/>
      <c r="L136" s="125"/>
    </row>
    <row r="137" spans="1:12">
      <c r="A137" s="236"/>
      <c r="B137" s="125"/>
      <c r="C137" s="125"/>
      <c r="D137" s="125"/>
      <c r="E137" s="125"/>
      <c r="F137" s="125"/>
      <c r="G137" s="125"/>
      <c r="H137" s="125"/>
      <c r="I137" s="125"/>
      <c r="J137" s="125"/>
      <c r="K137" s="125"/>
      <c r="L137" s="125"/>
    </row>
    <row r="138" spans="1:12">
      <c r="A138" s="236"/>
      <c r="B138" s="125"/>
      <c r="C138" s="125"/>
      <c r="D138" s="125"/>
      <c r="E138" s="125"/>
      <c r="F138" s="125"/>
      <c r="G138" s="125"/>
      <c r="H138" s="125"/>
      <c r="I138" s="125"/>
      <c r="J138" s="125"/>
      <c r="K138" s="125"/>
      <c r="L138" s="125"/>
    </row>
    <row r="139" spans="1:12">
      <c r="A139" s="236"/>
      <c r="B139" s="125"/>
      <c r="C139" s="125"/>
      <c r="D139" s="125"/>
      <c r="E139" s="125"/>
      <c r="F139" s="125"/>
      <c r="G139" s="125"/>
      <c r="H139" s="125"/>
      <c r="I139" s="125"/>
      <c r="J139" s="125"/>
      <c r="K139" s="125"/>
      <c r="L139" s="125"/>
    </row>
    <row r="140" spans="1:12">
      <c r="A140" s="236"/>
      <c r="B140" s="125"/>
      <c r="C140" s="125"/>
      <c r="D140" s="125"/>
      <c r="E140" s="125"/>
      <c r="F140" s="125"/>
      <c r="G140" s="125"/>
      <c r="H140" s="125"/>
      <c r="I140" s="125"/>
      <c r="J140" s="125"/>
      <c r="K140" s="125"/>
      <c r="L140" s="125"/>
    </row>
    <row r="141" spans="1:12">
      <c r="A141" s="236"/>
      <c r="B141" s="125"/>
      <c r="C141" s="125"/>
      <c r="D141" s="125"/>
      <c r="E141" s="125"/>
      <c r="F141" s="125"/>
      <c r="G141" s="125"/>
      <c r="H141" s="125"/>
      <c r="I141" s="125"/>
      <c r="J141" s="125"/>
      <c r="K141" s="125"/>
      <c r="L141" s="125"/>
    </row>
    <row r="142" spans="1:12">
      <c r="A142" s="236"/>
      <c r="B142" s="125"/>
      <c r="C142" s="125"/>
      <c r="D142" s="125"/>
      <c r="E142" s="125"/>
      <c r="F142" s="125"/>
      <c r="G142" s="125"/>
      <c r="H142" s="125"/>
      <c r="I142" s="125"/>
      <c r="J142" s="125"/>
      <c r="K142" s="125"/>
      <c r="L142" s="125"/>
    </row>
    <row r="143" spans="1:12">
      <c r="A143" s="236"/>
      <c r="B143" s="125"/>
      <c r="C143" s="125"/>
      <c r="D143" s="125"/>
      <c r="E143" s="125"/>
      <c r="F143" s="125"/>
      <c r="G143" s="125"/>
      <c r="H143" s="125"/>
      <c r="I143" s="125"/>
      <c r="J143" s="125"/>
      <c r="K143" s="125"/>
      <c r="L143" s="125"/>
    </row>
    <row r="144" spans="1:12">
      <c r="A144" s="236"/>
      <c r="B144" s="125"/>
      <c r="C144" s="125"/>
      <c r="D144" s="125"/>
      <c r="E144" s="125"/>
      <c r="F144" s="125"/>
      <c r="G144" s="125"/>
      <c r="H144" s="125"/>
      <c r="I144" s="125"/>
      <c r="J144" s="125"/>
      <c r="K144" s="125"/>
      <c r="L144" s="125"/>
    </row>
    <row r="145" spans="1:12">
      <c r="A145" s="236"/>
      <c r="B145" s="125"/>
      <c r="C145" s="125"/>
      <c r="D145" s="125"/>
      <c r="E145" s="125"/>
      <c r="F145" s="125"/>
      <c r="G145" s="125"/>
      <c r="H145" s="125"/>
      <c r="I145" s="125"/>
      <c r="J145" s="125"/>
      <c r="K145" s="125"/>
      <c r="L145" s="125"/>
    </row>
    <row r="146" spans="1:12">
      <c r="A146" s="236"/>
      <c r="B146" s="125"/>
      <c r="C146" s="125"/>
      <c r="D146" s="125"/>
      <c r="E146" s="125"/>
      <c r="F146" s="125"/>
      <c r="G146" s="125"/>
      <c r="H146" s="125"/>
      <c r="I146" s="125"/>
      <c r="J146" s="125"/>
      <c r="K146" s="125"/>
      <c r="L146" s="125"/>
    </row>
    <row r="147" spans="1:12">
      <c r="A147" s="236"/>
      <c r="B147" s="125"/>
      <c r="C147" s="125"/>
      <c r="D147" s="125"/>
      <c r="E147" s="125"/>
      <c r="F147" s="125"/>
      <c r="G147" s="125"/>
      <c r="H147" s="125"/>
      <c r="I147" s="125"/>
      <c r="J147" s="125"/>
      <c r="K147" s="125"/>
      <c r="L147" s="125"/>
    </row>
    <row r="148" spans="1:12">
      <c r="A148" s="236"/>
      <c r="B148" s="125"/>
      <c r="C148" s="125"/>
      <c r="D148" s="125"/>
      <c r="E148" s="125"/>
      <c r="F148" s="125"/>
      <c r="G148" s="125"/>
      <c r="H148" s="125"/>
      <c r="I148" s="125"/>
      <c r="J148" s="125"/>
      <c r="K148" s="125"/>
      <c r="L148" s="125"/>
    </row>
    <row r="149" spans="1:12">
      <c r="A149" s="236"/>
      <c r="B149" s="125"/>
      <c r="C149" s="125"/>
      <c r="D149" s="125"/>
      <c r="E149" s="125"/>
      <c r="F149" s="125"/>
      <c r="G149" s="125"/>
      <c r="H149" s="125"/>
      <c r="I149" s="125"/>
      <c r="J149" s="125"/>
      <c r="K149" s="125"/>
      <c r="L149" s="125"/>
    </row>
    <row r="150" spans="1:12">
      <c r="A150" s="236"/>
      <c r="B150" s="125"/>
      <c r="C150" s="125"/>
      <c r="D150" s="125"/>
      <c r="E150" s="125"/>
      <c r="F150" s="125"/>
      <c r="G150" s="125"/>
      <c r="H150" s="125"/>
      <c r="I150" s="125"/>
      <c r="J150" s="125"/>
      <c r="K150" s="125"/>
      <c r="L150" s="125"/>
    </row>
    <row r="151" spans="1:12">
      <c r="A151" s="236"/>
      <c r="B151" s="125"/>
      <c r="C151" s="125"/>
      <c r="D151" s="125"/>
      <c r="E151" s="125"/>
      <c r="F151" s="125"/>
      <c r="G151" s="125"/>
      <c r="H151" s="125"/>
      <c r="I151" s="125"/>
      <c r="J151" s="125"/>
      <c r="K151" s="125"/>
      <c r="L151" s="125"/>
    </row>
    <row r="152" spans="1:12">
      <c r="A152" s="236"/>
      <c r="B152" s="125"/>
      <c r="C152" s="125"/>
      <c r="D152" s="125"/>
      <c r="E152" s="125"/>
      <c r="F152" s="125"/>
      <c r="G152" s="125"/>
      <c r="H152" s="125"/>
      <c r="I152" s="125"/>
      <c r="J152" s="125"/>
      <c r="K152" s="125"/>
      <c r="L152" s="125"/>
    </row>
    <row r="153" spans="1:12">
      <c r="A153" s="236"/>
      <c r="B153" s="125"/>
      <c r="C153" s="125"/>
      <c r="D153" s="125"/>
      <c r="E153" s="125"/>
      <c r="F153" s="125"/>
      <c r="G153" s="125"/>
      <c r="H153" s="125"/>
      <c r="I153" s="125"/>
      <c r="J153" s="125"/>
      <c r="K153" s="125"/>
      <c r="L153" s="125"/>
    </row>
    <row r="154" spans="1:12">
      <c r="A154" s="236"/>
      <c r="B154" s="125"/>
      <c r="C154" s="125"/>
      <c r="D154" s="125"/>
      <c r="E154" s="125"/>
      <c r="F154" s="125"/>
      <c r="G154" s="125"/>
      <c r="H154" s="125"/>
      <c r="I154" s="125"/>
      <c r="J154" s="125"/>
      <c r="K154" s="125"/>
      <c r="L154" s="125"/>
    </row>
    <row r="155" spans="1:12">
      <c r="A155" s="236"/>
      <c r="B155" s="125"/>
      <c r="C155" s="125"/>
      <c r="D155" s="125"/>
      <c r="E155" s="125"/>
      <c r="F155" s="125"/>
      <c r="G155" s="125"/>
      <c r="H155" s="125"/>
      <c r="I155" s="125"/>
      <c r="J155" s="125"/>
      <c r="K155" s="125"/>
      <c r="L155" s="125"/>
    </row>
    <row r="156" spans="1:12">
      <c r="A156" s="236"/>
      <c r="B156" s="125"/>
      <c r="C156" s="125"/>
      <c r="D156" s="125"/>
      <c r="E156" s="125"/>
      <c r="F156" s="125"/>
      <c r="G156" s="125"/>
      <c r="H156" s="125"/>
      <c r="I156" s="125"/>
      <c r="J156" s="125"/>
      <c r="K156" s="125"/>
      <c r="L156" s="125"/>
    </row>
    <row r="157" spans="1:12">
      <c r="A157" s="236"/>
      <c r="B157" s="125"/>
      <c r="C157" s="125"/>
      <c r="D157" s="125"/>
      <c r="E157" s="125"/>
      <c r="F157" s="125"/>
      <c r="G157" s="125"/>
      <c r="H157" s="125"/>
      <c r="I157" s="125"/>
      <c r="J157" s="125"/>
      <c r="K157" s="125"/>
      <c r="L157" s="125"/>
    </row>
    <row r="158" spans="1:12">
      <c r="A158" s="236"/>
      <c r="B158" s="125"/>
      <c r="C158" s="125"/>
      <c r="D158" s="125"/>
      <c r="E158" s="125"/>
      <c r="F158" s="125"/>
      <c r="G158" s="125"/>
      <c r="H158" s="125"/>
      <c r="I158" s="125"/>
      <c r="J158" s="125"/>
      <c r="K158" s="125"/>
      <c r="L158" s="125"/>
    </row>
    <row r="159" spans="1:12">
      <c r="A159" s="236"/>
      <c r="B159" s="125"/>
      <c r="C159" s="125"/>
      <c r="D159" s="125"/>
      <c r="E159" s="125"/>
      <c r="F159" s="125"/>
      <c r="G159" s="125"/>
      <c r="H159" s="125"/>
      <c r="I159" s="125"/>
      <c r="J159" s="125"/>
      <c r="K159" s="125"/>
      <c r="L159" s="125"/>
    </row>
    <row r="160" spans="1:12">
      <c r="A160" s="236"/>
      <c r="B160" s="125"/>
      <c r="C160" s="125"/>
      <c r="D160" s="125"/>
      <c r="E160" s="125"/>
      <c r="F160" s="125"/>
      <c r="G160" s="125"/>
      <c r="H160" s="125"/>
      <c r="I160" s="125"/>
      <c r="J160" s="125"/>
      <c r="K160" s="125"/>
      <c r="L160" s="125"/>
    </row>
    <row r="161" spans="1:12">
      <c r="A161" s="236"/>
      <c r="B161" s="125"/>
      <c r="C161" s="125"/>
      <c r="D161" s="125"/>
      <c r="E161" s="125"/>
      <c r="F161" s="125"/>
      <c r="G161" s="125"/>
      <c r="H161" s="125"/>
      <c r="I161" s="125"/>
      <c r="J161" s="125"/>
      <c r="K161" s="125"/>
      <c r="L161" s="125"/>
    </row>
    <row r="162" spans="1:12">
      <c r="A162" s="236"/>
      <c r="B162" s="125"/>
      <c r="C162" s="125"/>
      <c r="D162" s="125"/>
      <c r="E162" s="125"/>
      <c r="F162" s="125"/>
      <c r="G162" s="125"/>
      <c r="H162" s="125"/>
      <c r="I162" s="125"/>
      <c r="J162" s="125"/>
      <c r="K162" s="125"/>
      <c r="L162" s="125"/>
    </row>
    <row r="163" spans="1:12">
      <c r="A163" s="236"/>
      <c r="B163" s="125"/>
      <c r="C163" s="125"/>
      <c r="D163" s="125"/>
      <c r="E163" s="125"/>
      <c r="F163" s="125"/>
      <c r="G163" s="125"/>
      <c r="H163" s="125"/>
      <c r="I163" s="125"/>
      <c r="J163" s="125"/>
      <c r="K163" s="125"/>
      <c r="L163" s="125"/>
    </row>
    <row r="164" spans="1:12">
      <c r="A164" s="236"/>
      <c r="B164" s="125"/>
      <c r="C164" s="125"/>
      <c r="D164" s="125"/>
      <c r="E164" s="125"/>
      <c r="F164" s="125"/>
      <c r="G164" s="125"/>
      <c r="H164" s="125"/>
      <c r="I164" s="125"/>
      <c r="J164" s="125"/>
      <c r="K164" s="125"/>
      <c r="L164" s="125"/>
    </row>
    <row r="165" spans="1:12">
      <c r="A165" s="236"/>
      <c r="B165" s="125"/>
      <c r="C165" s="125"/>
      <c r="D165" s="125"/>
      <c r="E165" s="125"/>
      <c r="F165" s="125"/>
      <c r="G165" s="125"/>
      <c r="H165" s="125"/>
      <c r="I165" s="125"/>
      <c r="J165" s="125"/>
      <c r="K165" s="125"/>
      <c r="L165" s="125"/>
    </row>
    <row r="166" spans="1:12">
      <c r="A166" s="236"/>
      <c r="B166" s="125"/>
      <c r="C166" s="125"/>
      <c r="D166" s="125"/>
      <c r="E166" s="125"/>
      <c r="F166" s="125"/>
      <c r="G166" s="125"/>
      <c r="H166" s="125"/>
      <c r="I166" s="125"/>
      <c r="J166" s="125"/>
      <c r="K166" s="125"/>
      <c r="L166" s="125"/>
    </row>
    <row r="167" spans="1:12">
      <c r="A167" s="236"/>
      <c r="B167" s="125"/>
      <c r="C167" s="125"/>
      <c r="D167" s="125"/>
      <c r="E167" s="125"/>
      <c r="F167" s="125"/>
      <c r="G167" s="125"/>
      <c r="H167" s="125"/>
      <c r="I167" s="125"/>
      <c r="J167" s="125"/>
      <c r="K167" s="125"/>
      <c r="L167" s="125"/>
    </row>
    <row r="168" spans="1:12">
      <c r="A168" s="236"/>
      <c r="B168" s="125"/>
      <c r="C168" s="125"/>
      <c r="D168" s="125"/>
      <c r="E168" s="125"/>
      <c r="F168" s="125"/>
      <c r="G168" s="125"/>
      <c r="H168" s="125"/>
      <c r="I168" s="125"/>
      <c r="J168" s="125"/>
      <c r="K168" s="125"/>
      <c r="L168" s="125"/>
    </row>
    <row r="169" spans="1:12">
      <c r="A169" s="236"/>
      <c r="B169" s="125"/>
      <c r="C169" s="125"/>
      <c r="D169" s="125"/>
      <c r="E169" s="125"/>
      <c r="F169" s="125"/>
      <c r="G169" s="125"/>
      <c r="H169" s="125"/>
      <c r="I169" s="125"/>
      <c r="J169" s="125"/>
      <c r="K169" s="125"/>
      <c r="L169" s="125"/>
    </row>
    <row r="170" spans="1:12">
      <c r="A170" s="236"/>
      <c r="B170" s="125"/>
      <c r="C170" s="125"/>
      <c r="D170" s="125"/>
      <c r="E170" s="125"/>
      <c r="F170" s="125"/>
      <c r="G170" s="125"/>
      <c r="H170" s="125"/>
      <c r="I170" s="125"/>
      <c r="J170" s="125"/>
      <c r="K170" s="125"/>
      <c r="L170" s="125"/>
    </row>
    <row r="171" spans="1:12">
      <c r="A171" s="236"/>
      <c r="B171" s="125"/>
      <c r="C171" s="125"/>
      <c r="D171" s="125"/>
      <c r="E171" s="125"/>
      <c r="F171" s="125"/>
      <c r="G171" s="125"/>
      <c r="H171" s="125"/>
      <c r="I171" s="125"/>
      <c r="J171" s="125"/>
      <c r="K171" s="125"/>
      <c r="L171" s="125"/>
    </row>
    <row r="172" spans="1:12">
      <c r="A172" s="236"/>
      <c r="B172" s="125"/>
      <c r="C172" s="125"/>
      <c r="D172" s="125"/>
      <c r="E172" s="125"/>
      <c r="F172" s="125"/>
      <c r="G172" s="125"/>
      <c r="H172" s="125"/>
      <c r="I172" s="125"/>
      <c r="J172" s="125"/>
      <c r="K172" s="125"/>
      <c r="L172" s="125"/>
    </row>
    <row r="173" spans="1:12">
      <c r="A173" s="236"/>
      <c r="B173" s="125"/>
      <c r="C173" s="125"/>
      <c r="D173" s="125"/>
      <c r="E173" s="125"/>
      <c r="F173" s="125"/>
      <c r="G173" s="125"/>
      <c r="H173" s="125"/>
      <c r="I173" s="125"/>
      <c r="J173" s="125"/>
      <c r="K173" s="125"/>
      <c r="L173" s="125"/>
    </row>
    <row r="174" spans="1:12">
      <c r="A174" s="236"/>
      <c r="B174" s="125"/>
      <c r="C174" s="125"/>
      <c r="D174" s="125"/>
      <c r="E174" s="125"/>
      <c r="F174" s="125"/>
      <c r="G174" s="125"/>
      <c r="H174" s="125"/>
      <c r="I174" s="125"/>
      <c r="J174" s="125"/>
      <c r="K174" s="125"/>
      <c r="L174" s="125"/>
    </row>
    <row r="175" spans="1:12">
      <c r="A175" s="236"/>
      <c r="B175" s="125"/>
      <c r="C175" s="125"/>
      <c r="D175" s="125"/>
      <c r="E175" s="125"/>
      <c r="F175" s="125"/>
      <c r="G175" s="125"/>
      <c r="H175" s="125"/>
      <c r="I175" s="125"/>
      <c r="J175" s="125"/>
      <c r="K175" s="125"/>
      <c r="L175" s="125"/>
    </row>
    <row r="176" spans="1:12">
      <c r="A176" s="236"/>
      <c r="B176" s="125"/>
      <c r="C176" s="125"/>
      <c r="D176" s="125"/>
      <c r="E176" s="125"/>
      <c r="F176" s="125"/>
      <c r="G176" s="125"/>
      <c r="H176" s="125"/>
      <c r="I176" s="125"/>
      <c r="J176" s="125"/>
      <c r="K176" s="125"/>
      <c r="L176" s="125"/>
    </row>
    <row r="177" spans="1:12">
      <c r="A177" s="236"/>
      <c r="B177" s="125"/>
      <c r="C177" s="125"/>
      <c r="D177" s="125"/>
      <c r="E177" s="125"/>
      <c r="F177" s="125"/>
      <c r="G177" s="125"/>
      <c r="H177" s="125"/>
      <c r="I177" s="125"/>
      <c r="J177" s="125"/>
      <c r="K177" s="125"/>
      <c r="L177" s="125"/>
    </row>
    <row r="178" spans="1:12">
      <c r="A178" s="236"/>
      <c r="B178" s="125"/>
      <c r="C178" s="125"/>
      <c r="D178" s="125"/>
      <c r="E178" s="125"/>
      <c r="F178" s="125"/>
      <c r="G178" s="125"/>
      <c r="H178" s="125"/>
      <c r="I178" s="125"/>
      <c r="J178" s="125"/>
      <c r="K178" s="125"/>
      <c r="L178" s="125"/>
    </row>
    <row r="179" spans="1:12">
      <c r="A179" s="236"/>
      <c r="B179" s="125"/>
      <c r="C179" s="125"/>
      <c r="D179" s="125"/>
      <c r="E179" s="125"/>
      <c r="F179" s="125"/>
      <c r="G179" s="125"/>
      <c r="H179" s="125"/>
      <c r="I179" s="125"/>
      <c r="J179" s="125"/>
      <c r="K179" s="125"/>
      <c r="L179" s="125"/>
    </row>
    <row r="180" spans="1:12">
      <c r="A180" s="236"/>
      <c r="B180" s="125"/>
      <c r="C180" s="125"/>
      <c r="D180" s="125"/>
      <c r="E180" s="125"/>
      <c r="F180" s="125"/>
      <c r="G180" s="125"/>
      <c r="H180" s="125"/>
      <c r="I180" s="125"/>
      <c r="J180" s="125"/>
      <c r="K180" s="125"/>
      <c r="L180" s="125"/>
    </row>
    <row r="181" spans="1:12">
      <c r="A181" s="236"/>
      <c r="B181" s="125"/>
      <c r="C181" s="125"/>
      <c r="D181" s="125"/>
      <c r="E181" s="125"/>
      <c r="F181" s="125"/>
      <c r="G181" s="125"/>
      <c r="H181" s="125"/>
      <c r="I181" s="125"/>
      <c r="J181" s="125"/>
      <c r="K181" s="125"/>
      <c r="L181" s="125"/>
    </row>
    <row r="182" spans="1:12">
      <c r="A182" s="236"/>
      <c r="B182" s="125"/>
      <c r="C182" s="125"/>
      <c r="D182" s="125"/>
      <c r="E182" s="125"/>
      <c r="F182" s="125"/>
      <c r="G182" s="125"/>
      <c r="H182" s="125"/>
      <c r="I182" s="125"/>
      <c r="J182" s="125"/>
      <c r="K182" s="125"/>
      <c r="L182" s="125"/>
    </row>
    <row r="183" spans="1:12">
      <c r="A183" s="236"/>
      <c r="B183" s="125"/>
      <c r="C183" s="125"/>
      <c r="D183" s="125"/>
      <c r="E183" s="125"/>
      <c r="F183" s="125"/>
      <c r="G183" s="125"/>
      <c r="H183" s="125"/>
      <c r="I183" s="125"/>
      <c r="J183" s="125"/>
      <c r="K183" s="125"/>
      <c r="L183" s="125"/>
    </row>
    <row r="184" spans="1:12">
      <c r="A184" s="236"/>
      <c r="B184" s="125"/>
      <c r="C184" s="125"/>
      <c r="D184" s="125"/>
      <c r="E184" s="125"/>
      <c r="F184" s="125"/>
      <c r="G184" s="125"/>
      <c r="H184" s="125"/>
      <c r="I184" s="125"/>
      <c r="J184" s="125"/>
      <c r="K184" s="125"/>
      <c r="L184" s="125"/>
    </row>
    <row r="185" spans="1:12">
      <c r="A185" s="236"/>
      <c r="B185" s="125"/>
      <c r="C185" s="125"/>
      <c r="D185" s="125"/>
      <c r="E185" s="125"/>
      <c r="F185" s="125"/>
      <c r="G185" s="125"/>
      <c r="H185" s="125"/>
      <c r="I185" s="125"/>
      <c r="J185" s="125"/>
      <c r="K185" s="125"/>
      <c r="L185" s="125"/>
    </row>
    <row r="186" spans="1:12">
      <c r="A186" s="236"/>
      <c r="B186" s="125"/>
      <c r="C186" s="125"/>
      <c r="D186" s="125"/>
      <c r="E186" s="125"/>
      <c r="F186" s="125"/>
      <c r="G186" s="125"/>
      <c r="H186" s="125"/>
      <c r="I186" s="125"/>
      <c r="J186" s="125"/>
      <c r="K186" s="125"/>
      <c r="L186" s="125"/>
    </row>
    <row r="187" spans="1:12">
      <c r="A187" s="236"/>
      <c r="B187" s="125"/>
      <c r="C187" s="125"/>
      <c r="D187" s="125"/>
      <c r="E187" s="125"/>
      <c r="F187" s="125"/>
      <c r="G187" s="125"/>
      <c r="H187" s="125"/>
      <c r="I187" s="125"/>
      <c r="J187" s="125"/>
      <c r="K187" s="125"/>
      <c r="L187" s="125"/>
    </row>
    <row r="188" spans="1:12">
      <c r="A188" s="236"/>
      <c r="B188" s="125"/>
      <c r="C188" s="125"/>
      <c r="D188" s="125"/>
      <c r="E188" s="125"/>
      <c r="F188" s="125"/>
      <c r="G188" s="125"/>
      <c r="H188" s="125"/>
      <c r="I188" s="125"/>
      <c r="J188" s="125"/>
      <c r="K188" s="125"/>
      <c r="L188" s="125"/>
    </row>
    <row r="189" spans="1:12">
      <c r="A189" s="236"/>
      <c r="B189" s="125"/>
      <c r="C189" s="125"/>
      <c r="D189" s="125"/>
      <c r="E189" s="125"/>
      <c r="F189" s="125"/>
      <c r="G189" s="125"/>
      <c r="H189" s="125"/>
      <c r="I189" s="125"/>
      <c r="J189" s="125"/>
      <c r="K189" s="125"/>
      <c r="L189" s="125"/>
    </row>
    <row r="190" spans="1:12">
      <c r="A190" s="236"/>
      <c r="B190" s="125"/>
      <c r="C190" s="125"/>
      <c r="D190" s="125"/>
      <c r="E190" s="125"/>
      <c r="F190" s="125"/>
      <c r="G190" s="125"/>
      <c r="H190" s="125"/>
      <c r="I190" s="125"/>
      <c r="J190" s="125"/>
      <c r="K190" s="125"/>
      <c r="L190" s="125"/>
    </row>
    <row r="191" spans="1:12">
      <c r="A191" s="236"/>
      <c r="B191" s="125"/>
      <c r="C191" s="125"/>
      <c r="D191" s="125"/>
      <c r="E191" s="125"/>
      <c r="F191" s="125"/>
      <c r="G191" s="125"/>
      <c r="H191" s="125"/>
      <c r="I191" s="125"/>
      <c r="J191" s="125"/>
      <c r="K191" s="125"/>
      <c r="L191" s="125"/>
    </row>
    <row r="192" spans="1:12">
      <c r="A192" s="236"/>
      <c r="B192" s="125"/>
      <c r="C192" s="125"/>
      <c r="D192" s="125"/>
      <c r="E192" s="125"/>
      <c r="F192" s="125"/>
      <c r="G192" s="125"/>
      <c r="H192" s="125"/>
      <c r="I192" s="125"/>
      <c r="J192" s="125"/>
      <c r="K192" s="125"/>
      <c r="L192" s="125"/>
    </row>
    <row r="193" spans="1:12">
      <c r="A193" s="236"/>
      <c r="B193" s="125"/>
      <c r="C193" s="125"/>
      <c r="D193" s="125"/>
      <c r="E193" s="125"/>
      <c r="F193" s="125"/>
      <c r="G193" s="125"/>
      <c r="H193" s="125"/>
      <c r="I193" s="125"/>
      <c r="J193" s="125"/>
      <c r="K193" s="125"/>
      <c r="L193" s="125"/>
    </row>
    <row r="194" spans="1:12">
      <c r="A194" s="236"/>
      <c r="B194" s="125"/>
      <c r="C194" s="125"/>
      <c r="D194" s="125"/>
      <c r="E194" s="125"/>
      <c r="F194" s="125"/>
      <c r="G194" s="125"/>
      <c r="H194" s="125"/>
      <c r="I194" s="125"/>
      <c r="J194" s="125"/>
      <c r="K194" s="125"/>
      <c r="L194" s="125"/>
    </row>
    <row r="195" spans="1:12">
      <c r="A195" s="236"/>
      <c r="B195" s="125"/>
      <c r="C195" s="125"/>
      <c r="D195" s="125"/>
      <c r="E195" s="125"/>
      <c r="F195" s="125"/>
      <c r="G195" s="125"/>
      <c r="H195" s="125"/>
      <c r="I195" s="125"/>
      <c r="J195" s="125"/>
      <c r="K195" s="125"/>
      <c r="L195" s="125"/>
    </row>
    <row r="196" spans="1:12">
      <c r="A196" s="236"/>
      <c r="B196" s="125"/>
      <c r="C196" s="125"/>
      <c r="D196" s="125"/>
      <c r="E196" s="125"/>
      <c r="F196" s="125"/>
      <c r="G196" s="125"/>
      <c r="H196" s="125"/>
      <c r="I196" s="125"/>
      <c r="J196" s="125"/>
      <c r="K196" s="125"/>
      <c r="L196" s="125"/>
    </row>
    <row r="197" spans="1:12">
      <c r="A197" s="236"/>
      <c r="B197" s="125"/>
      <c r="C197" s="125"/>
      <c r="D197" s="125"/>
      <c r="E197" s="125"/>
      <c r="F197" s="125"/>
      <c r="G197" s="125"/>
      <c r="H197" s="125"/>
      <c r="I197" s="125"/>
      <c r="J197" s="125"/>
      <c r="K197" s="125"/>
      <c r="L197" s="125"/>
    </row>
    <row r="198" spans="1:12">
      <c r="A198" s="236"/>
      <c r="B198" s="125"/>
      <c r="C198" s="125"/>
      <c r="D198" s="125"/>
      <c r="E198" s="125"/>
      <c r="F198" s="125"/>
      <c r="G198" s="125"/>
      <c r="H198" s="125"/>
      <c r="I198" s="125"/>
      <c r="J198" s="125"/>
      <c r="K198" s="125"/>
      <c r="L198" s="125"/>
    </row>
    <row r="199" spans="1:12">
      <c r="A199" s="236"/>
      <c r="B199" s="125"/>
      <c r="C199" s="125"/>
      <c r="D199" s="125"/>
      <c r="E199" s="125"/>
      <c r="F199" s="125"/>
      <c r="G199" s="125"/>
      <c r="H199" s="125"/>
      <c r="I199" s="125"/>
      <c r="J199" s="125"/>
      <c r="K199" s="125"/>
      <c r="L199" s="125"/>
    </row>
    <row r="200" spans="1:12">
      <c r="A200" s="236"/>
      <c r="B200" s="125"/>
      <c r="C200" s="125"/>
      <c r="D200" s="125"/>
      <c r="E200" s="125"/>
      <c r="F200" s="125"/>
      <c r="G200" s="125"/>
      <c r="H200" s="125"/>
      <c r="I200" s="125"/>
      <c r="J200" s="125"/>
      <c r="K200" s="125"/>
      <c r="L200" s="125"/>
    </row>
    <row r="201" spans="1:12">
      <c r="A201" s="236"/>
      <c r="B201" s="125"/>
      <c r="C201" s="125"/>
      <c r="D201" s="125"/>
      <c r="E201" s="125"/>
      <c r="F201" s="125"/>
      <c r="G201" s="125"/>
      <c r="H201" s="125"/>
      <c r="I201" s="125"/>
      <c r="J201" s="125"/>
      <c r="K201" s="125"/>
      <c r="L201" s="125"/>
    </row>
    <row r="202" spans="1:12">
      <c r="A202" s="236"/>
      <c r="B202" s="125"/>
      <c r="C202" s="125"/>
      <c r="D202" s="125"/>
      <c r="E202" s="125"/>
      <c r="F202" s="125"/>
      <c r="G202" s="125"/>
      <c r="H202" s="125"/>
      <c r="I202" s="125"/>
      <c r="J202" s="125"/>
      <c r="K202" s="125"/>
      <c r="L202" s="125"/>
    </row>
    <row r="203" spans="1:12">
      <c r="A203" s="236"/>
      <c r="B203" s="125"/>
      <c r="C203" s="125"/>
      <c r="D203" s="125"/>
      <c r="E203" s="125"/>
      <c r="F203" s="125"/>
      <c r="G203" s="125"/>
      <c r="H203" s="125"/>
      <c r="I203" s="125"/>
      <c r="J203" s="125"/>
      <c r="K203" s="125"/>
      <c r="L203" s="125"/>
    </row>
    <row r="204" spans="1:12">
      <c r="A204" s="236"/>
      <c r="B204" s="125"/>
      <c r="C204" s="125"/>
      <c r="D204" s="125"/>
      <c r="E204" s="125"/>
      <c r="F204" s="125"/>
      <c r="G204" s="125"/>
      <c r="H204" s="125"/>
      <c r="I204" s="125"/>
      <c r="J204" s="125"/>
      <c r="K204" s="125"/>
      <c r="L204" s="125"/>
    </row>
    <row r="205" spans="1:12">
      <c r="A205" s="236"/>
      <c r="B205" s="125"/>
      <c r="C205" s="125"/>
      <c r="D205" s="125"/>
      <c r="E205" s="125"/>
      <c r="F205" s="125"/>
      <c r="G205" s="125"/>
      <c r="H205" s="125"/>
      <c r="I205" s="125"/>
      <c r="J205" s="125"/>
      <c r="K205" s="125"/>
      <c r="L205" s="125"/>
    </row>
    <row r="206" spans="1:12">
      <c r="A206" s="236"/>
      <c r="B206" s="125"/>
      <c r="C206" s="125"/>
      <c r="D206" s="125"/>
      <c r="E206" s="125"/>
      <c r="F206" s="125"/>
      <c r="G206" s="125"/>
      <c r="H206" s="125"/>
      <c r="I206" s="125"/>
      <c r="J206" s="125"/>
      <c r="K206" s="125"/>
      <c r="L206" s="125"/>
    </row>
    <row r="207" spans="1:12">
      <c r="A207" s="236"/>
      <c r="B207" s="125"/>
      <c r="C207" s="125"/>
      <c r="D207" s="125"/>
      <c r="E207" s="125"/>
      <c r="F207" s="125"/>
      <c r="G207" s="125"/>
      <c r="H207" s="125"/>
      <c r="I207" s="125"/>
      <c r="J207" s="125"/>
      <c r="K207" s="125"/>
      <c r="L207" s="125"/>
    </row>
    <row r="208" spans="1:12">
      <c r="A208" s="236"/>
      <c r="B208" s="125"/>
      <c r="C208" s="125"/>
      <c r="D208" s="125"/>
      <c r="E208" s="125"/>
      <c r="F208" s="125"/>
      <c r="G208" s="125"/>
      <c r="H208" s="125"/>
      <c r="I208" s="125"/>
      <c r="J208" s="125"/>
      <c r="K208" s="125"/>
      <c r="L208" s="125"/>
    </row>
    <row r="209" spans="1:12">
      <c r="A209" s="236"/>
      <c r="B209" s="125"/>
      <c r="C209" s="125"/>
      <c r="D209" s="125"/>
      <c r="E209" s="125"/>
      <c r="F209" s="125"/>
      <c r="G209" s="125"/>
      <c r="H209" s="125"/>
      <c r="I209" s="125"/>
      <c r="J209" s="125"/>
      <c r="K209" s="125"/>
      <c r="L209" s="125"/>
    </row>
    <row r="210" spans="1:12">
      <c r="A210" s="236"/>
      <c r="B210" s="125"/>
      <c r="C210" s="125"/>
      <c r="D210" s="125"/>
      <c r="E210" s="125"/>
      <c r="F210" s="125"/>
      <c r="G210" s="125"/>
      <c r="H210" s="125"/>
      <c r="I210" s="125"/>
      <c r="J210" s="125"/>
      <c r="K210" s="125"/>
      <c r="L210" s="125"/>
    </row>
    <row r="211" spans="1:12">
      <c r="A211" s="236"/>
      <c r="B211" s="125"/>
      <c r="C211" s="125"/>
      <c r="D211" s="125"/>
      <c r="E211" s="125"/>
      <c r="F211" s="125"/>
      <c r="G211" s="125"/>
      <c r="H211" s="125"/>
      <c r="I211" s="125"/>
      <c r="J211" s="125"/>
      <c r="K211" s="125"/>
      <c r="L211" s="125"/>
    </row>
    <row r="212" spans="1:12">
      <c r="A212" s="236"/>
      <c r="B212" s="125"/>
      <c r="C212" s="125"/>
      <c r="D212" s="125"/>
      <c r="E212" s="125"/>
      <c r="F212" s="125"/>
      <c r="G212" s="125"/>
      <c r="H212" s="125"/>
      <c r="I212" s="125"/>
      <c r="J212" s="125"/>
      <c r="K212" s="125"/>
      <c r="L212" s="125"/>
    </row>
    <row r="213" spans="1:12">
      <c r="A213" s="236"/>
      <c r="B213" s="125"/>
      <c r="C213" s="125"/>
      <c r="D213" s="125"/>
      <c r="E213" s="125"/>
      <c r="F213" s="125"/>
      <c r="G213" s="125"/>
      <c r="H213" s="125"/>
      <c r="I213" s="125"/>
      <c r="J213" s="125"/>
      <c r="K213" s="125"/>
      <c r="L213" s="125"/>
    </row>
    <row r="214" spans="1:12">
      <c r="A214" s="236"/>
      <c r="B214" s="125"/>
      <c r="C214" s="125"/>
      <c r="D214" s="125"/>
      <c r="E214" s="125"/>
      <c r="F214" s="125"/>
      <c r="G214" s="125"/>
      <c r="H214" s="125"/>
      <c r="I214" s="125"/>
      <c r="J214" s="125"/>
      <c r="K214" s="125"/>
      <c r="L214" s="125"/>
    </row>
    <row r="215" spans="1:12">
      <c r="A215" s="236"/>
      <c r="B215" s="125"/>
      <c r="C215" s="125"/>
      <c r="D215" s="125"/>
      <c r="E215" s="125"/>
      <c r="F215" s="125"/>
      <c r="G215" s="125"/>
      <c r="H215" s="125"/>
      <c r="I215" s="125"/>
      <c r="J215" s="125"/>
      <c r="K215" s="125"/>
      <c r="L215" s="125"/>
    </row>
    <row r="216" spans="1:12">
      <c r="A216" s="236"/>
      <c r="B216" s="125"/>
      <c r="C216" s="125"/>
      <c r="D216" s="125"/>
      <c r="E216" s="125"/>
      <c r="F216" s="125"/>
      <c r="G216" s="125"/>
      <c r="H216" s="125"/>
      <c r="I216" s="125"/>
      <c r="J216" s="125"/>
      <c r="K216" s="125"/>
      <c r="L216" s="125"/>
    </row>
    <row r="217" spans="1:12">
      <c r="A217" s="236"/>
      <c r="B217" s="125"/>
      <c r="C217" s="125"/>
      <c r="D217" s="125"/>
      <c r="E217" s="125"/>
      <c r="F217" s="125"/>
      <c r="G217" s="125"/>
      <c r="H217" s="125"/>
      <c r="I217" s="125"/>
      <c r="J217" s="125"/>
      <c r="K217" s="125"/>
      <c r="L217" s="125"/>
    </row>
    <row r="218" spans="1:12">
      <c r="A218" s="236"/>
      <c r="B218" s="125"/>
      <c r="C218" s="125"/>
      <c r="D218" s="125"/>
      <c r="E218" s="125"/>
      <c r="F218" s="125"/>
      <c r="G218" s="125"/>
      <c r="H218" s="125"/>
      <c r="I218" s="125"/>
      <c r="J218" s="125"/>
      <c r="K218" s="125"/>
      <c r="L218" s="125"/>
    </row>
    <row r="219" spans="1:12">
      <c r="A219" s="236"/>
      <c r="B219" s="125"/>
      <c r="C219" s="125"/>
      <c r="D219" s="125"/>
      <c r="E219" s="125"/>
      <c r="F219" s="125"/>
      <c r="G219" s="125"/>
      <c r="H219" s="125"/>
      <c r="I219" s="125"/>
      <c r="J219" s="125"/>
      <c r="K219" s="125"/>
      <c r="L219" s="125"/>
    </row>
    <row r="220" spans="1:12">
      <c r="A220" s="236"/>
      <c r="B220" s="125"/>
      <c r="C220" s="125"/>
      <c r="D220" s="125"/>
      <c r="E220" s="125"/>
      <c r="F220" s="125"/>
      <c r="G220" s="125"/>
      <c r="H220" s="125"/>
      <c r="I220" s="125"/>
      <c r="J220" s="125"/>
      <c r="K220" s="125"/>
      <c r="L220" s="125"/>
    </row>
    <row r="221" spans="1:12">
      <c r="A221" s="236"/>
      <c r="B221" s="125"/>
      <c r="C221" s="125"/>
      <c r="D221" s="125"/>
      <c r="E221" s="125"/>
      <c r="F221" s="125"/>
      <c r="G221" s="125"/>
      <c r="H221" s="125"/>
      <c r="I221" s="125"/>
      <c r="J221" s="125"/>
      <c r="K221" s="125"/>
      <c r="L221" s="125"/>
    </row>
    <row r="222" spans="1:12">
      <c r="A222" s="236"/>
      <c r="B222" s="125"/>
      <c r="C222" s="125"/>
      <c r="D222" s="125"/>
      <c r="E222" s="125"/>
      <c r="F222" s="125"/>
      <c r="G222" s="125"/>
      <c r="H222" s="125"/>
      <c r="I222" s="125"/>
      <c r="J222" s="125"/>
      <c r="K222" s="125"/>
      <c r="L222" s="125"/>
    </row>
    <row r="223" spans="1:12">
      <c r="A223" s="236"/>
      <c r="B223" s="125"/>
      <c r="C223" s="125"/>
      <c r="D223" s="125"/>
      <c r="E223" s="125"/>
      <c r="F223" s="125"/>
      <c r="G223" s="125"/>
      <c r="H223" s="125"/>
      <c r="I223" s="125"/>
      <c r="J223" s="125"/>
      <c r="K223" s="125"/>
      <c r="L223" s="125"/>
    </row>
    <row r="224" spans="1:12">
      <c r="A224" s="236"/>
      <c r="B224" s="125"/>
      <c r="C224" s="125"/>
      <c r="D224" s="125"/>
      <c r="E224" s="125"/>
      <c r="F224" s="125"/>
      <c r="G224" s="125"/>
      <c r="H224" s="125"/>
      <c r="I224" s="125"/>
      <c r="J224" s="125"/>
      <c r="K224" s="125"/>
      <c r="L224" s="125"/>
    </row>
    <row r="225" spans="1:12">
      <c r="A225" s="236"/>
      <c r="B225" s="125"/>
      <c r="C225" s="125"/>
      <c r="D225" s="125"/>
      <c r="E225" s="125"/>
      <c r="F225" s="125"/>
      <c r="G225" s="125"/>
      <c r="H225" s="125"/>
      <c r="I225" s="125"/>
      <c r="J225" s="125"/>
      <c r="K225" s="125"/>
      <c r="L225" s="125"/>
    </row>
    <row r="226" spans="1:12">
      <c r="A226" s="236"/>
      <c r="B226" s="125"/>
      <c r="C226" s="125"/>
      <c r="D226" s="125"/>
      <c r="E226" s="125"/>
      <c r="F226" s="125"/>
      <c r="G226" s="125"/>
      <c r="H226" s="125"/>
      <c r="I226" s="125"/>
      <c r="J226" s="125"/>
      <c r="K226" s="125"/>
      <c r="L226" s="125"/>
    </row>
    <row r="227" spans="1:12">
      <c r="A227" s="236"/>
      <c r="B227" s="125"/>
      <c r="C227" s="125"/>
      <c r="D227" s="125"/>
      <c r="E227" s="125"/>
      <c r="F227" s="125"/>
      <c r="G227" s="125"/>
      <c r="H227" s="125"/>
      <c r="I227" s="125"/>
      <c r="J227" s="125"/>
      <c r="K227" s="125"/>
      <c r="L227" s="125"/>
    </row>
    <row r="228" spans="1:12">
      <c r="A228" s="236"/>
      <c r="B228" s="125"/>
      <c r="C228" s="125"/>
      <c r="D228" s="125"/>
      <c r="E228" s="125"/>
      <c r="F228" s="125"/>
      <c r="G228" s="125"/>
      <c r="H228" s="125"/>
      <c r="I228" s="125"/>
      <c r="J228" s="125"/>
      <c r="K228" s="125"/>
      <c r="L228" s="125"/>
    </row>
    <row r="229" spans="1:12">
      <c r="A229" s="236"/>
      <c r="B229" s="125"/>
      <c r="C229" s="125"/>
      <c r="D229" s="125"/>
      <c r="E229" s="125"/>
      <c r="F229" s="125"/>
      <c r="G229" s="125"/>
      <c r="H229" s="125"/>
      <c r="I229" s="125"/>
      <c r="J229" s="125"/>
      <c r="K229" s="125"/>
      <c r="L229" s="125"/>
    </row>
    <row r="230" spans="1:12">
      <c r="A230" s="236"/>
      <c r="B230" s="125"/>
      <c r="C230" s="125"/>
      <c r="D230" s="125"/>
      <c r="E230" s="125"/>
      <c r="F230" s="125"/>
      <c r="G230" s="125"/>
      <c r="H230" s="125"/>
      <c r="I230" s="125"/>
      <c r="J230" s="125"/>
      <c r="K230" s="125"/>
      <c r="L230" s="125"/>
    </row>
    <row r="231" spans="1:12">
      <c r="A231" s="236"/>
      <c r="B231" s="125"/>
      <c r="C231" s="125"/>
      <c r="D231" s="125"/>
      <c r="E231" s="125"/>
      <c r="F231" s="125"/>
      <c r="G231" s="125"/>
      <c r="H231" s="125"/>
      <c r="I231" s="125"/>
      <c r="J231" s="125"/>
      <c r="K231" s="125"/>
      <c r="L231" s="125"/>
    </row>
    <row r="232" spans="1:12">
      <c r="A232" s="236"/>
      <c r="B232" s="125"/>
      <c r="C232" s="125"/>
      <c r="D232" s="125"/>
      <c r="E232" s="125"/>
      <c r="F232" s="125"/>
      <c r="G232" s="125"/>
      <c r="H232" s="125"/>
      <c r="I232" s="125"/>
      <c r="J232" s="125"/>
      <c r="K232" s="125"/>
      <c r="L232" s="125"/>
    </row>
    <row r="233" spans="1:12">
      <c r="A233" s="236"/>
      <c r="B233" s="125"/>
      <c r="C233" s="125"/>
      <c r="D233" s="125"/>
      <c r="E233" s="125"/>
      <c r="F233" s="125"/>
      <c r="G233" s="125"/>
      <c r="H233" s="125"/>
      <c r="I233" s="125"/>
      <c r="J233" s="125"/>
      <c r="K233" s="125"/>
      <c r="L233" s="125"/>
    </row>
    <row r="234" spans="1:12">
      <c r="A234" s="236"/>
      <c r="B234" s="125"/>
      <c r="C234" s="125"/>
      <c r="D234" s="125"/>
      <c r="E234" s="125"/>
      <c r="F234" s="125"/>
      <c r="G234" s="125"/>
      <c r="H234" s="125"/>
      <c r="I234" s="125"/>
      <c r="J234" s="125"/>
      <c r="K234" s="125"/>
      <c r="L234" s="125"/>
    </row>
    <row r="235" spans="1:12">
      <c r="A235" s="236"/>
      <c r="B235" s="125"/>
      <c r="C235" s="125"/>
      <c r="D235" s="125"/>
      <c r="E235" s="125"/>
      <c r="F235" s="125"/>
      <c r="G235" s="125"/>
      <c r="H235" s="125"/>
      <c r="I235" s="125"/>
      <c r="J235" s="125"/>
      <c r="K235" s="125"/>
      <c r="L235" s="125"/>
    </row>
    <row r="236" spans="1:12">
      <c r="A236" s="236"/>
      <c r="B236" s="125"/>
      <c r="C236" s="125"/>
      <c r="D236" s="125"/>
      <c r="E236" s="125"/>
      <c r="F236" s="125"/>
      <c r="G236" s="125"/>
      <c r="H236" s="125"/>
      <c r="I236" s="125"/>
      <c r="J236" s="125"/>
      <c r="K236" s="125"/>
      <c r="L236" s="125"/>
    </row>
    <row r="237" spans="1:12">
      <c r="A237" s="236"/>
      <c r="B237" s="125"/>
      <c r="C237" s="125"/>
      <c r="D237" s="125"/>
      <c r="E237" s="125"/>
      <c r="F237" s="125"/>
      <c r="G237" s="125"/>
      <c r="H237" s="125"/>
      <c r="I237" s="125"/>
      <c r="J237" s="125"/>
      <c r="K237" s="125"/>
      <c r="L237" s="125"/>
    </row>
    <row r="238" spans="1:12">
      <c r="A238" s="236"/>
      <c r="B238" s="125"/>
      <c r="C238" s="125"/>
      <c r="D238" s="125"/>
      <c r="E238" s="125"/>
      <c r="F238" s="125"/>
      <c r="G238" s="125"/>
      <c r="H238" s="125"/>
      <c r="I238" s="125"/>
      <c r="J238" s="125"/>
      <c r="K238" s="125"/>
      <c r="L238" s="125"/>
    </row>
    <row r="239" spans="1:12">
      <c r="A239" s="236"/>
      <c r="B239" s="125"/>
      <c r="C239" s="125"/>
      <c r="D239" s="125"/>
      <c r="E239" s="125"/>
      <c r="F239" s="125"/>
      <c r="G239" s="125"/>
      <c r="H239" s="125"/>
      <c r="I239" s="125"/>
      <c r="J239" s="125"/>
      <c r="K239" s="125"/>
      <c r="L239" s="125"/>
    </row>
    <row r="240" spans="1:12">
      <c r="A240" s="236"/>
      <c r="B240" s="125"/>
      <c r="C240" s="125"/>
      <c r="D240" s="125"/>
      <c r="E240" s="125"/>
      <c r="F240" s="125"/>
      <c r="G240" s="125"/>
      <c r="H240" s="125"/>
      <c r="I240" s="125"/>
      <c r="J240" s="125"/>
      <c r="K240" s="125"/>
      <c r="L240" s="125"/>
    </row>
    <row r="241" spans="1:12">
      <c r="A241" s="236"/>
      <c r="B241" s="125"/>
      <c r="C241" s="125"/>
      <c r="D241" s="125"/>
      <c r="E241" s="125"/>
      <c r="F241" s="125"/>
      <c r="G241" s="125"/>
      <c r="H241" s="125"/>
      <c r="I241" s="125"/>
      <c r="J241" s="125"/>
      <c r="K241" s="125"/>
      <c r="L241" s="125"/>
    </row>
    <row r="242" spans="1:12">
      <c r="A242" s="236"/>
      <c r="B242" s="125"/>
      <c r="C242" s="125"/>
      <c r="D242" s="125"/>
      <c r="E242" s="125"/>
      <c r="F242" s="125"/>
      <c r="G242" s="125"/>
      <c r="H242" s="125"/>
      <c r="I242" s="125"/>
      <c r="J242" s="125"/>
      <c r="K242" s="125"/>
      <c r="L242" s="125"/>
    </row>
    <row r="243" spans="1:12">
      <c r="A243" s="236"/>
      <c r="B243" s="125"/>
      <c r="C243" s="125"/>
      <c r="D243" s="125"/>
      <c r="E243" s="125"/>
      <c r="F243" s="125"/>
      <c r="G243" s="125"/>
      <c r="H243" s="125"/>
      <c r="I243" s="125"/>
      <c r="J243" s="125"/>
      <c r="K243" s="125"/>
      <c r="L243" s="125"/>
    </row>
    <row r="244" spans="1:12">
      <c r="A244" s="236"/>
      <c r="B244" s="125"/>
      <c r="C244" s="125"/>
      <c r="D244" s="125"/>
      <c r="E244" s="125"/>
      <c r="F244" s="125"/>
      <c r="G244" s="125"/>
      <c r="H244" s="125"/>
      <c r="I244" s="125"/>
      <c r="J244" s="125"/>
      <c r="K244" s="125"/>
      <c r="L244" s="125"/>
    </row>
    <row r="245" spans="1:12">
      <c r="A245" s="236"/>
      <c r="B245" s="125"/>
      <c r="C245" s="125"/>
      <c r="D245" s="125"/>
      <c r="E245" s="125"/>
      <c r="F245" s="125"/>
      <c r="G245" s="125"/>
      <c r="H245" s="125"/>
      <c r="I245" s="125"/>
      <c r="J245" s="125"/>
      <c r="K245" s="125"/>
      <c r="L245" s="125"/>
    </row>
    <row r="246" spans="1:12">
      <c r="A246" s="236"/>
      <c r="B246" s="125"/>
      <c r="C246" s="125"/>
      <c r="D246" s="125"/>
      <c r="E246" s="125"/>
      <c r="F246" s="125"/>
      <c r="G246" s="125"/>
      <c r="H246" s="125"/>
      <c r="I246" s="125"/>
      <c r="J246" s="125"/>
      <c r="K246" s="125"/>
      <c r="L246" s="125"/>
    </row>
    <row r="247" spans="1:12">
      <c r="A247" s="236"/>
      <c r="B247" s="125"/>
      <c r="C247" s="125"/>
      <c r="D247" s="125"/>
      <c r="E247" s="125"/>
      <c r="F247" s="125"/>
      <c r="G247" s="125"/>
      <c r="H247" s="125"/>
      <c r="I247" s="125"/>
      <c r="J247" s="125"/>
      <c r="K247" s="125"/>
      <c r="L247" s="125"/>
    </row>
    <row r="248" spans="1:12">
      <c r="A248" s="236"/>
      <c r="B248" s="125"/>
      <c r="C248" s="125"/>
      <c r="D248" s="125"/>
      <c r="E248" s="125"/>
      <c r="F248" s="125"/>
      <c r="G248" s="125"/>
      <c r="H248" s="125"/>
      <c r="I248" s="125"/>
      <c r="J248" s="125"/>
      <c r="K248" s="125"/>
      <c r="L248" s="125"/>
    </row>
    <row r="249" spans="1:12">
      <c r="A249" s="236"/>
      <c r="B249" s="125"/>
      <c r="C249" s="125"/>
      <c r="D249" s="125"/>
      <c r="E249" s="125"/>
      <c r="F249" s="125"/>
      <c r="G249" s="125"/>
      <c r="H249" s="125"/>
      <c r="I249" s="125"/>
      <c r="J249" s="125"/>
      <c r="K249" s="125"/>
      <c r="L249" s="125"/>
    </row>
    <row r="250" spans="1:12">
      <c r="A250" s="236"/>
      <c r="B250" s="125"/>
      <c r="C250" s="125"/>
      <c r="D250" s="125"/>
      <c r="E250" s="125"/>
      <c r="F250" s="125"/>
      <c r="G250" s="125"/>
      <c r="H250" s="125"/>
      <c r="I250" s="125"/>
      <c r="J250" s="125"/>
      <c r="K250" s="125"/>
      <c r="L250" s="125"/>
    </row>
    <row r="251" spans="1:12">
      <c r="A251" s="236"/>
      <c r="B251" s="125"/>
      <c r="C251" s="125"/>
      <c r="D251" s="125"/>
      <c r="E251" s="125"/>
      <c r="F251" s="125"/>
      <c r="G251" s="125"/>
      <c r="H251" s="125"/>
      <c r="I251" s="125"/>
      <c r="J251" s="125"/>
      <c r="K251" s="125"/>
      <c r="L251" s="125"/>
    </row>
    <row r="252" spans="1:12">
      <c r="A252" s="236"/>
      <c r="B252" s="125"/>
      <c r="C252" s="125"/>
      <c r="D252" s="125"/>
      <c r="E252" s="125"/>
      <c r="F252" s="125"/>
      <c r="G252" s="125"/>
      <c r="H252" s="125"/>
      <c r="I252" s="125"/>
      <c r="J252" s="125"/>
      <c r="K252" s="125"/>
      <c r="L252" s="125"/>
    </row>
    <row r="253" spans="1:12">
      <c r="A253" s="236"/>
      <c r="B253" s="125"/>
      <c r="C253" s="125"/>
      <c r="D253" s="125"/>
      <c r="E253" s="125"/>
      <c r="F253" s="125"/>
      <c r="G253" s="125"/>
      <c r="H253" s="125"/>
      <c r="I253" s="125"/>
      <c r="J253" s="125"/>
      <c r="K253" s="125"/>
      <c r="L253" s="125"/>
    </row>
    <row r="254" spans="1:12">
      <c r="A254" s="236"/>
      <c r="B254" s="125"/>
      <c r="C254" s="125"/>
      <c r="D254" s="125"/>
      <c r="E254" s="125"/>
      <c r="F254" s="125"/>
      <c r="G254" s="125"/>
      <c r="H254" s="125"/>
      <c r="I254" s="125"/>
      <c r="J254" s="125"/>
      <c r="K254" s="125"/>
      <c r="L254" s="125"/>
    </row>
    <row r="255" spans="1:12">
      <c r="A255" s="236"/>
      <c r="B255" s="125"/>
      <c r="C255" s="125"/>
      <c r="D255" s="125"/>
      <c r="E255" s="125"/>
      <c r="F255" s="125"/>
      <c r="G255" s="125"/>
      <c r="H255" s="125"/>
      <c r="I255" s="125"/>
      <c r="J255" s="125"/>
      <c r="K255" s="125"/>
      <c r="L255" s="125"/>
    </row>
    <row r="256" spans="1:12">
      <c r="A256" s="236"/>
      <c r="B256" s="125"/>
      <c r="C256" s="125"/>
      <c r="D256" s="125"/>
      <c r="E256" s="125"/>
      <c r="F256" s="125"/>
      <c r="G256" s="125"/>
      <c r="H256" s="125"/>
      <c r="I256" s="125"/>
      <c r="J256" s="125"/>
      <c r="K256" s="125"/>
      <c r="L256" s="125"/>
    </row>
    <row r="257" spans="1:12">
      <c r="A257" s="236"/>
      <c r="B257" s="125"/>
      <c r="C257" s="125"/>
      <c r="D257" s="125"/>
      <c r="E257" s="125"/>
      <c r="F257" s="125"/>
      <c r="G257" s="125"/>
      <c r="H257" s="125"/>
      <c r="I257" s="125"/>
      <c r="J257" s="125"/>
      <c r="K257" s="125"/>
      <c r="L257" s="125"/>
    </row>
    <row r="258" spans="1:12">
      <c r="A258" s="236"/>
      <c r="B258" s="125"/>
      <c r="C258" s="125"/>
      <c r="D258" s="125"/>
      <c r="E258" s="125"/>
      <c r="F258" s="125"/>
      <c r="G258" s="125"/>
      <c r="H258" s="125"/>
      <c r="I258" s="125"/>
      <c r="J258" s="125"/>
      <c r="K258" s="125"/>
      <c r="L258" s="125"/>
    </row>
    <row r="259" spans="1:12">
      <c r="A259" s="236"/>
      <c r="B259" s="125"/>
      <c r="C259" s="125"/>
      <c r="D259" s="125"/>
      <c r="E259" s="125"/>
      <c r="F259" s="125"/>
      <c r="G259" s="125"/>
      <c r="H259" s="125"/>
      <c r="I259" s="125"/>
      <c r="J259" s="125"/>
      <c r="K259" s="125"/>
      <c r="L259" s="125"/>
    </row>
    <row r="260" spans="1:12">
      <c r="A260" s="236"/>
      <c r="B260" s="125"/>
      <c r="C260" s="125"/>
      <c r="D260" s="125"/>
      <c r="E260" s="125"/>
      <c r="F260" s="125"/>
      <c r="G260" s="125"/>
      <c r="H260" s="125"/>
      <c r="I260" s="125"/>
      <c r="J260" s="125"/>
      <c r="K260" s="125"/>
      <c r="L260" s="125"/>
    </row>
    <row r="261" spans="1:12">
      <c r="A261" s="236"/>
      <c r="B261" s="125"/>
      <c r="C261" s="125"/>
      <c r="D261" s="125"/>
      <c r="E261" s="125"/>
      <c r="F261" s="125"/>
      <c r="G261" s="125"/>
      <c r="H261" s="125"/>
      <c r="I261" s="125"/>
      <c r="J261" s="125"/>
      <c r="K261" s="125"/>
      <c r="L261" s="125"/>
    </row>
    <row r="262" spans="1:12">
      <c r="A262" s="236"/>
      <c r="B262" s="125"/>
      <c r="C262" s="125"/>
      <c r="D262" s="125"/>
      <c r="E262" s="125"/>
      <c r="F262" s="125"/>
      <c r="G262" s="125"/>
      <c r="H262" s="125"/>
      <c r="I262" s="125"/>
      <c r="J262" s="125"/>
      <c r="K262" s="125"/>
      <c r="L262" s="125"/>
    </row>
    <row r="263" spans="1:12">
      <c r="A263" s="236"/>
      <c r="B263" s="125"/>
      <c r="C263" s="125"/>
      <c r="D263" s="125"/>
      <c r="E263" s="125"/>
      <c r="F263" s="125"/>
      <c r="G263" s="125"/>
      <c r="H263" s="125"/>
      <c r="I263" s="125"/>
      <c r="J263" s="125"/>
      <c r="K263" s="125"/>
      <c r="L263" s="125"/>
    </row>
    <row r="264" spans="1:12">
      <c r="A264" s="236"/>
      <c r="B264" s="125"/>
      <c r="C264" s="125"/>
      <c r="D264" s="125"/>
      <c r="E264" s="125"/>
      <c r="F264" s="125"/>
      <c r="G264" s="125"/>
      <c r="H264" s="125"/>
      <c r="I264" s="125"/>
      <c r="J264" s="125"/>
      <c r="K264" s="125"/>
      <c r="L264" s="125"/>
    </row>
    <row r="265" spans="1:12">
      <c r="A265" s="236"/>
      <c r="B265" s="125"/>
      <c r="C265" s="125"/>
      <c r="D265" s="125"/>
      <c r="E265" s="125"/>
      <c r="F265" s="125"/>
      <c r="G265" s="125"/>
      <c r="H265" s="125"/>
      <c r="I265" s="125"/>
      <c r="J265" s="125"/>
      <c r="K265" s="125"/>
      <c r="L265" s="125"/>
    </row>
    <row r="266" spans="1:12">
      <c r="A266" s="236"/>
      <c r="B266" s="125"/>
      <c r="C266" s="125"/>
      <c r="D266" s="125"/>
      <c r="E266" s="125"/>
      <c r="F266" s="125"/>
      <c r="G266" s="125"/>
      <c r="H266" s="125"/>
      <c r="I266" s="125"/>
      <c r="J266" s="125"/>
      <c r="K266" s="125"/>
      <c r="L266" s="125"/>
    </row>
    <row r="267" spans="1:12">
      <c r="A267" s="236"/>
      <c r="B267" s="125"/>
      <c r="C267" s="125"/>
      <c r="D267" s="125"/>
      <c r="E267" s="125"/>
      <c r="F267" s="125"/>
      <c r="G267" s="125"/>
      <c r="H267" s="125"/>
      <c r="I267" s="125"/>
      <c r="J267" s="125"/>
      <c r="K267" s="125"/>
      <c r="L267" s="125"/>
    </row>
    <row r="268" spans="1:12">
      <c r="A268" s="236"/>
      <c r="B268" s="125"/>
      <c r="C268" s="125"/>
      <c r="D268" s="125"/>
      <c r="E268" s="125"/>
      <c r="F268" s="125"/>
      <c r="G268" s="125"/>
      <c r="H268" s="125"/>
      <c r="I268" s="125"/>
      <c r="J268" s="125"/>
      <c r="K268" s="125"/>
      <c r="L268" s="125"/>
    </row>
    <row r="269" spans="1:12">
      <c r="A269" s="236"/>
      <c r="B269" s="125"/>
      <c r="C269" s="125"/>
      <c r="D269" s="125"/>
      <c r="E269" s="125"/>
      <c r="F269" s="125"/>
      <c r="G269" s="125"/>
      <c r="H269" s="125"/>
      <c r="I269" s="125"/>
      <c r="J269" s="125"/>
      <c r="K269" s="125"/>
      <c r="L269" s="125"/>
    </row>
    <row r="270" spans="1:12">
      <c r="A270" s="236"/>
      <c r="B270" s="125"/>
      <c r="C270" s="125"/>
      <c r="D270" s="125"/>
      <c r="E270" s="125"/>
      <c r="F270" s="125"/>
      <c r="G270" s="125"/>
      <c r="H270" s="125"/>
      <c r="I270" s="125"/>
      <c r="J270" s="125"/>
      <c r="K270" s="125"/>
      <c r="L270" s="125"/>
    </row>
    <row r="271" spans="1:12">
      <c r="A271" s="236"/>
      <c r="B271" s="125"/>
      <c r="C271" s="125"/>
      <c r="D271" s="125"/>
      <c r="E271" s="125"/>
      <c r="F271" s="125"/>
      <c r="G271" s="125"/>
      <c r="H271" s="125"/>
      <c r="I271" s="125"/>
      <c r="J271" s="125"/>
      <c r="K271" s="125"/>
      <c r="L271" s="125"/>
    </row>
    <row r="272" spans="1:12">
      <c r="A272" s="236"/>
      <c r="B272" s="125"/>
      <c r="C272" s="125"/>
      <c r="D272" s="125"/>
      <c r="E272" s="125"/>
      <c r="F272" s="125"/>
      <c r="G272" s="125"/>
      <c r="H272" s="125"/>
      <c r="I272" s="125"/>
      <c r="J272" s="125"/>
      <c r="K272" s="125"/>
      <c r="L272" s="125"/>
    </row>
    <row r="273" spans="1:12">
      <c r="A273" s="236"/>
      <c r="B273" s="125"/>
      <c r="C273" s="125"/>
      <c r="D273" s="125"/>
      <c r="E273" s="125"/>
      <c r="F273" s="125"/>
      <c r="G273" s="125"/>
      <c r="H273" s="125"/>
      <c r="I273" s="125"/>
      <c r="J273" s="125"/>
      <c r="K273" s="125"/>
      <c r="L273" s="125"/>
    </row>
    <row r="274" spans="1:12">
      <c r="A274" s="236"/>
      <c r="B274" s="125"/>
      <c r="C274" s="125"/>
      <c r="D274" s="125"/>
      <c r="E274" s="125"/>
      <c r="F274" s="125"/>
      <c r="G274" s="125"/>
      <c r="H274" s="125"/>
      <c r="I274" s="125"/>
      <c r="J274" s="125"/>
      <c r="K274" s="125"/>
      <c r="L274" s="125"/>
    </row>
    <row r="275" spans="1:12">
      <c r="A275" s="236"/>
      <c r="B275" s="125"/>
      <c r="C275" s="125"/>
      <c r="D275" s="125"/>
      <c r="E275" s="125"/>
      <c r="F275" s="125"/>
      <c r="G275" s="125"/>
      <c r="H275" s="125"/>
      <c r="I275" s="125"/>
      <c r="J275" s="125"/>
      <c r="K275" s="125"/>
      <c r="L275" s="125"/>
    </row>
    <row r="276" spans="1:12">
      <c r="A276" s="236"/>
      <c r="B276" s="125"/>
      <c r="C276" s="125"/>
      <c r="D276" s="125"/>
      <c r="E276" s="125"/>
      <c r="F276" s="125"/>
      <c r="G276" s="125"/>
      <c r="H276" s="125"/>
      <c r="I276" s="125"/>
      <c r="J276" s="125"/>
      <c r="K276" s="125"/>
      <c r="L276" s="125"/>
    </row>
    <row r="277" spans="1:12">
      <c r="A277" s="236"/>
      <c r="B277" s="125"/>
      <c r="C277" s="125"/>
      <c r="D277" s="125"/>
      <c r="E277" s="125"/>
      <c r="F277" s="125"/>
      <c r="G277" s="125"/>
      <c r="H277" s="125"/>
      <c r="I277" s="125"/>
      <c r="J277" s="125"/>
      <c r="K277" s="125"/>
      <c r="L277" s="125"/>
    </row>
    <row r="278" spans="1:12">
      <c r="A278" s="236"/>
      <c r="B278" s="125"/>
      <c r="C278" s="125"/>
      <c r="D278" s="125"/>
      <c r="E278" s="125"/>
      <c r="F278" s="125"/>
      <c r="G278" s="125"/>
      <c r="H278" s="125"/>
      <c r="I278" s="125"/>
      <c r="J278" s="125"/>
      <c r="K278" s="125"/>
      <c r="L278" s="125"/>
    </row>
    <row r="279" spans="1:12">
      <c r="A279" s="236"/>
      <c r="B279" s="125"/>
      <c r="C279" s="125"/>
      <c r="D279" s="125"/>
      <c r="E279" s="125"/>
      <c r="F279" s="125"/>
      <c r="G279" s="125"/>
      <c r="H279" s="125"/>
      <c r="I279" s="125"/>
      <c r="J279" s="125"/>
      <c r="K279" s="125"/>
      <c r="L279" s="125"/>
    </row>
    <row r="280" spans="1:12">
      <c r="A280" s="236"/>
      <c r="B280" s="125"/>
      <c r="C280" s="125"/>
      <c r="D280" s="125"/>
      <c r="E280" s="125"/>
      <c r="F280" s="125"/>
      <c r="G280" s="125"/>
      <c r="H280" s="125"/>
      <c r="I280" s="125"/>
      <c r="J280" s="125"/>
      <c r="K280" s="125"/>
      <c r="L280" s="125"/>
    </row>
    <row r="281" spans="1:12">
      <c r="A281" s="236"/>
      <c r="B281" s="125"/>
      <c r="C281" s="125"/>
      <c r="D281" s="125"/>
      <c r="E281" s="125"/>
      <c r="F281" s="125"/>
      <c r="G281" s="125"/>
      <c r="H281" s="125"/>
      <c r="I281" s="125"/>
      <c r="J281" s="125"/>
      <c r="K281" s="125"/>
      <c r="L281" s="125"/>
    </row>
    <row r="282" spans="1:12">
      <c r="A282" s="236"/>
      <c r="B282" s="125"/>
      <c r="C282" s="125"/>
      <c r="D282" s="125"/>
      <c r="E282" s="125"/>
      <c r="F282" s="125"/>
      <c r="G282" s="125"/>
      <c r="H282" s="125"/>
      <c r="I282" s="125"/>
      <c r="J282" s="125"/>
      <c r="K282" s="125"/>
      <c r="L282" s="125"/>
    </row>
    <row r="283" spans="1:12">
      <c r="A283" s="236"/>
      <c r="B283" s="125"/>
      <c r="C283" s="125"/>
      <c r="D283" s="125"/>
      <c r="E283" s="125"/>
      <c r="F283" s="125"/>
      <c r="G283" s="125"/>
      <c r="H283" s="125"/>
      <c r="I283" s="125"/>
      <c r="J283" s="125"/>
      <c r="K283" s="125"/>
      <c r="L283" s="125"/>
    </row>
    <row r="284" spans="1:12">
      <c r="A284" s="236"/>
      <c r="B284" s="125"/>
      <c r="C284" s="125"/>
      <c r="D284" s="125"/>
      <c r="E284" s="125"/>
      <c r="F284" s="125"/>
      <c r="G284" s="125"/>
      <c r="H284" s="125"/>
      <c r="I284" s="125"/>
      <c r="J284" s="125"/>
      <c r="K284" s="125"/>
      <c r="L284" s="125"/>
    </row>
    <row r="285" spans="1:12">
      <c r="A285" s="236"/>
      <c r="B285" s="125"/>
      <c r="C285" s="125"/>
      <c r="D285" s="125"/>
      <c r="E285" s="125"/>
      <c r="F285" s="125"/>
      <c r="G285" s="125"/>
      <c r="H285" s="125"/>
      <c r="I285" s="125"/>
      <c r="J285" s="125"/>
      <c r="K285" s="125"/>
      <c r="L285" s="125"/>
    </row>
    <row r="286" spans="1:12">
      <c r="A286" s="236"/>
      <c r="B286" s="125"/>
      <c r="C286" s="125"/>
      <c r="D286" s="125"/>
      <c r="E286" s="125"/>
      <c r="F286" s="125"/>
      <c r="G286" s="125"/>
      <c r="H286" s="125"/>
      <c r="I286" s="125"/>
      <c r="J286" s="125"/>
      <c r="K286" s="125"/>
      <c r="L286" s="125"/>
    </row>
    <row r="287" spans="1:12">
      <c r="A287" s="236"/>
      <c r="B287" s="125"/>
      <c r="C287" s="125"/>
      <c r="D287" s="125"/>
      <c r="E287" s="125"/>
      <c r="F287" s="125"/>
      <c r="G287" s="125"/>
      <c r="H287" s="125"/>
      <c r="I287" s="125"/>
      <c r="J287" s="125"/>
      <c r="K287" s="125"/>
      <c r="L287" s="125"/>
    </row>
    <row r="288" spans="1:12">
      <c r="A288" s="236"/>
      <c r="B288" s="125"/>
      <c r="C288" s="125"/>
      <c r="D288" s="125"/>
      <c r="E288" s="125"/>
      <c r="F288" s="125"/>
      <c r="G288" s="125"/>
      <c r="H288" s="125"/>
      <c r="I288" s="125"/>
      <c r="J288" s="125"/>
      <c r="K288" s="125"/>
      <c r="L288" s="125"/>
    </row>
    <row r="289" spans="1:12">
      <c r="A289" s="236"/>
      <c r="B289" s="125"/>
      <c r="C289" s="125"/>
      <c r="D289" s="125"/>
      <c r="E289" s="125"/>
      <c r="F289" s="125"/>
      <c r="G289" s="125"/>
      <c r="H289" s="125"/>
      <c r="I289" s="125"/>
      <c r="J289" s="125"/>
      <c r="K289" s="125"/>
      <c r="L289" s="125"/>
    </row>
    <row r="290" spans="1:12">
      <c r="A290" s="236"/>
      <c r="B290" s="125"/>
      <c r="C290" s="125"/>
      <c r="D290" s="125"/>
      <c r="E290" s="125"/>
      <c r="F290" s="125"/>
      <c r="G290" s="125"/>
      <c r="H290" s="125"/>
      <c r="I290" s="125"/>
      <c r="J290" s="125"/>
      <c r="K290" s="125"/>
      <c r="L290" s="125"/>
    </row>
    <row r="291" spans="1:12">
      <c r="A291" s="236"/>
      <c r="B291" s="125"/>
      <c r="C291" s="125"/>
      <c r="D291" s="125"/>
      <c r="E291" s="125"/>
      <c r="F291" s="125"/>
      <c r="G291" s="125"/>
      <c r="H291" s="125"/>
      <c r="I291" s="125"/>
      <c r="J291" s="125"/>
      <c r="K291" s="125"/>
      <c r="L291" s="125"/>
    </row>
    <row r="292" spans="1:12">
      <c r="A292" s="236"/>
      <c r="B292" s="125"/>
      <c r="C292" s="125"/>
      <c r="D292" s="125"/>
      <c r="E292" s="125"/>
      <c r="F292" s="125"/>
      <c r="G292" s="125"/>
      <c r="H292" s="125"/>
      <c r="I292" s="125"/>
      <c r="J292" s="125"/>
      <c r="K292" s="125"/>
      <c r="L292" s="125"/>
    </row>
    <row r="293" spans="1:12">
      <c r="A293" s="236"/>
      <c r="B293" s="125"/>
      <c r="C293" s="125"/>
      <c r="D293" s="125"/>
      <c r="E293" s="125"/>
      <c r="F293" s="125"/>
      <c r="G293" s="125"/>
      <c r="H293" s="125"/>
      <c r="I293" s="125"/>
      <c r="J293" s="125"/>
      <c r="K293" s="125"/>
      <c r="L293" s="125"/>
    </row>
    <row r="294" spans="1:12">
      <c r="A294" s="236"/>
      <c r="B294" s="125"/>
      <c r="C294" s="125"/>
      <c r="D294" s="125"/>
      <c r="E294" s="125"/>
      <c r="F294" s="125"/>
      <c r="G294" s="125"/>
      <c r="H294" s="125"/>
      <c r="I294" s="125"/>
      <c r="J294" s="125"/>
      <c r="K294" s="125"/>
      <c r="L294" s="125"/>
    </row>
    <row r="295" spans="1:12">
      <c r="A295" s="236"/>
      <c r="B295" s="125"/>
      <c r="C295" s="125"/>
      <c r="D295" s="125"/>
      <c r="E295" s="125"/>
      <c r="F295" s="125"/>
      <c r="G295" s="125"/>
      <c r="H295" s="125"/>
      <c r="I295" s="125"/>
      <c r="J295" s="125"/>
      <c r="K295" s="125"/>
      <c r="L295" s="125"/>
    </row>
    <row r="296" spans="1:12">
      <c r="A296" s="236"/>
      <c r="B296" s="125"/>
      <c r="C296" s="125"/>
      <c r="D296" s="125"/>
      <c r="E296" s="125"/>
      <c r="F296" s="125"/>
      <c r="G296" s="125"/>
      <c r="H296" s="125"/>
      <c r="I296" s="125"/>
      <c r="J296" s="125"/>
      <c r="K296" s="125"/>
      <c r="L296" s="125"/>
    </row>
    <row r="297" spans="1:12">
      <c r="A297" s="236"/>
      <c r="B297" s="125"/>
      <c r="C297" s="125"/>
      <c r="D297" s="125"/>
      <c r="E297" s="125"/>
      <c r="F297" s="125"/>
      <c r="G297" s="125"/>
      <c r="H297" s="125"/>
      <c r="I297" s="125"/>
      <c r="J297" s="125"/>
      <c r="K297" s="125"/>
      <c r="L297" s="125"/>
    </row>
    <row r="298" spans="1:12">
      <c r="A298" s="236"/>
      <c r="B298" s="125"/>
      <c r="C298" s="125"/>
      <c r="D298" s="125"/>
      <c r="E298" s="125"/>
      <c r="F298" s="125"/>
      <c r="G298" s="125"/>
      <c r="H298" s="125"/>
      <c r="I298" s="125"/>
      <c r="J298" s="125"/>
      <c r="K298" s="125"/>
      <c r="L298" s="125"/>
    </row>
    <row r="299" spans="1:12">
      <c r="A299" s="236"/>
      <c r="B299" s="125"/>
      <c r="C299" s="125"/>
      <c r="D299" s="125"/>
      <c r="E299" s="125"/>
      <c r="F299" s="125"/>
      <c r="G299" s="125"/>
      <c r="H299" s="125"/>
      <c r="I299" s="125"/>
      <c r="J299" s="125"/>
      <c r="K299" s="125"/>
      <c r="L299" s="125"/>
    </row>
    <row r="300" spans="1:12">
      <c r="A300" s="236"/>
      <c r="B300" s="125"/>
      <c r="C300" s="125"/>
      <c r="D300" s="125"/>
      <c r="E300" s="125"/>
      <c r="F300" s="125"/>
      <c r="G300" s="125"/>
      <c r="H300" s="125"/>
      <c r="I300" s="125"/>
      <c r="J300" s="125"/>
      <c r="K300" s="125"/>
      <c r="L300" s="125"/>
    </row>
    <row r="301" spans="1:12">
      <c r="A301" s="236"/>
      <c r="B301" s="125"/>
      <c r="C301" s="125"/>
      <c r="D301" s="125"/>
      <c r="E301" s="125"/>
      <c r="F301" s="125"/>
      <c r="G301" s="125"/>
      <c r="H301" s="125"/>
      <c r="I301" s="125"/>
      <c r="J301" s="125"/>
      <c r="K301" s="125"/>
      <c r="L301" s="125"/>
    </row>
    <row r="302" spans="1:12">
      <c r="A302" s="236"/>
      <c r="B302" s="125"/>
      <c r="C302" s="125"/>
      <c r="D302" s="125"/>
      <c r="E302" s="125"/>
      <c r="F302" s="125"/>
      <c r="G302" s="125"/>
      <c r="H302" s="125"/>
      <c r="I302" s="125"/>
      <c r="J302" s="125"/>
      <c r="K302" s="125"/>
      <c r="L302" s="125"/>
    </row>
    <row r="303" spans="1:12">
      <c r="A303" s="236"/>
      <c r="B303" s="125"/>
      <c r="C303" s="125"/>
      <c r="D303" s="125"/>
      <c r="E303" s="125"/>
      <c r="F303" s="125"/>
      <c r="G303" s="125"/>
      <c r="H303" s="125"/>
      <c r="I303" s="125"/>
      <c r="J303" s="125"/>
      <c r="K303" s="125"/>
      <c r="L303" s="125"/>
    </row>
    <row r="304" spans="1:12">
      <c r="A304" s="236"/>
      <c r="B304" s="125"/>
      <c r="C304" s="125"/>
      <c r="D304" s="125"/>
      <c r="E304" s="125"/>
      <c r="F304" s="125"/>
      <c r="G304" s="125"/>
      <c r="H304" s="125"/>
      <c r="I304" s="125"/>
      <c r="J304" s="125"/>
      <c r="K304" s="125"/>
      <c r="L304" s="125"/>
    </row>
    <row r="305" spans="1:12">
      <c r="A305" s="236"/>
      <c r="B305" s="125"/>
      <c r="C305" s="125"/>
      <c r="D305" s="125"/>
      <c r="E305" s="125"/>
      <c r="F305" s="125"/>
      <c r="G305" s="125"/>
      <c r="H305" s="125"/>
      <c r="I305" s="125"/>
      <c r="J305" s="125"/>
      <c r="K305" s="125"/>
      <c r="L305" s="125"/>
    </row>
    <row r="306" spans="1:12">
      <c r="A306" s="236"/>
      <c r="B306" s="125"/>
      <c r="C306" s="125"/>
      <c r="D306" s="125"/>
      <c r="E306" s="125"/>
      <c r="F306" s="125"/>
      <c r="G306" s="125"/>
      <c r="H306" s="125"/>
      <c r="I306" s="125"/>
      <c r="J306" s="125"/>
      <c r="K306" s="125"/>
      <c r="L306" s="125"/>
    </row>
    <row r="307" spans="1:12">
      <c r="A307" s="236"/>
      <c r="B307" s="125"/>
      <c r="C307" s="125"/>
      <c r="D307" s="125"/>
      <c r="E307" s="125"/>
      <c r="F307" s="125"/>
      <c r="G307" s="125"/>
      <c r="H307" s="125"/>
      <c r="I307" s="125"/>
      <c r="J307" s="125"/>
      <c r="K307" s="125"/>
      <c r="L307" s="125"/>
    </row>
    <row r="308" spans="1:12">
      <c r="A308" s="236"/>
      <c r="B308" s="125"/>
      <c r="C308" s="125"/>
      <c r="D308" s="125"/>
      <c r="E308" s="125"/>
      <c r="F308" s="125"/>
      <c r="G308" s="125"/>
      <c r="H308" s="125"/>
      <c r="I308" s="125"/>
      <c r="J308" s="125"/>
      <c r="K308" s="125"/>
      <c r="L308" s="125"/>
    </row>
    <row r="309" spans="1:12">
      <c r="A309" s="236"/>
      <c r="B309" s="125"/>
      <c r="C309" s="125"/>
      <c r="D309" s="125"/>
      <c r="E309" s="125"/>
      <c r="F309" s="125"/>
      <c r="G309" s="125"/>
      <c r="H309" s="125"/>
      <c r="I309" s="125"/>
      <c r="J309" s="125"/>
      <c r="K309" s="125"/>
      <c r="L309" s="125"/>
    </row>
    <row r="310" spans="1:12">
      <c r="A310" s="236"/>
      <c r="B310" s="125"/>
      <c r="C310" s="125"/>
      <c r="D310" s="125"/>
      <c r="E310" s="125"/>
      <c r="F310" s="125"/>
      <c r="G310" s="125"/>
      <c r="H310" s="125"/>
      <c r="I310" s="125"/>
      <c r="J310" s="125"/>
      <c r="K310" s="125"/>
      <c r="L310" s="125"/>
    </row>
    <row r="311" spans="1:12">
      <c r="A311" s="236"/>
      <c r="B311" s="125"/>
      <c r="C311" s="125"/>
      <c r="D311" s="125"/>
      <c r="E311" s="125"/>
      <c r="F311" s="125"/>
      <c r="G311" s="125"/>
      <c r="H311" s="125"/>
      <c r="I311" s="125"/>
      <c r="J311" s="125"/>
      <c r="K311" s="125"/>
      <c r="L311" s="125"/>
    </row>
    <row r="312" spans="1:12">
      <c r="A312" s="236"/>
      <c r="B312" s="125"/>
      <c r="C312" s="125"/>
      <c r="D312" s="125"/>
      <c r="E312" s="125"/>
      <c r="F312" s="125"/>
      <c r="G312" s="125"/>
      <c r="H312" s="125"/>
      <c r="I312" s="125"/>
      <c r="J312" s="125"/>
      <c r="K312" s="125"/>
      <c r="L312" s="125"/>
    </row>
    <row r="313" spans="1:12">
      <c r="A313" s="236"/>
      <c r="B313" s="125"/>
      <c r="C313" s="125"/>
      <c r="D313" s="125"/>
      <c r="E313" s="125"/>
      <c r="F313" s="125"/>
      <c r="G313" s="125"/>
      <c r="H313" s="125"/>
      <c r="I313" s="125"/>
      <c r="J313" s="125"/>
      <c r="K313" s="125"/>
      <c r="L313" s="125"/>
    </row>
    <row r="314" spans="1:12">
      <c r="A314" s="236"/>
      <c r="B314" s="125"/>
      <c r="C314" s="125"/>
      <c r="D314" s="125"/>
      <c r="E314" s="125"/>
      <c r="F314" s="125"/>
      <c r="G314" s="125"/>
      <c r="H314" s="125"/>
      <c r="I314" s="125"/>
      <c r="J314" s="125"/>
      <c r="K314" s="125"/>
      <c r="L314" s="125"/>
    </row>
    <row r="315" spans="1:12">
      <c r="A315" s="236"/>
      <c r="B315" s="125"/>
      <c r="C315" s="125"/>
      <c r="D315" s="125"/>
      <c r="E315" s="125"/>
      <c r="F315" s="125"/>
      <c r="G315" s="125"/>
      <c r="H315" s="125"/>
      <c r="I315" s="125"/>
      <c r="J315" s="125"/>
      <c r="K315" s="125"/>
      <c r="L315" s="125"/>
    </row>
    <row r="316" spans="1:12">
      <c r="A316" s="236"/>
      <c r="B316" s="125"/>
      <c r="C316" s="125"/>
      <c r="D316" s="125"/>
      <c r="E316" s="125"/>
      <c r="F316" s="125"/>
      <c r="G316" s="125"/>
      <c r="H316" s="125"/>
      <c r="I316" s="125"/>
      <c r="J316" s="125"/>
      <c r="K316" s="125"/>
      <c r="L316" s="125"/>
    </row>
    <row r="317" spans="1:12">
      <c r="A317" s="236"/>
      <c r="B317" s="125"/>
      <c r="C317" s="125"/>
      <c r="D317" s="125"/>
      <c r="E317" s="125"/>
      <c r="F317" s="125"/>
      <c r="G317" s="125"/>
      <c r="H317" s="125"/>
      <c r="I317" s="125"/>
      <c r="J317" s="125"/>
      <c r="K317" s="125"/>
      <c r="L317" s="125"/>
    </row>
    <row r="318" spans="1:12">
      <c r="A318" s="236"/>
      <c r="B318" s="125"/>
      <c r="C318" s="125"/>
      <c r="D318" s="125"/>
      <c r="E318" s="125"/>
      <c r="F318" s="125"/>
      <c r="G318" s="125"/>
      <c r="H318" s="125"/>
      <c r="I318" s="125"/>
      <c r="J318" s="125"/>
      <c r="K318" s="125"/>
      <c r="L318" s="125"/>
    </row>
    <row r="319" spans="1:12">
      <c r="A319" s="236"/>
      <c r="B319" s="125"/>
      <c r="C319" s="125"/>
      <c r="D319" s="125"/>
      <c r="E319" s="125"/>
      <c r="F319" s="125"/>
      <c r="G319" s="125"/>
      <c r="H319" s="125"/>
      <c r="I319" s="125"/>
      <c r="J319" s="125"/>
      <c r="K319" s="125"/>
      <c r="L319" s="125"/>
    </row>
    <row r="320" spans="1:12">
      <c r="A320" s="236"/>
      <c r="B320" s="125"/>
      <c r="C320" s="125"/>
      <c r="D320" s="125"/>
      <c r="E320" s="125"/>
      <c r="F320" s="125"/>
      <c r="G320" s="125"/>
      <c r="H320" s="125"/>
      <c r="I320" s="125"/>
      <c r="J320" s="125"/>
      <c r="K320" s="125"/>
      <c r="L320" s="125"/>
    </row>
    <row r="321" spans="1:12">
      <c r="A321" s="236"/>
      <c r="B321" s="125"/>
      <c r="C321" s="125"/>
      <c r="D321" s="125"/>
      <c r="E321" s="125"/>
      <c r="F321" s="125"/>
      <c r="G321" s="125"/>
      <c r="H321" s="125"/>
      <c r="I321" s="125"/>
      <c r="J321" s="125"/>
      <c r="K321" s="125"/>
      <c r="L321" s="125"/>
    </row>
    <row r="322" spans="1:12">
      <c r="A322" s="236"/>
      <c r="B322" s="125"/>
      <c r="C322" s="125"/>
      <c r="D322" s="125"/>
      <c r="E322" s="125"/>
      <c r="F322" s="125"/>
      <c r="G322" s="125"/>
      <c r="H322" s="125"/>
      <c r="I322" s="125"/>
      <c r="J322" s="125"/>
      <c r="K322" s="125"/>
      <c r="L322" s="125"/>
    </row>
    <row r="323" spans="1:12">
      <c r="A323" s="236"/>
      <c r="B323" s="125"/>
      <c r="C323" s="125"/>
      <c r="D323" s="125"/>
      <c r="E323" s="125"/>
      <c r="F323" s="125"/>
      <c r="G323" s="125"/>
      <c r="H323" s="125"/>
      <c r="I323" s="125"/>
      <c r="J323" s="125"/>
      <c r="K323" s="125"/>
      <c r="L323" s="125"/>
    </row>
    <row r="324" spans="1:12">
      <c r="A324" s="236"/>
      <c r="B324" s="125"/>
      <c r="C324" s="125"/>
      <c r="D324" s="125"/>
      <c r="E324" s="125"/>
      <c r="F324" s="125"/>
      <c r="G324" s="125"/>
      <c r="H324" s="125"/>
      <c r="I324" s="125"/>
      <c r="J324" s="125"/>
      <c r="K324" s="125"/>
      <c r="L324" s="125"/>
    </row>
    <row r="325" spans="1:12">
      <c r="A325" s="236"/>
      <c r="B325" s="125"/>
      <c r="C325" s="125"/>
      <c r="D325" s="125"/>
      <c r="E325" s="125"/>
      <c r="F325" s="125"/>
      <c r="G325" s="125"/>
      <c r="H325" s="125"/>
      <c r="I325" s="125"/>
      <c r="J325" s="125"/>
      <c r="K325" s="125"/>
      <c r="L325" s="125"/>
    </row>
    <row r="326" spans="1:12">
      <c r="A326" s="236"/>
      <c r="B326" s="125"/>
      <c r="C326" s="125"/>
      <c r="D326" s="125"/>
      <c r="E326" s="125"/>
      <c r="F326" s="125"/>
      <c r="G326" s="125"/>
      <c r="H326" s="125"/>
      <c r="I326" s="125"/>
      <c r="J326" s="125"/>
      <c r="K326" s="125"/>
      <c r="L326" s="125"/>
    </row>
    <row r="327" spans="1:12">
      <c r="A327" s="236"/>
      <c r="B327" s="125"/>
      <c r="C327" s="125"/>
      <c r="D327" s="125"/>
      <c r="E327" s="125"/>
      <c r="F327" s="125"/>
      <c r="G327" s="125"/>
      <c r="H327" s="125"/>
      <c r="I327" s="125"/>
      <c r="J327" s="125"/>
      <c r="K327" s="125"/>
      <c r="L327" s="125"/>
    </row>
    <row r="328" spans="1:12">
      <c r="A328" s="236"/>
      <c r="B328" s="125"/>
      <c r="C328" s="125"/>
      <c r="D328" s="125"/>
      <c r="E328" s="125"/>
      <c r="F328" s="125"/>
      <c r="G328" s="125"/>
      <c r="H328" s="125"/>
      <c r="I328" s="125"/>
      <c r="J328" s="125"/>
      <c r="K328" s="125"/>
      <c r="L328" s="125"/>
    </row>
    <row r="329" spans="1:12">
      <c r="A329" s="236"/>
      <c r="B329" s="125"/>
      <c r="C329" s="125"/>
      <c r="D329" s="125"/>
      <c r="E329" s="125"/>
      <c r="F329" s="125"/>
      <c r="G329" s="125"/>
      <c r="H329" s="125"/>
      <c r="I329" s="125"/>
      <c r="J329" s="125"/>
      <c r="K329" s="125"/>
      <c r="L329" s="125"/>
    </row>
    <row r="330" spans="1:12">
      <c r="A330" s="236"/>
      <c r="B330" s="125"/>
      <c r="C330" s="125"/>
      <c r="D330" s="125"/>
      <c r="E330" s="125"/>
      <c r="F330" s="125"/>
      <c r="G330" s="125"/>
      <c r="H330" s="125"/>
      <c r="I330" s="125"/>
      <c r="J330" s="125"/>
      <c r="K330" s="125"/>
      <c r="L330" s="125"/>
    </row>
    <row r="331" spans="1:12">
      <c r="A331" s="236"/>
      <c r="B331" s="125"/>
      <c r="C331" s="125"/>
      <c r="D331" s="125"/>
      <c r="E331" s="125"/>
      <c r="F331" s="125"/>
      <c r="G331" s="125"/>
      <c r="H331" s="125"/>
      <c r="I331" s="125"/>
      <c r="J331" s="125"/>
      <c r="K331" s="125"/>
      <c r="L331" s="125"/>
    </row>
    <row r="332" spans="1:12">
      <c r="A332" s="236"/>
      <c r="B332" s="125"/>
      <c r="C332" s="125"/>
      <c r="D332" s="125"/>
      <c r="E332" s="125"/>
      <c r="F332" s="125"/>
      <c r="G332" s="125"/>
      <c r="H332" s="125"/>
      <c r="I332" s="125"/>
      <c r="J332" s="125"/>
      <c r="K332" s="125"/>
      <c r="L332" s="125"/>
    </row>
    <row r="333" spans="1:12">
      <c r="A333" s="236"/>
      <c r="B333" s="125"/>
      <c r="C333" s="125"/>
      <c r="D333" s="125"/>
      <c r="E333" s="125"/>
      <c r="F333" s="125"/>
      <c r="G333" s="125"/>
      <c r="H333" s="125"/>
      <c r="I333" s="125"/>
      <c r="J333" s="125"/>
      <c r="K333" s="125"/>
      <c r="L333" s="125"/>
    </row>
    <row r="334" spans="1:12">
      <c r="A334" s="236"/>
      <c r="B334" s="125"/>
      <c r="C334" s="125"/>
      <c r="D334" s="125"/>
      <c r="E334" s="125"/>
      <c r="F334" s="125"/>
      <c r="G334" s="125"/>
      <c r="H334" s="125"/>
      <c r="I334" s="125"/>
      <c r="J334" s="125"/>
      <c r="K334" s="125"/>
      <c r="L334" s="125"/>
    </row>
    <row r="335" spans="1:12">
      <c r="A335" s="236"/>
      <c r="B335" s="125"/>
      <c r="C335" s="125"/>
      <c r="D335" s="125"/>
      <c r="E335" s="125"/>
      <c r="F335" s="125"/>
      <c r="G335" s="125"/>
      <c r="H335" s="125"/>
      <c r="I335" s="125"/>
      <c r="J335" s="125"/>
      <c r="K335" s="125"/>
      <c r="L335" s="125"/>
    </row>
    <row r="336" spans="1:12">
      <c r="A336" s="236"/>
      <c r="B336" s="125"/>
      <c r="C336" s="125"/>
      <c r="D336" s="125"/>
      <c r="E336" s="125"/>
      <c r="F336" s="125"/>
      <c r="G336" s="125"/>
      <c r="H336" s="125"/>
      <c r="I336" s="125"/>
      <c r="J336" s="125"/>
      <c r="K336" s="125"/>
      <c r="L336" s="125"/>
    </row>
    <row r="337" spans="1:12">
      <c r="A337" s="236"/>
      <c r="B337" s="125"/>
      <c r="C337" s="125"/>
      <c r="D337" s="125"/>
      <c r="E337" s="125"/>
      <c r="F337" s="125"/>
      <c r="G337" s="125"/>
      <c r="H337" s="125"/>
      <c r="I337" s="125"/>
      <c r="J337" s="125"/>
      <c r="K337" s="125"/>
      <c r="L337" s="125"/>
    </row>
    <row r="338" spans="1:12">
      <c r="A338" s="236"/>
      <c r="B338" s="125"/>
      <c r="C338" s="125"/>
      <c r="D338" s="125"/>
      <c r="E338" s="125"/>
      <c r="F338" s="125"/>
      <c r="G338" s="125"/>
      <c r="H338" s="125"/>
      <c r="I338" s="125"/>
      <c r="J338" s="125"/>
      <c r="K338" s="125"/>
      <c r="L338" s="125"/>
    </row>
    <row r="339" spans="1:12">
      <c r="A339" s="236"/>
      <c r="B339" s="125"/>
      <c r="C339" s="125"/>
      <c r="D339" s="125"/>
      <c r="E339" s="125"/>
      <c r="F339" s="125"/>
      <c r="G339" s="125"/>
      <c r="H339" s="125"/>
      <c r="I339" s="125"/>
      <c r="J339" s="125"/>
      <c r="K339" s="125"/>
      <c r="L339" s="125"/>
    </row>
    <row r="340" spans="1:12">
      <c r="A340" s="236"/>
      <c r="B340" s="125"/>
      <c r="C340" s="125"/>
      <c r="D340" s="125"/>
      <c r="E340" s="125"/>
      <c r="F340" s="125"/>
      <c r="G340" s="125"/>
      <c r="H340" s="125"/>
      <c r="I340" s="125"/>
      <c r="J340" s="125"/>
      <c r="K340" s="125"/>
      <c r="L340" s="125"/>
    </row>
    <row r="341" spans="1:12">
      <c r="A341" s="236"/>
      <c r="B341" s="125"/>
      <c r="C341" s="125"/>
      <c r="D341" s="125"/>
      <c r="E341" s="125"/>
      <c r="F341" s="125"/>
      <c r="G341" s="125"/>
      <c r="H341" s="125"/>
      <c r="I341" s="125"/>
      <c r="J341" s="125"/>
      <c r="K341" s="125"/>
      <c r="L341" s="125"/>
    </row>
    <row r="342" spans="1:12">
      <c r="A342" s="236"/>
      <c r="B342" s="125"/>
      <c r="C342" s="125"/>
      <c r="D342" s="125"/>
      <c r="E342" s="125"/>
      <c r="F342" s="125"/>
      <c r="G342" s="125"/>
      <c r="H342" s="125"/>
      <c r="I342" s="125"/>
      <c r="J342" s="125"/>
      <c r="K342" s="125"/>
      <c r="L342" s="125"/>
    </row>
    <row r="343" spans="1:12">
      <c r="A343" s="236"/>
      <c r="B343" s="125"/>
      <c r="C343" s="125"/>
      <c r="D343" s="125"/>
      <c r="E343" s="125"/>
      <c r="F343" s="125"/>
      <c r="G343" s="125"/>
      <c r="H343" s="125"/>
      <c r="I343" s="125"/>
      <c r="J343" s="125"/>
      <c r="K343" s="125"/>
      <c r="L343" s="125"/>
    </row>
    <row r="344" spans="1:12">
      <c r="A344" s="236"/>
      <c r="B344" s="125"/>
      <c r="C344" s="125"/>
      <c r="D344" s="125"/>
      <c r="E344" s="125"/>
      <c r="F344" s="125"/>
      <c r="G344" s="125"/>
      <c r="H344" s="125"/>
      <c r="I344" s="125"/>
      <c r="J344" s="125"/>
      <c r="K344" s="125"/>
      <c r="L344" s="125"/>
    </row>
    <row r="345" spans="1:12">
      <c r="A345" s="236"/>
      <c r="B345" s="125"/>
      <c r="C345" s="125"/>
      <c r="D345" s="125"/>
      <c r="E345" s="125"/>
      <c r="F345" s="125"/>
      <c r="G345" s="125"/>
      <c r="H345" s="125"/>
      <c r="I345" s="125"/>
      <c r="J345" s="125"/>
      <c r="K345" s="125"/>
      <c r="L345" s="125"/>
    </row>
    <row r="346" spans="1:12">
      <c r="A346" s="236"/>
      <c r="B346" s="125"/>
      <c r="C346" s="125"/>
      <c r="D346" s="125"/>
      <c r="E346" s="125"/>
      <c r="F346" s="125"/>
      <c r="G346" s="125"/>
      <c r="H346" s="125"/>
      <c r="I346" s="125"/>
      <c r="J346" s="125"/>
      <c r="K346" s="125"/>
      <c r="L346" s="125"/>
    </row>
    <row r="347" spans="1:12">
      <c r="A347" s="236"/>
      <c r="B347" s="125"/>
      <c r="C347" s="125"/>
      <c r="D347" s="125"/>
      <c r="E347" s="125"/>
      <c r="F347" s="125"/>
      <c r="G347" s="125"/>
      <c r="H347" s="125"/>
      <c r="I347" s="125"/>
      <c r="J347" s="125"/>
      <c r="K347" s="125"/>
      <c r="L347" s="125"/>
    </row>
    <row r="348" spans="1:12">
      <c r="A348" s="236"/>
      <c r="B348" s="125"/>
      <c r="C348" s="125"/>
      <c r="D348" s="125"/>
      <c r="E348" s="125"/>
      <c r="F348" s="125"/>
      <c r="G348" s="125"/>
      <c r="H348" s="125"/>
      <c r="I348" s="125"/>
      <c r="J348" s="125"/>
      <c r="K348" s="125"/>
      <c r="L348" s="125"/>
    </row>
    <row r="349" spans="1:12">
      <c r="A349" s="236"/>
      <c r="B349" s="125"/>
      <c r="C349" s="125"/>
      <c r="D349" s="125"/>
      <c r="E349" s="125"/>
      <c r="F349" s="125"/>
      <c r="G349" s="125"/>
      <c r="H349" s="125"/>
      <c r="I349" s="125"/>
      <c r="J349" s="125"/>
      <c r="K349" s="125"/>
      <c r="L349" s="125"/>
    </row>
    <row r="350" spans="1:12">
      <c r="A350" s="236"/>
      <c r="B350" s="125"/>
      <c r="C350" s="125"/>
      <c r="D350" s="125"/>
      <c r="E350" s="125"/>
      <c r="F350" s="125"/>
      <c r="G350" s="125"/>
      <c r="H350" s="125"/>
      <c r="I350" s="125"/>
      <c r="J350" s="125"/>
      <c r="K350" s="125"/>
      <c r="L350" s="125"/>
    </row>
    <row r="351" spans="1:12">
      <c r="A351" s="236"/>
      <c r="B351" s="125"/>
      <c r="C351" s="125"/>
      <c r="D351" s="125"/>
      <c r="E351" s="125"/>
      <c r="F351" s="125"/>
      <c r="G351" s="125"/>
      <c r="H351" s="125"/>
      <c r="I351" s="125"/>
      <c r="J351" s="125"/>
      <c r="K351" s="125"/>
      <c r="L351" s="125"/>
    </row>
    <row r="352" spans="1:12">
      <c r="A352" s="236"/>
      <c r="B352" s="125"/>
      <c r="C352" s="125"/>
      <c r="D352" s="125"/>
      <c r="E352" s="125"/>
      <c r="F352" s="125"/>
      <c r="G352" s="125"/>
      <c r="H352" s="125"/>
      <c r="I352" s="125"/>
      <c r="J352" s="125"/>
      <c r="K352" s="125"/>
      <c r="L352" s="125"/>
    </row>
    <row r="353" spans="1:12">
      <c r="A353" s="236"/>
      <c r="B353" s="125"/>
      <c r="C353" s="125"/>
      <c r="D353" s="125"/>
      <c r="E353" s="125"/>
      <c r="F353" s="125"/>
      <c r="G353" s="125"/>
      <c r="H353" s="125"/>
      <c r="I353" s="125"/>
      <c r="J353" s="125"/>
      <c r="K353" s="125"/>
      <c r="L353" s="125"/>
    </row>
    <row r="354" spans="1:12">
      <c r="A354" s="236"/>
      <c r="B354" s="125"/>
      <c r="C354" s="125"/>
      <c r="D354" s="125"/>
      <c r="E354" s="125"/>
      <c r="F354" s="125"/>
      <c r="G354" s="125"/>
      <c r="H354" s="125"/>
      <c r="I354" s="125"/>
      <c r="J354" s="125"/>
      <c r="K354" s="125"/>
      <c r="L354" s="125"/>
    </row>
    <row r="355" spans="1:12">
      <c r="A355" s="236"/>
      <c r="B355" s="125"/>
      <c r="C355" s="125"/>
      <c r="D355" s="125"/>
      <c r="E355" s="125"/>
      <c r="F355" s="125"/>
      <c r="G355" s="125"/>
      <c r="H355" s="125"/>
      <c r="I355" s="125"/>
      <c r="J355" s="125"/>
      <c r="K355" s="125"/>
      <c r="L355" s="125"/>
    </row>
    <row r="356" spans="1:12">
      <c r="A356" s="236"/>
      <c r="B356" s="125"/>
      <c r="C356" s="125"/>
      <c r="D356" s="125"/>
      <c r="E356" s="125"/>
      <c r="F356" s="125"/>
      <c r="G356" s="125"/>
      <c r="H356" s="125"/>
      <c r="I356" s="125"/>
      <c r="J356" s="125"/>
      <c r="K356" s="125"/>
      <c r="L356" s="125"/>
    </row>
    <row r="357" spans="1:12">
      <c r="A357" s="236"/>
      <c r="B357" s="125"/>
      <c r="C357" s="125"/>
      <c r="D357" s="125"/>
      <c r="E357" s="125"/>
      <c r="F357" s="125"/>
      <c r="G357" s="125"/>
      <c r="H357" s="125"/>
      <c r="I357" s="125"/>
      <c r="J357" s="125"/>
      <c r="K357" s="125"/>
      <c r="L357" s="125"/>
    </row>
    <row r="358" spans="1:12">
      <c r="A358" s="236"/>
      <c r="B358" s="125"/>
      <c r="C358" s="125"/>
      <c r="D358" s="125"/>
      <c r="E358" s="125"/>
      <c r="F358" s="125"/>
      <c r="G358" s="125"/>
      <c r="H358" s="125"/>
      <c r="I358" s="125"/>
      <c r="J358" s="125"/>
      <c r="K358" s="125"/>
      <c r="L358" s="125"/>
    </row>
    <row r="359" spans="1:12">
      <c r="A359" s="236"/>
      <c r="B359" s="125"/>
      <c r="C359" s="125"/>
      <c r="D359" s="125"/>
      <c r="E359" s="125"/>
      <c r="F359" s="125"/>
      <c r="G359" s="125"/>
      <c r="H359" s="125"/>
      <c r="I359" s="125"/>
      <c r="J359" s="125"/>
      <c r="K359" s="125"/>
      <c r="L359" s="125"/>
    </row>
    <row r="360" spans="1:12">
      <c r="A360" s="236"/>
      <c r="B360" s="125"/>
      <c r="C360" s="125"/>
      <c r="D360" s="125"/>
      <c r="E360" s="125"/>
      <c r="F360" s="125"/>
      <c r="G360" s="125"/>
      <c r="H360" s="125"/>
      <c r="I360" s="125"/>
      <c r="J360" s="125"/>
      <c r="K360" s="125"/>
      <c r="L360" s="125"/>
    </row>
    <row r="361" spans="1:12">
      <c r="A361" s="236"/>
      <c r="B361" s="125"/>
      <c r="C361" s="125"/>
      <c r="D361" s="125"/>
      <c r="E361" s="125"/>
      <c r="F361" s="125"/>
      <c r="G361" s="125"/>
      <c r="H361" s="125"/>
      <c r="I361" s="125"/>
      <c r="J361" s="125"/>
      <c r="K361" s="125"/>
      <c r="L361" s="125"/>
    </row>
    <row r="362" spans="1:12">
      <c r="A362" s="236"/>
      <c r="B362" s="125"/>
      <c r="C362" s="125"/>
      <c r="D362" s="125"/>
      <c r="E362" s="125"/>
      <c r="F362" s="125"/>
      <c r="G362" s="125"/>
      <c r="H362" s="125"/>
      <c r="I362" s="125"/>
      <c r="J362" s="125"/>
      <c r="K362" s="125"/>
      <c r="L362" s="125"/>
    </row>
    <row r="363" spans="1:12">
      <c r="A363" s="236"/>
      <c r="B363" s="125"/>
      <c r="C363" s="125"/>
      <c r="D363" s="125"/>
      <c r="E363" s="125"/>
      <c r="F363" s="125"/>
      <c r="G363" s="125"/>
      <c r="H363" s="125"/>
      <c r="I363" s="125"/>
      <c r="J363" s="125"/>
      <c r="K363" s="125"/>
      <c r="L363" s="125"/>
    </row>
    <row r="364" spans="1:12">
      <c r="A364" s="236"/>
      <c r="B364" s="125"/>
      <c r="C364" s="125"/>
      <c r="D364" s="125"/>
      <c r="E364" s="125"/>
      <c r="F364" s="125"/>
      <c r="G364" s="125"/>
      <c r="H364" s="125"/>
      <c r="I364" s="125"/>
      <c r="J364" s="125"/>
      <c r="K364" s="125"/>
      <c r="L364" s="125"/>
    </row>
    <row r="365" spans="1:12">
      <c r="A365" s="236"/>
      <c r="B365" s="125"/>
      <c r="C365" s="125"/>
      <c r="D365" s="125"/>
      <c r="E365" s="125"/>
      <c r="F365" s="125"/>
      <c r="G365" s="125"/>
      <c r="H365" s="125"/>
      <c r="I365" s="125"/>
      <c r="J365" s="125"/>
      <c r="K365" s="125"/>
      <c r="L365" s="125"/>
    </row>
    <row r="366" spans="1:12">
      <c r="A366" s="236"/>
      <c r="B366" s="125"/>
      <c r="C366" s="125"/>
      <c r="D366" s="125"/>
      <c r="E366" s="125"/>
      <c r="F366" s="125"/>
      <c r="G366" s="125"/>
      <c r="H366" s="125"/>
      <c r="I366" s="125"/>
      <c r="J366" s="125"/>
      <c r="K366" s="125"/>
      <c r="L366" s="125"/>
    </row>
    <row r="367" spans="1:12">
      <c r="A367" s="236"/>
      <c r="B367" s="125"/>
      <c r="C367" s="125"/>
      <c r="D367" s="125"/>
      <c r="E367" s="125"/>
      <c r="F367" s="125"/>
      <c r="G367" s="125"/>
      <c r="H367" s="125"/>
      <c r="I367" s="125"/>
      <c r="J367" s="125"/>
      <c r="K367" s="125"/>
      <c r="L367" s="125"/>
    </row>
    <row r="368" spans="1:12">
      <c r="A368" s="236"/>
      <c r="B368" s="125"/>
      <c r="C368" s="125"/>
      <c r="D368" s="125"/>
      <c r="E368" s="125"/>
      <c r="F368" s="125"/>
      <c r="G368" s="125"/>
      <c r="H368" s="125"/>
      <c r="I368" s="125"/>
      <c r="J368" s="125"/>
      <c r="K368" s="125"/>
      <c r="L368" s="125"/>
    </row>
    <row r="369" spans="1:12">
      <c r="A369" s="236"/>
      <c r="B369" s="125"/>
      <c r="C369" s="125"/>
      <c r="D369" s="125"/>
      <c r="E369" s="125"/>
      <c r="F369" s="125"/>
      <c r="G369" s="125"/>
      <c r="H369" s="125"/>
      <c r="I369" s="125"/>
      <c r="J369" s="125"/>
      <c r="K369" s="125"/>
      <c r="L369" s="125"/>
    </row>
    <row r="370" spans="1:12">
      <c r="A370" s="236"/>
      <c r="B370" s="125"/>
      <c r="C370" s="125"/>
      <c r="D370" s="125"/>
      <c r="E370" s="125"/>
      <c r="F370" s="125"/>
      <c r="G370" s="125"/>
      <c r="H370" s="125"/>
      <c r="I370" s="125"/>
      <c r="J370" s="125"/>
      <c r="K370" s="125"/>
      <c r="L370" s="125"/>
    </row>
    <row r="371" spans="1:12">
      <c r="A371" s="236"/>
      <c r="B371" s="125"/>
      <c r="C371" s="125"/>
      <c r="D371" s="125"/>
      <c r="E371" s="125"/>
      <c r="F371" s="125"/>
      <c r="G371" s="125"/>
      <c r="H371" s="125"/>
      <c r="I371" s="125"/>
      <c r="J371" s="125"/>
      <c r="K371" s="125"/>
      <c r="L371" s="125"/>
    </row>
    <row r="372" spans="1:12">
      <c r="A372" s="236"/>
      <c r="B372" s="125"/>
      <c r="C372" s="125"/>
      <c r="D372" s="125"/>
      <c r="E372" s="125"/>
      <c r="F372" s="125"/>
      <c r="G372" s="125"/>
      <c r="H372" s="125"/>
      <c r="I372" s="125"/>
      <c r="J372" s="125"/>
      <c r="K372" s="125"/>
      <c r="L372" s="125"/>
    </row>
    <row r="373" spans="1:12">
      <c r="A373" s="236"/>
      <c r="B373" s="125"/>
      <c r="C373" s="125"/>
      <c r="D373" s="125"/>
      <c r="E373" s="125"/>
      <c r="F373" s="125"/>
      <c r="G373" s="125"/>
      <c r="H373" s="125"/>
      <c r="I373" s="125"/>
      <c r="J373" s="125"/>
      <c r="K373" s="125"/>
      <c r="L373" s="125"/>
    </row>
    <row r="374" spans="1:12">
      <c r="A374" s="236"/>
      <c r="B374" s="125"/>
      <c r="C374" s="125"/>
      <c r="D374" s="125"/>
      <c r="E374" s="125"/>
      <c r="F374" s="125"/>
      <c r="G374" s="125"/>
      <c r="H374" s="125"/>
      <c r="I374" s="125"/>
      <c r="J374" s="125"/>
      <c r="K374" s="125"/>
      <c r="L374" s="125"/>
    </row>
    <row r="375" spans="1:12">
      <c r="A375" s="236"/>
      <c r="B375" s="125"/>
      <c r="C375" s="125"/>
      <c r="D375" s="125"/>
      <c r="E375" s="125"/>
      <c r="F375" s="125"/>
      <c r="G375" s="125"/>
      <c r="H375" s="125"/>
      <c r="I375" s="125"/>
      <c r="J375" s="125"/>
      <c r="K375" s="125"/>
      <c r="L375" s="125"/>
    </row>
    <row r="376" spans="1:12">
      <c r="A376" s="236"/>
      <c r="B376" s="125"/>
      <c r="C376" s="125"/>
      <c r="D376" s="125"/>
      <c r="E376" s="125"/>
      <c r="F376" s="125"/>
      <c r="G376" s="125"/>
      <c r="H376" s="125"/>
      <c r="I376" s="125"/>
      <c r="J376" s="125"/>
      <c r="K376" s="125"/>
      <c r="L376" s="125"/>
    </row>
    <row r="377" spans="1:12">
      <c r="A377" s="236"/>
      <c r="B377" s="125"/>
      <c r="C377" s="125"/>
      <c r="D377" s="125"/>
      <c r="E377" s="125"/>
      <c r="F377" s="125"/>
      <c r="G377" s="125"/>
      <c r="H377" s="125"/>
      <c r="I377" s="125"/>
      <c r="J377" s="125"/>
      <c r="K377" s="125"/>
      <c r="L377" s="125"/>
    </row>
    <row r="378" spans="1:12">
      <c r="A378" s="236"/>
      <c r="B378" s="125"/>
      <c r="C378" s="125"/>
      <c r="D378" s="125"/>
      <c r="E378" s="125"/>
      <c r="F378" s="125"/>
      <c r="G378" s="125"/>
      <c r="H378" s="125"/>
      <c r="I378" s="125"/>
      <c r="J378" s="125"/>
      <c r="K378" s="125"/>
      <c r="L378" s="125"/>
    </row>
    <row r="379" spans="1:12">
      <c r="A379" s="236"/>
      <c r="B379" s="125"/>
      <c r="C379" s="125"/>
      <c r="D379" s="125"/>
      <c r="E379" s="125"/>
      <c r="F379" s="125"/>
      <c r="G379" s="125"/>
      <c r="H379" s="125"/>
      <c r="I379" s="125"/>
      <c r="J379" s="125"/>
      <c r="K379" s="125"/>
      <c r="L379" s="125"/>
    </row>
    <row r="380" spans="1:12">
      <c r="A380" s="236"/>
      <c r="B380" s="125"/>
      <c r="C380" s="125"/>
      <c r="D380" s="125"/>
      <c r="E380" s="125"/>
      <c r="F380" s="125"/>
      <c r="G380" s="125"/>
      <c r="H380" s="125"/>
      <c r="I380" s="125"/>
      <c r="J380" s="125"/>
      <c r="K380" s="125"/>
      <c r="L380" s="125"/>
    </row>
    <row r="381" spans="1:12">
      <c r="A381" s="236"/>
      <c r="B381" s="125"/>
      <c r="C381" s="125"/>
      <c r="D381" s="125"/>
      <c r="E381" s="125"/>
      <c r="F381" s="125"/>
      <c r="G381" s="125"/>
      <c r="H381" s="125"/>
      <c r="I381" s="125"/>
      <c r="J381" s="125"/>
      <c r="K381" s="125"/>
      <c r="L381" s="125"/>
    </row>
    <row r="382" spans="1:12">
      <c r="A382" s="236"/>
      <c r="B382" s="125"/>
      <c r="C382" s="125"/>
      <c r="D382" s="125"/>
      <c r="E382" s="125"/>
      <c r="F382" s="125"/>
      <c r="G382" s="125"/>
      <c r="H382" s="125"/>
      <c r="I382" s="125"/>
      <c r="J382" s="125"/>
      <c r="K382" s="125"/>
      <c r="L382" s="125"/>
    </row>
    <row r="383" spans="1:12">
      <c r="A383" s="236"/>
      <c r="B383" s="125"/>
      <c r="C383" s="125"/>
      <c r="D383" s="125"/>
      <c r="E383" s="125"/>
      <c r="F383" s="125"/>
      <c r="G383" s="125"/>
      <c r="H383" s="125"/>
      <c r="I383" s="125"/>
      <c r="J383" s="125"/>
      <c r="K383" s="125"/>
      <c r="L383" s="125"/>
    </row>
    <row r="384" spans="1:12">
      <c r="A384" s="236"/>
      <c r="B384" s="125"/>
      <c r="C384" s="125"/>
      <c r="D384" s="125"/>
      <c r="E384" s="125"/>
      <c r="F384" s="125"/>
      <c r="G384" s="125"/>
      <c r="H384" s="125"/>
      <c r="I384" s="125"/>
      <c r="J384" s="125"/>
      <c r="K384" s="125"/>
      <c r="L384" s="125"/>
    </row>
    <row r="385" spans="1:12">
      <c r="A385" s="236"/>
      <c r="B385" s="125"/>
      <c r="C385" s="125"/>
      <c r="D385" s="125"/>
      <c r="E385" s="125"/>
      <c r="F385" s="125"/>
      <c r="G385" s="125"/>
      <c r="H385" s="125"/>
      <c r="I385" s="125"/>
      <c r="J385" s="125"/>
      <c r="K385" s="125"/>
      <c r="L385" s="125"/>
    </row>
    <row r="386" spans="1:12">
      <c r="A386" s="236"/>
      <c r="B386" s="125"/>
      <c r="C386" s="125"/>
      <c r="D386" s="125"/>
      <c r="E386" s="125"/>
      <c r="F386" s="125"/>
      <c r="G386" s="125"/>
      <c r="H386" s="125"/>
      <c r="I386" s="125"/>
      <c r="J386" s="125"/>
      <c r="K386" s="125"/>
      <c r="L386" s="125"/>
    </row>
    <row r="387" spans="1:12">
      <c r="A387" s="236"/>
      <c r="B387" s="125"/>
      <c r="C387" s="125"/>
      <c r="D387" s="125"/>
      <c r="E387" s="125"/>
      <c r="F387" s="125"/>
      <c r="G387" s="125"/>
      <c r="H387" s="125"/>
      <c r="I387" s="125"/>
      <c r="J387" s="125"/>
      <c r="K387" s="125"/>
      <c r="L387" s="125"/>
    </row>
    <row r="388" spans="1:12">
      <c r="A388" s="236"/>
      <c r="B388" s="125"/>
      <c r="C388" s="125"/>
      <c r="D388" s="125"/>
      <c r="E388" s="125"/>
      <c r="F388" s="125"/>
      <c r="G388" s="125"/>
      <c r="H388" s="125"/>
      <c r="I388" s="125"/>
      <c r="J388" s="125"/>
      <c r="K388" s="125"/>
      <c r="L388" s="125"/>
    </row>
    <row r="389" spans="1:12">
      <c r="A389" s="236"/>
      <c r="B389" s="125"/>
      <c r="C389" s="125"/>
      <c r="D389" s="125"/>
      <c r="E389" s="125"/>
      <c r="F389" s="125"/>
      <c r="G389" s="125"/>
      <c r="H389" s="125"/>
      <c r="I389" s="125"/>
      <c r="J389" s="125"/>
      <c r="K389" s="125"/>
      <c r="L389" s="125"/>
    </row>
    <row r="390" spans="1:12">
      <c r="A390" s="236"/>
      <c r="B390" s="125"/>
      <c r="C390" s="125"/>
      <c r="D390" s="125"/>
      <c r="E390" s="125"/>
      <c r="F390" s="125"/>
      <c r="G390" s="125"/>
      <c r="H390" s="125"/>
      <c r="I390" s="125"/>
      <c r="J390" s="125"/>
      <c r="K390" s="125"/>
      <c r="L390" s="125"/>
    </row>
    <row r="391" spans="1:12">
      <c r="A391" s="236"/>
      <c r="B391" s="125"/>
      <c r="C391" s="125"/>
      <c r="D391" s="125"/>
      <c r="E391" s="125"/>
      <c r="F391" s="125"/>
      <c r="G391" s="125"/>
      <c r="H391" s="125"/>
      <c r="I391" s="125"/>
      <c r="J391" s="125"/>
      <c r="K391" s="125"/>
      <c r="L391" s="125"/>
    </row>
    <row r="392" spans="1:12">
      <c r="A392" s="236"/>
      <c r="B392" s="125"/>
      <c r="C392" s="125"/>
      <c r="D392" s="125"/>
      <c r="E392" s="125"/>
      <c r="F392" s="125"/>
      <c r="G392" s="125"/>
      <c r="H392" s="125"/>
      <c r="I392" s="125"/>
      <c r="J392" s="125"/>
      <c r="K392" s="125"/>
      <c r="L392" s="125"/>
    </row>
    <row r="393" spans="1:12">
      <c r="A393" s="236"/>
      <c r="B393" s="125"/>
      <c r="C393" s="125"/>
      <c r="D393" s="125"/>
      <c r="E393" s="125"/>
      <c r="F393" s="125"/>
      <c r="G393" s="125"/>
      <c r="H393" s="125"/>
      <c r="I393" s="125"/>
      <c r="J393" s="125"/>
      <c r="K393" s="125"/>
      <c r="L393" s="125"/>
    </row>
    <row r="394" spans="1:12">
      <c r="A394" s="236"/>
      <c r="B394" s="125"/>
      <c r="C394" s="125"/>
      <c r="D394" s="125"/>
      <c r="E394" s="125"/>
      <c r="F394" s="125"/>
      <c r="G394" s="125"/>
      <c r="H394" s="125"/>
      <c r="I394" s="125"/>
      <c r="J394" s="125"/>
      <c r="K394" s="125"/>
      <c r="L394" s="125"/>
    </row>
    <row r="395" spans="1:12">
      <c r="A395" s="236"/>
      <c r="B395" s="125"/>
      <c r="C395" s="125"/>
      <c r="D395" s="125"/>
      <c r="E395" s="125"/>
      <c r="F395" s="125"/>
      <c r="G395" s="125"/>
      <c r="H395" s="125"/>
      <c r="I395" s="125"/>
      <c r="J395" s="125"/>
      <c r="K395" s="125"/>
      <c r="L395" s="125"/>
    </row>
    <row r="396" spans="1:12">
      <c r="A396" s="236"/>
      <c r="B396" s="125"/>
      <c r="C396" s="125"/>
      <c r="D396" s="125"/>
      <c r="E396" s="125"/>
      <c r="F396" s="125"/>
      <c r="G396" s="125"/>
      <c r="H396" s="125"/>
      <c r="I396" s="125"/>
      <c r="J396" s="125"/>
      <c r="K396" s="125"/>
      <c r="L396" s="125"/>
    </row>
    <row r="397" spans="1:12">
      <c r="A397" s="236"/>
      <c r="B397" s="125"/>
      <c r="C397" s="125"/>
      <c r="D397" s="125"/>
      <c r="E397" s="125"/>
      <c r="F397" s="125"/>
      <c r="G397" s="125"/>
      <c r="H397" s="125"/>
      <c r="I397" s="125"/>
      <c r="J397" s="125"/>
      <c r="K397" s="125"/>
      <c r="L397" s="125"/>
    </row>
    <row r="398" spans="1:12">
      <c r="A398" s="236"/>
      <c r="B398" s="125"/>
      <c r="C398" s="125"/>
      <c r="D398" s="125"/>
      <c r="E398" s="125"/>
      <c r="F398" s="125"/>
      <c r="G398" s="125"/>
      <c r="H398" s="125"/>
      <c r="I398" s="125"/>
      <c r="J398" s="125"/>
      <c r="K398" s="125"/>
      <c r="L398" s="125"/>
    </row>
    <row r="399" spans="1:12">
      <c r="A399" s="236"/>
      <c r="B399" s="125"/>
      <c r="C399" s="125"/>
      <c r="D399" s="125"/>
      <c r="E399" s="125"/>
      <c r="F399" s="125"/>
      <c r="G399" s="125"/>
      <c r="H399" s="125"/>
      <c r="I399" s="125"/>
      <c r="J399" s="125"/>
      <c r="K399" s="125"/>
      <c r="L399" s="125"/>
    </row>
    <row r="400" spans="1:12">
      <c r="A400" s="236"/>
      <c r="B400" s="125"/>
      <c r="C400" s="125"/>
      <c r="D400" s="125"/>
      <c r="E400" s="125"/>
      <c r="F400" s="125"/>
      <c r="G400" s="125"/>
      <c r="H400" s="125"/>
      <c r="I400" s="125"/>
      <c r="J400" s="125"/>
      <c r="K400" s="125"/>
      <c r="L400" s="125"/>
    </row>
    <row r="401" spans="1:12">
      <c r="A401" s="236"/>
      <c r="B401" s="125"/>
      <c r="C401" s="125"/>
      <c r="D401" s="125"/>
      <c r="E401" s="125"/>
      <c r="F401" s="125"/>
      <c r="G401" s="125"/>
      <c r="H401" s="125"/>
      <c r="I401" s="125"/>
      <c r="J401" s="125"/>
      <c r="K401" s="125"/>
      <c r="L401" s="125"/>
    </row>
    <row r="402" spans="1:12">
      <c r="A402" s="236"/>
      <c r="B402" s="125"/>
      <c r="C402" s="125"/>
      <c r="D402" s="125"/>
      <c r="E402" s="125"/>
      <c r="F402" s="125"/>
      <c r="G402" s="125"/>
      <c r="H402" s="125"/>
      <c r="I402" s="125"/>
      <c r="J402" s="125"/>
      <c r="K402" s="125"/>
      <c r="L402" s="125"/>
    </row>
    <row r="403" spans="1:12">
      <c r="A403" s="236"/>
      <c r="B403" s="125"/>
      <c r="C403" s="125"/>
      <c r="D403" s="125"/>
      <c r="E403" s="125"/>
      <c r="F403" s="125"/>
      <c r="G403" s="125"/>
      <c r="H403" s="125"/>
      <c r="I403" s="125"/>
      <c r="J403" s="125"/>
      <c r="K403" s="125"/>
      <c r="L403" s="125"/>
    </row>
    <row r="404" spans="1:12">
      <c r="A404" s="236"/>
      <c r="B404" s="125"/>
      <c r="C404" s="125"/>
      <c r="D404" s="125"/>
      <c r="E404" s="125"/>
      <c r="F404" s="125"/>
      <c r="G404" s="125"/>
      <c r="H404" s="125"/>
      <c r="I404" s="125"/>
      <c r="J404" s="125"/>
      <c r="K404" s="125"/>
      <c r="L404" s="125"/>
    </row>
    <row r="405" spans="1:12">
      <c r="A405" s="236"/>
      <c r="B405" s="125"/>
      <c r="C405" s="125"/>
      <c r="D405" s="125"/>
      <c r="E405" s="125"/>
      <c r="F405" s="125"/>
      <c r="G405" s="125"/>
      <c r="H405" s="125"/>
      <c r="I405" s="125"/>
      <c r="J405" s="125"/>
      <c r="K405" s="125"/>
      <c r="L405" s="125"/>
    </row>
    <row r="406" spans="1:12">
      <c r="A406" s="236"/>
      <c r="B406" s="125"/>
      <c r="C406" s="125"/>
      <c r="D406" s="125"/>
      <c r="E406" s="125"/>
      <c r="F406" s="125"/>
      <c r="G406" s="125"/>
      <c r="H406" s="125"/>
      <c r="I406" s="125"/>
      <c r="J406" s="125"/>
      <c r="K406" s="125"/>
      <c r="L406" s="125"/>
    </row>
    <row r="407" spans="1:12">
      <c r="A407" s="236"/>
      <c r="B407" s="125"/>
      <c r="C407" s="125"/>
      <c r="D407" s="125"/>
      <c r="E407" s="125"/>
      <c r="F407" s="125"/>
      <c r="G407" s="125"/>
      <c r="H407" s="125"/>
      <c r="I407" s="125"/>
      <c r="J407" s="125"/>
      <c r="K407" s="125"/>
      <c r="L407" s="125"/>
    </row>
    <row r="408" spans="1:12">
      <c r="A408" s="236"/>
      <c r="B408" s="125"/>
      <c r="C408" s="125"/>
      <c r="D408" s="125"/>
      <c r="E408" s="125"/>
      <c r="F408" s="125"/>
      <c r="G408" s="125"/>
      <c r="H408" s="125"/>
      <c r="I408" s="125"/>
      <c r="J408" s="125"/>
      <c r="K408" s="125"/>
      <c r="L408" s="125"/>
    </row>
    <row r="409" spans="1:12">
      <c r="A409" s="236"/>
      <c r="B409" s="125"/>
      <c r="C409" s="125"/>
      <c r="D409" s="125"/>
      <c r="E409" s="125"/>
      <c r="F409" s="125"/>
      <c r="G409" s="125"/>
      <c r="H409" s="125"/>
      <c r="I409" s="125"/>
      <c r="J409" s="125"/>
      <c r="K409" s="125"/>
      <c r="L409" s="125"/>
    </row>
    <row r="410" spans="1:12">
      <c r="A410" s="236"/>
      <c r="B410" s="125"/>
      <c r="C410" s="125"/>
      <c r="D410" s="125"/>
      <c r="E410" s="125"/>
      <c r="F410" s="125"/>
      <c r="G410" s="125"/>
      <c r="H410" s="125"/>
      <c r="I410" s="125"/>
      <c r="J410" s="125"/>
      <c r="K410" s="125"/>
      <c r="L410" s="125"/>
    </row>
    <row r="411" spans="1:12">
      <c r="A411" s="236"/>
      <c r="B411" s="125"/>
      <c r="C411" s="125"/>
      <c r="D411" s="125"/>
      <c r="E411" s="125"/>
      <c r="F411" s="125"/>
      <c r="G411" s="125"/>
      <c r="H411" s="125"/>
      <c r="I411" s="125"/>
      <c r="J411" s="125"/>
      <c r="K411" s="125"/>
      <c r="L411" s="125"/>
    </row>
    <row r="412" spans="1:12">
      <c r="A412" s="236"/>
      <c r="B412" s="125"/>
      <c r="C412" s="125"/>
      <c r="D412" s="125"/>
      <c r="E412" s="125"/>
      <c r="F412" s="125"/>
      <c r="G412" s="125"/>
      <c r="H412" s="125"/>
      <c r="I412" s="125"/>
      <c r="J412" s="125"/>
      <c r="K412" s="125"/>
      <c r="L412" s="125"/>
    </row>
    <row r="413" spans="1:12">
      <c r="A413" s="236"/>
      <c r="B413" s="125"/>
      <c r="C413" s="125"/>
      <c r="D413" s="125"/>
      <c r="E413" s="125"/>
      <c r="F413" s="125"/>
      <c r="G413" s="125"/>
      <c r="H413" s="125"/>
      <c r="I413" s="125"/>
      <c r="J413" s="125"/>
      <c r="K413" s="125"/>
      <c r="L413" s="125"/>
    </row>
    <row r="414" spans="1:12">
      <c r="A414" s="236"/>
      <c r="B414" s="125"/>
      <c r="C414" s="125"/>
      <c r="D414" s="125"/>
      <c r="E414" s="125"/>
      <c r="F414" s="125"/>
      <c r="G414" s="125"/>
      <c r="H414" s="125"/>
      <c r="I414" s="125"/>
      <c r="J414" s="125"/>
      <c r="K414" s="125"/>
      <c r="L414" s="125"/>
    </row>
    <row r="415" spans="1:12">
      <c r="A415" s="236"/>
      <c r="B415" s="125"/>
      <c r="C415" s="125"/>
      <c r="D415" s="125"/>
      <c r="E415" s="125"/>
      <c r="F415" s="125"/>
      <c r="G415" s="125"/>
      <c r="H415" s="125"/>
      <c r="I415" s="125"/>
      <c r="J415" s="125"/>
      <c r="K415" s="125"/>
      <c r="L415" s="125"/>
    </row>
    <row r="416" spans="1:12">
      <c r="A416" s="236"/>
      <c r="B416" s="125"/>
      <c r="C416" s="125"/>
      <c r="D416" s="125"/>
      <c r="E416" s="125"/>
      <c r="F416" s="125"/>
      <c r="G416" s="125"/>
      <c r="H416" s="125"/>
      <c r="I416" s="125"/>
      <c r="J416" s="125"/>
      <c r="K416" s="125"/>
      <c r="L416" s="125"/>
    </row>
    <row r="417" spans="1:12">
      <c r="A417" s="236"/>
      <c r="B417" s="125"/>
      <c r="C417" s="125"/>
      <c r="D417" s="125"/>
      <c r="E417" s="125"/>
      <c r="F417" s="125"/>
      <c r="G417" s="125"/>
      <c r="H417" s="125"/>
      <c r="I417" s="125"/>
      <c r="J417" s="125"/>
      <c r="K417" s="125"/>
      <c r="L417" s="125"/>
    </row>
    <row r="418" spans="1:12">
      <c r="A418" s="236"/>
      <c r="B418" s="125"/>
      <c r="C418" s="125"/>
      <c r="D418" s="125"/>
      <c r="E418" s="125"/>
      <c r="F418" s="125"/>
      <c r="G418" s="125"/>
      <c r="H418" s="125"/>
      <c r="I418" s="125"/>
      <c r="J418" s="125"/>
      <c r="K418" s="125"/>
      <c r="L418" s="125"/>
    </row>
    <row r="419" spans="1:12">
      <c r="A419" s="236"/>
      <c r="B419" s="125"/>
      <c r="C419" s="125"/>
      <c r="D419" s="125"/>
      <c r="E419" s="125"/>
      <c r="F419" s="125"/>
      <c r="G419" s="125"/>
      <c r="H419" s="125"/>
      <c r="I419" s="125"/>
      <c r="J419" s="125"/>
      <c r="K419" s="125"/>
      <c r="L419" s="125"/>
    </row>
    <row r="420" spans="1:12">
      <c r="A420" s="236"/>
      <c r="B420" s="125"/>
      <c r="C420" s="125"/>
      <c r="D420" s="125"/>
      <c r="E420" s="125"/>
      <c r="F420" s="125"/>
      <c r="G420" s="125"/>
      <c r="H420" s="125"/>
      <c r="I420" s="125"/>
      <c r="J420" s="125"/>
      <c r="K420" s="125"/>
      <c r="L420" s="125"/>
    </row>
    <row r="421" spans="1:12">
      <c r="A421" s="236"/>
      <c r="B421" s="125"/>
      <c r="C421" s="125"/>
      <c r="D421" s="125"/>
      <c r="E421" s="125"/>
      <c r="F421" s="125"/>
      <c r="G421" s="125"/>
      <c r="H421" s="125"/>
      <c r="I421" s="125"/>
      <c r="J421" s="125"/>
      <c r="K421" s="125"/>
      <c r="L421" s="125"/>
    </row>
    <row r="422" spans="1:12">
      <c r="A422" s="236"/>
      <c r="B422" s="125"/>
      <c r="C422" s="125"/>
      <c r="D422" s="125"/>
      <c r="E422" s="125"/>
      <c r="F422" s="125"/>
      <c r="G422" s="125"/>
      <c r="H422" s="125"/>
      <c r="I422" s="125"/>
      <c r="J422" s="125"/>
      <c r="K422" s="125"/>
      <c r="L422" s="125"/>
    </row>
    <row r="423" spans="1:12">
      <c r="A423" s="236"/>
      <c r="B423" s="125"/>
      <c r="C423" s="125"/>
      <c r="D423" s="125"/>
      <c r="E423" s="125"/>
      <c r="F423" s="125"/>
      <c r="G423" s="125"/>
      <c r="H423" s="125"/>
      <c r="I423" s="125"/>
      <c r="J423" s="125"/>
      <c r="K423" s="125"/>
      <c r="L423" s="125"/>
    </row>
    <row r="424" spans="1:12">
      <c r="A424" s="236"/>
      <c r="B424" s="125"/>
      <c r="C424" s="125"/>
      <c r="D424" s="125"/>
      <c r="E424" s="125"/>
      <c r="F424" s="125"/>
      <c r="G424" s="125"/>
      <c r="H424" s="125"/>
      <c r="I424" s="125"/>
      <c r="J424" s="125"/>
      <c r="K424" s="125"/>
      <c r="L424" s="125"/>
    </row>
    <row r="425" spans="1:12">
      <c r="A425" s="236"/>
      <c r="B425" s="125"/>
      <c r="C425" s="125"/>
      <c r="D425" s="125"/>
      <c r="E425" s="125"/>
      <c r="F425" s="125"/>
      <c r="G425" s="125"/>
      <c r="H425" s="125"/>
      <c r="I425" s="125"/>
      <c r="J425" s="125"/>
      <c r="K425" s="125"/>
      <c r="L425" s="125"/>
    </row>
    <row r="426" spans="1:12">
      <c r="A426" s="236"/>
      <c r="B426" s="125"/>
      <c r="C426" s="125"/>
      <c r="D426" s="125"/>
      <c r="E426" s="125"/>
      <c r="F426" s="125"/>
      <c r="G426" s="125"/>
      <c r="H426" s="125"/>
      <c r="I426" s="125"/>
      <c r="J426" s="125"/>
      <c r="K426" s="125"/>
      <c r="L426" s="125"/>
    </row>
    <row r="427" spans="1:12">
      <c r="A427" s="236"/>
      <c r="B427" s="125"/>
      <c r="C427" s="125"/>
      <c r="D427" s="125"/>
      <c r="E427" s="125"/>
      <c r="F427" s="125"/>
      <c r="G427" s="125"/>
      <c r="H427" s="125"/>
      <c r="I427" s="125"/>
      <c r="J427" s="125"/>
      <c r="K427" s="125"/>
      <c r="L427" s="125"/>
    </row>
    <row r="428" spans="1:12">
      <c r="A428" s="236"/>
      <c r="B428" s="125"/>
      <c r="C428" s="125"/>
      <c r="D428" s="125"/>
      <c r="E428" s="125"/>
      <c r="F428" s="125"/>
      <c r="G428" s="125"/>
      <c r="H428" s="125"/>
      <c r="I428" s="125"/>
      <c r="J428" s="125"/>
      <c r="K428" s="125"/>
      <c r="L428" s="125"/>
    </row>
    <row r="429" spans="1:12">
      <c r="A429" s="236"/>
      <c r="B429" s="125"/>
      <c r="C429" s="125"/>
      <c r="D429" s="125"/>
      <c r="E429" s="125"/>
      <c r="F429" s="125"/>
      <c r="G429" s="125"/>
      <c r="H429" s="125"/>
      <c r="I429" s="125"/>
      <c r="J429" s="125"/>
      <c r="K429" s="125"/>
      <c r="L429" s="125"/>
    </row>
    <row r="430" spans="1:12">
      <c r="A430" s="236"/>
      <c r="B430" s="125"/>
      <c r="C430" s="125"/>
      <c r="D430" s="125"/>
      <c r="E430" s="125"/>
      <c r="F430" s="125"/>
      <c r="G430" s="125"/>
      <c r="H430" s="125"/>
      <c r="I430" s="125"/>
      <c r="J430" s="125"/>
      <c r="K430" s="125"/>
      <c r="L430" s="125"/>
    </row>
    <row r="431" spans="1:12">
      <c r="A431" s="236"/>
      <c r="B431" s="125"/>
      <c r="C431" s="125"/>
      <c r="D431" s="125"/>
      <c r="E431" s="125"/>
      <c r="F431" s="125"/>
      <c r="G431" s="125"/>
      <c r="H431" s="125"/>
      <c r="I431" s="125"/>
      <c r="J431" s="125"/>
      <c r="K431" s="125"/>
      <c r="L431" s="125"/>
    </row>
    <row r="432" spans="1:12">
      <c r="A432" s="236"/>
      <c r="B432" s="125"/>
      <c r="C432" s="125"/>
      <c r="D432" s="125"/>
      <c r="E432" s="125"/>
      <c r="F432" s="125"/>
      <c r="G432" s="125"/>
      <c r="H432" s="125"/>
      <c r="I432" s="125"/>
      <c r="J432" s="125"/>
      <c r="K432" s="125"/>
      <c r="L432" s="125"/>
    </row>
    <row r="433" spans="1:12">
      <c r="A433" s="236"/>
      <c r="B433" s="125"/>
      <c r="C433" s="125"/>
      <c r="D433" s="125"/>
      <c r="E433" s="125"/>
      <c r="F433" s="125"/>
      <c r="G433" s="125"/>
      <c r="H433" s="125"/>
      <c r="I433" s="125"/>
      <c r="J433" s="125"/>
      <c r="K433" s="125"/>
      <c r="L433" s="125"/>
    </row>
    <row r="434" spans="1:12">
      <c r="A434" s="236"/>
      <c r="B434" s="125"/>
      <c r="C434" s="125"/>
      <c r="D434" s="125"/>
      <c r="E434" s="125"/>
      <c r="F434" s="125"/>
      <c r="G434" s="125"/>
      <c r="H434" s="125"/>
      <c r="I434" s="125"/>
      <c r="J434" s="125"/>
      <c r="K434" s="125"/>
      <c r="L434" s="125"/>
    </row>
    <row r="435" spans="1:12">
      <c r="A435" s="236"/>
      <c r="B435" s="125"/>
      <c r="C435" s="125"/>
      <c r="D435" s="125"/>
      <c r="E435" s="125"/>
      <c r="F435" s="125"/>
      <c r="G435" s="125"/>
      <c r="H435" s="125"/>
      <c r="I435" s="125"/>
      <c r="J435" s="125"/>
      <c r="K435" s="125"/>
      <c r="L435" s="125"/>
    </row>
    <row r="436" spans="1:12">
      <c r="A436" s="236"/>
      <c r="B436" s="125"/>
      <c r="C436" s="125"/>
      <c r="D436" s="125"/>
      <c r="E436" s="125"/>
      <c r="F436" s="125"/>
      <c r="G436" s="125"/>
      <c r="H436" s="125"/>
      <c r="I436" s="125"/>
      <c r="J436" s="125"/>
      <c r="K436" s="125"/>
      <c r="L436" s="125"/>
    </row>
    <row r="437" spans="1:12">
      <c r="A437" s="236"/>
      <c r="B437" s="125"/>
      <c r="C437" s="125"/>
      <c r="D437" s="125"/>
      <c r="E437" s="125"/>
      <c r="F437" s="125"/>
      <c r="G437" s="125"/>
      <c r="H437" s="125"/>
      <c r="I437" s="125"/>
      <c r="J437" s="125"/>
      <c r="K437" s="125"/>
      <c r="L437" s="125"/>
    </row>
    <row r="438" spans="1:12">
      <c r="A438" s="236"/>
      <c r="B438" s="125"/>
      <c r="C438" s="125"/>
      <c r="D438" s="125"/>
      <c r="E438" s="125"/>
      <c r="F438" s="125"/>
      <c r="G438" s="125"/>
      <c r="H438" s="125"/>
      <c r="I438" s="125"/>
      <c r="J438" s="125"/>
      <c r="K438" s="125"/>
      <c r="L438" s="125"/>
    </row>
    <row r="439" spans="1:12">
      <c r="A439" s="236"/>
      <c r="B439" s="125"/>
      <c r="C439" s="125"/>
      <c r="D439" s="125"/>
      <c r="E439" s="125"/>
      <c r="F439" s="125"/>
      <c r="G439" s="125"/>
      <c r="H439" s="125"/>
      <c r="I439" s="125"/>
      <c r="J439" s="125"/>
      <c r="K439" s="125"/>
      <c r="L439" s="125"/>
    </row>
    <row r="440" spans="1:12">
      <c r="A440" s="236"/>
      <c r="B440" s="125"/>
      <c r="C440" s="125"/>
      <c r="D440" s="125"/>
      <c r="E440" s="125"/>
      <c r="F440" s="125"/>
      <c r="G440" s="125"/>
      <c r="H440" s="125"/>
      <c r="I440" s="125"/>
      <c r="J440" s="125"/>
      <c r="K440" s="125"/>
      <c r="L440" s="125"/>
    </row>
    <row r="441" spans="1:12">
      <c r="A441" s="236"/>
      <c r="B441" s="125"/>
      <c r="C441" s="125"/>
      <c r="D441" s="125"/>
      <c r="E441" s="125"/>
      <c r="F441" s="125"/>
      <c r="G441" s="125"/>
      <c r="H441" s="125"/>
      <c r="I441" s="125"/>
      <c r="J441" s="125"/>
      <c r="K441" s="125"/>
      <c r="L441" s="125"/>
    </row>
    <row r="442" spans="1:12">
      <c r="A442" s="236"/>
      <c r="B442" s="125"/>
      <c r="C442" s="125"/>
      <c r="D442" s="125"/>
      <c r="E442" s="125"/>
      <c r="F442" s="125"/>
      <c r="G442" s="125"/>
      <c r="H442" s="125"/>
      <c r="I442" s="125"/>
      <c r="J442" s="125"/>
      <c r="K442" s="125"/>
      <c r="L442" s="125"/>
    </row>
    <row r="443" spans="1:12">
      <c r="A443" s="236"/>
      <c r="B443" s="125"/>
      <c r="C443" s="125"/>
      <c r="D443" s="125"/>
      <c r="E443" s="125"/>
      <c r="F443" s="125"/>
      <c r="G443" s="125"/>
      <c r="H443" s="125"/>
      <c r="I443" s="125"/>
      <c r="J443" s="125"/>
      <c r="K443" s="125"/>
      <c r="L443" s="125"/>
    </row>
    <row r="444" spans="1:12">
      <c r="A444" s="236"/>
      <c r="B444" s="125"/>
      <c r="C444" s="125"/>
      <c r="D444" s="125"/>
      <c r="E444" s="125"/>
      <c r="F444" s="125"/>
      <c r="G444" s="125"/>
      <c r="H444" s="125"/>
      <c r="I444" s="125"/>
      <c r="J444" s="125"/>
      <c r="K444" s="125"/>
      <c r="L444" s="125"/>
    </row>
    <row r="445" spans="1:12">
      <c r="A445" s="236"/>
      <c r="B445" s="125"/>
      <c r="C445" s="125"/>
      <c r="D445" s="125"/>
      <c r="E445" s="125"/>
      <c r="F445" s="125"/>
      <c r="G445" s="125"/>
      <c r="H445" s="125"/>
      <c r="I445" s="125"/>
      <c r="J445" s="125"/>
      <c r="K445" s="125"/>
      <c r="L445" s="125"/>
    </row>
    <row r="446" spans="1:12">
      <c r="A446" s="236"/>
      <c r="B446" s="125"/>
      <c r="C446" s="125"/>
      <c r="D446" s="125"/>
      <c r="E446" s="125"/>
      <c r="F446" s="125"/>
      <c r="G446" s="125"/>
      <c r="H446" s="125"/>
      <c r="I446" s="125"/>
      <c r="J446" s="125"/>
      <c r="K446" s="125"/>
      <c r="L446" s="125"/>
    </row>
    <row r="447" spans="1:12">
      <c r="A447" s="236"/>
      <c r="B447" s="125"/>
      <c r="C447" s="125"/>
      <c r="D447" s="125"/>
      <c r="E447" s="125"/>
      <c r="F447" s="125"/>
      <c r="G447" s="125"/>
      <c r="H447" s="125"/>
      <c r="I447" s="125"/>
      <c r="J447" s="125"/>
      <c r="K447" s="125"/>
      <c r="L447" s="125"/>
    </row>
    <row r="448" spans="1:12">
      <c r="A448" s="236"/>
      <c r="B448" s="125"/>
      <c r="C448" s="125"/>
      <c r="D448" s="125"/>
      <c r="E448" s="125"/>
      <c r="F448" s="125"/>
      <c r="G448" s="125"/>
      <c r="H448" s="125"/>
      <c r="I448" s="125"/>
      <c r="J448" s="125"/>
      <c r="K448" s="125"/>
      <c r="L448" s="125"/>
    </row>
    <row r="449" spans="1:12">
      <c r="A449" s="236"/>
      <c r="B449" s="125"/>
      <c r="C449" s="125"/>
      <c r="D449" s="125"/>
      <c r="E449" s="125"/>
      <c r="F449" s="125"/>
      <c r="G449" s="125"/>
      <c r="H449" s="125"/>
      <c r="I449" s="125"/>
      <c r="J449" s="125"/>
      <c r="K449" s="125"/>
      <c r="L449" s="125"/>
    </row>
    <row r="450" spans="1:12">
      <c r="A450" s="236"/>
      <c r="B450" s="125"/>
      <c r="C450" s="125"/>
      <c r="D450" s="125"/>
      <c r="E450" s="125"/>
      <c r="F450" s="125"/>
      <c r="G450" s="125"/>
      <c r="H450" s="125"/>
      <c r="I450" s="125"/>
      <c r="J450" s="125"/>
      <c r="K450" s="125"/>
      <c r="L450" s="125"/>
    </row>
    <row r="451" spans="1:12">
      <c r="A451" s="236"/>
      <c r="B451" s="125"/>
      <c r="C451" s="125"/>
      <c r="D451" s="125"/>
      <c r="E451" s="125"/>
      <c r="F451" s="125"/>
      <c r="G451" s="125"/>
      <c r="H451" s="125"/>
      <c r="I451" s="125"/>
      <c r="J451" s="125"/>
      <c r="K451" s="125"/>
      <c r="L451" s="125"/>
    </row>
    <row r="452" spans="1:12">
      <c r="A452" s="236"/>
      <c r="B452" s="125"/>
      <c r="C452" s="125"/>
      <c r="D452" s="125"/>
      <c r="E452" s="125"/>
      <c r="F452" s="125"/>
      <c r="G452" s="125"/>
      <c r="H452" s="125"/>
      <c r="I452" s="125"/>
      <c r="J452" s="125"/>
      <c r="K452" s="125"/>
      <c r="L452" s="125"/>
    </row>
    <row r="453" spans="1:12">
      <c r="A453" s="236"/>
      <c r="B453" s="125"/>
      <c r="C453" s="125"/>
      <c r="D453" s="125"/>
      <c r="E453" s="125"/>
      <c r="F453" s="125"/>
      <c r="G453" s="125"/>
      <c r="H453" s="125"/>
      <c r="I453" s="125"/>
      <c r="J453" s="125"/>
      <c r="K453" s="125"/>
      <c r="L453" s="125"/>
    </row>
    <row r="454" spans="1:12">
      <c r="A454" s="236"/>
      <c r="B454" s="125"/>
      <c r="C454" s="125"/>
      <c r="D454" s="125"/>
      <c r="E454" s="125"/>
      <c r="F454" s="125"/>
      <c r="G454" s="125"/>
      <c r="H454" s="125"/>
      <c r="I454" s="125"/>
      <c r="J454" s="125"/>
      <c r="K454" s="125"/>
      <c r="L454" s="125"/>
    </row>
    <row r="455" spans="1:12">
      <c r="A455" s="236"/>
      <c r="B455" s="125"/>
      <c r="C455" s="125"/>
      <c r="D455" s="125"/>
      <c r="E455" s="125"/>
      <c r="F455" s="125"/>
      <c r="G455" s="125"/>
      <c r="H455" s="125"/>
      <c r="I455" s="125"/>
      <c r="J455" s="125"/>
      <c r="K455" s="125"/>
      <c r="L455" s="125"/>
    </row>
    <row r="456" spans="1:12">
      <c r="A456" s="236"/>
      <c r="B456" s="125"/>
      <c r="C456" s="125"/>
      <c r="D456" s="125"/>
      <c r="E456" s="125"/>
      <c r="F456" s="125"/>
      <c r="G456" s="125"/>
      <c r="H456" s="125"/>
      <c r="I456" s="125"/>
      <c r="J456" s="125"/>
      <c r="K456" s="125"/>
      <c r="L456" s="125"/>
    </row>
    <row r="457" spans="1:12">
      <c r="A457" s="236"/>
      <c r="B457" s="125"/>
      <c r="C457" s="125"/>
      <c r="D457" s="125"/>
      <c r="E457" s="125"/>
      <c r="F457" s="125"/>
      <c r="G457" s="125"/>
      <c r="H457" s="125"/>
      <c r="I457" s="125"/>
      <c r="J457" s="125"/>
      <c r="K457" s="125"/>
      <c r="L457" s="125"/>
    </row>
    <row r="458" spans="1:12">
      <c r="A458" s="236"/>
      <c r="B458" s="125"/>
      <c r="C458" s="125"/>
      <c r="D458" s="125"/>
      <c r="E458" s="125"/>
      <c r="F458" s="125"/>
      <c r="G458" s="125"/>
      <c r="H458" s="125"/>
      <c r="I458" s="125"/>
      <c r="J458" s="125"/>
      <c r="K458" s="125"/>
      <c r="L458" s="125"/>
    </row>
    <row r="459" spans="1:12">
      <c r="A459" s="236"/>
      <c r="B459" s="125"/>
      <c r="C459" s="125"/>
      <c r="D459" s="125"/>
      <c r="E459" s="125"/>
      <c r="F459" s="125"/>
      <c r="G459" s="125"/>
      <c r="H459" s="125"/>
      <c r="I459" s="125"/>
      <c r="J459" s="125"/>
      <c r="K459" s="125"/>
      <c r="L459" s="125"/>
    </row>
    <row r="460" spans="1:12">
      <c r="A460" s="236"/>
      <c r="B460" s="125"/>
      <c r="C460" s="125"/>
      <c r="D460" s="125"/>
      <c r="E460" s="125"/>
      <c r="F460" s="125"/>
      <c r="G460" s="125"/>
      <c r="H460" s="125"/>
      <c r="I460" s="125"/>
      <c r="J460" s="125"/>
      <c r="K460" s="125"/>
      <c r="L460" s="125"/>
    </row>
    <row r="461" spans="1:12">
      <c r="A461" s="236"/>
      <c r="B461" s="125"/>
      <c r="C461" s="125"/>
      <c r="D461" s="125"/>
      <c r="E461" s="125"/>
      <c r="F461" s="125"/>
      <c r="G461" s="125"/>
      <c r="H461" s="125"/>
      <c r="I461" s="125"/>
      <c r="J461" s="125"/>
      <c r="K461" s="125"/>
      <c r="L461" s="125"/>
    </row>
    <row r="462" spans="1:12">
      <c r="A462" s="236"/>
      <c r="B462" s="125"/>
      <c r="C462" s="125"/>
      <c r="D462" s="125"/>
      <c r="E462" s="125"/>
      <c r="F462" s="125"/>
      <c r="G462" s="125"/>
      <c r="H462" s="125"/>
      <c r="I462" s="125"/>
      <c r="J462" s="125"/>
      <c r="K462" s="125"/>
      <c r="L462" s="125"/>
    </row>
    <row r="463" spans="1:12">
      <c r="A463" s="236"/>
      <c r="B463" s="125"/>
      <c r="C463" s="125"/>
      <c r="D463" s="125"/>
      <c r="E463" s="125"/>
      <c r="F463" s="125"/>
      <c r="G463" s="125"/>
      <c r="H463" s="125"/>
      <c r="I463" s="125"/>
      <c r="J463" s="125"/>
      <c r="K463" s="125"/>
      <c r="L463" s="125"/>
    </row>
    <row r="464" spans="1:12">
      <c r="A464" s="236"/>
      <c r="B464" s="125"/>
      <c r="C464" s="125"/>
      <c r="D464" s="125"/>
      <c r="E464" s="125"/>
      <c r="F464" s="125"/>
      <c r="G464" s="125"/>
      <c r="H464" s="125"/>
      <c r="I464" s="125"/>
      <c r="J464" s="125"/>
      <c r="K464" s="125"/>
      <c r="L464" s="125"/>
    </row>
    <row r="465" spans="1:12">
      <c r="A465" s="236"/>
      <c r="B465" s="125"/>
      <c r="C465" s="125"/>
      <c r="D465" s="125"/>
      <c r="E465" s="125"/>
      <c r="F465" s="125"/>
      <c r="G465" s="125"/>
      <c r="H465" s="125"/>
      <c r="I465" s="125"/>
      <c r="J465" s="125"/>
      <c r="K465" s="125"/>
      <c r="L465" s="125"/>
    </row>
    <row r="466" spans="1:12">
      <c r="A466" s="236"/>
      <c r="B466" s="125"/>
      <c r="C466" s="125"/>
      <c r="D466" s="125"/>
      <c r="E466" s="125"/>
      <c r="F466" s="125"/>
      <c r="G466" s="125"/>
      <c r="H466" s="125"/>
      <c r="I466" s="125"/>
      <c r="J466" s="125"/>
      <c r="K466" s="125"/>
      <c r="L466" s="125"/>
    </row>
    <row r="467" spans="1:12">
      <c r="A467" s="236"/>
      <c r="B467" s="125"/>
      <c r="C467" s="125"/>
      <c r="D467" s="125"/>
      <c r="E467" s="125"/>
      <c r="F467" s="125"/>
      <c r="G467" s="125"/>
      <c r="H467" s="125"/>
      <c r="I467" s="125"/>
      <c r="J467" s="125"/>
      <c r="K467" s="125"/>
      <c r="L467" s="125"/>
    </row>
    <row r="468" spans="1:12">
      <c r="A468" s="236"/>
      <c r="B468" s="125"/>
      <c r="C468" s="125"/>
      <c r="D468" s="125"/>
      <c r="E468" s="125"/>
      <c r="F468" s="125"/>
      <c r="G468" s="125"/>
      <c r="H468" s="125"/>
      <c r="I468" s="125"/>
      <c r="J468" s="125"/>
      <c r="K468" s="125"/>
      <c r="L468" s="125"/>
    </row>
    <row r="469" spans="1:12">
      <c r="A469" s="236"/>
      <c r="B469" s="125"/>
      <c r="C469" s="125"/>
      <c r="D469" s="125"/>
      <c r="E469" s="125"/>
      <c r="F469" s="125"/>
      <c r="G469" s="125"/>
      <c r="H469" s="125"/>
      <c r="I469" s="125"/>
      <c r="J469" s="125"/>
      <c r="K469" s="125"/>
      <c r="L469" s="125"/>
    </row>
    <row r="470" spans="1:12">
      <c r="A470" s="236"/>
      <c r="B470" s="125"/>
      <c r="C470" s="125"/>
      <c r="D470" s="125"/>
      <c r="E470" s="125"/>
      <c r="F470" s="125"/>
      <c r="G470" s="125"/>
      <c r="H470" s="125"/>
      <c r="I470" s="125"/>
      <c r="J470" s="125"/>
      <c r="K470" s="125"/>
      <c r="L470" s="125"/>
    </row>
    <row r="471" spans="1:12">
      <c r="A471" s="236"/>
      <c r="B471" s="125"/>
      <c r="C471" s="125"/>
      <c r="D471" s="125"/>
      <c r="E471" s="125"/>
      <c r="F471" s="125"/>
      <c r="G471" s="125"/>
      <c r="H471" s="125"/>
      <c r="I471" s="125"/>
      <c r="J471" s="125"/>
      <c r="K471" s="125"/>
      <c r="L471" s="125"/>
    </row>
    <row r="472" spans="1:12">
      <c r="A472" s="236"/>
      <c r="B472" s="125"/>
      <c r="C472" s="125"/>
      <c r="D472" s="125"/>
      <c r="E472" s="125"/>
      <c r="F472" s="125"/>
      <c r="G472" s="125"/>
      <c r="H472" s="125"/>
      <c r="I472" s="125"/>
      <c r="J472" s="125"/>
      <c r="K472" s="125"/>
      <c r="L472" s="125"/>
    </row>
    <row r="473" spans="1:12">
      <c r="A473" s="236"/>
      <c r="B473" s="125"/>
      <c r="C473" s="125"/>
      <c r="D473" s="125"/>
      <c r="E473" s="125"/>
      <c r="F473" s="125"/>
      <c r="G473" s="125"/>
      <c r="H473" s="125"/>
      <c r="I473" s="125"/>
      <c r="J473" s="125"/>
      <c r="K473" s="125"/>
      <c r="L473" s="125"/>
    </row>
    <row r="474" spans="1:12">
      <c r="A474" s="236"/>
      <c r="B474" s="125"/>
      <c r="C474" s="125"/>
      <c r="D474" s="125"/>
      <c r="E474" s="125"/>
      <c r="F474" s="125"/>
      <c r="G474" s="125"/>
      <c r="H474" s="125"/>
      <c r="I474" s="125"/>
      <c r="J474" s="125"/>
      <c r="K474" s="125"/>
      <c r="L474" s="125"/>
    </row>
    <row r="475" spans="1:12">
      <c r="A475" s="236"/>
      <c r="B475" s="125"/>
      <c r="C475" s="125"/>
      <c r="D475" s="125"/>
      <c r="E475" s="125"/>
      <c r="F475" s="125"/>
      <c r="G475" s="125"/>
      <c r="H475" s="125"/>
      <c r="I475" s="125"/>
      <c r="J475" s="125"/>
      <c r="K475" s="125"/>
      <c r="L475" s="125"/>
    </row>
    <row r="476" spans="1:12">
      <c r="A476" s="236"/>
      <c r="B476" s="125"/>
      <c r="C476" s="125"/>
      <c r="D476" s="125"/>
      <c r="E476" s="125"/>
      <c r="F476" s="125"/>
      <c r="G476" s="125"/>
      <c r="H476" s="125"/>
      <c r="I476" s="125"/>
      <c r="J476" s="125"/>
      <c r="K476" s="125"/>
      <c r="L476" s="125"/>
    </row>
    <row r="477" spans="1:12">
      <c r="A477" s="236"/>
      <c r="B477" s="125"/>
      <c r="C477" s="125"/>
      <c r="D477" s="125"/>
      <c r="E477" s="125"/>
      <c r="F477" s="125"/>
      <c r="G477" s="125"/>
      <c r="H477" s="125"/>
      <c r="I477" s="125"/>
      <c r="J477" s="125"/>
      <c r="K477" s="125"/>
      <c r="L477" s="125"/>
    </row>
    <row r="478" spans="1:12">
      <c r="A478" s="236"/>
      <c r="B478" s="125"/>
      <c r="C478" s="125"/>
      <c r="D478" s="125"/>
      <c r="E478" s="125"/>
      <c r="F478" s="125"/>
      <c r="G478" s="125"/>
      <c r="H478" s="125"/>
      <c r="I478" s="125"/>
      <c r="J478" s="125"/>
      <c r="K478" s="125"/>
      <c r="L478" s="125"/>
    </row>
    <row r="479" spans="1:12">
      <c r="A479" s="236"/>
      <c r="B479" s="125"/>
      <c r="C479" s="125"/>
      <c r="D479" s="125"/>
      <c r="E479" s="125"/>
      <c r="F479" s="125"/>
      <c r="G479" s="125"/>
      <c r="H479" s="125"/>
      <c r="I479" s="125"/>
      <c r="J479" s="125"/>
      <c r="K479" s="125"/>
      <c r="L479" s="125"/>
    </row>
    <row r="480" spans="1:12">
      <c r="A480" s="236"/>
      <c r="B480" s="125"/>
      <c r="C480" s="125"/>
      <c r="D480" s="125"/>
      <c r="E480" s="125"/>
      <c r="F480" s="125"/>
      <c r="G480" s="125"/>
      <c r="H480" s="125"/>
      <c r="I480" s="125"/>
      <c r="J480" s="125"/>
      <c r="K480" s="125"/>
      <c r="L480" s="125"/>
    </row>
    <row r="481" spans="1:12">
      <c r="A481" s="236"/>
      <c r="B481" s="125"/>
      <c r="C481" s="125"/>
      <c r="D481" s="125"/>
      <c r="E481" s="125"/>
      <c r="F481" s="125"/>
      <c r="G481" s="125"/>
      <c r="H481" s="125"/>
      <c r="I481" s="125"/>
      <c r="J481" s="125"/>
      <c r="K481" s="125"/>
      <c r="L481" s="125"/>
    </row>
    <row r="482" spans="1:12">
      <c r="A482" s="236"/>
      <c r="B482" s="125"/>
      <c r="C482" s="125"/>
      <c r="D482" s="125"/>
      <c r="E482" s="125"/>
      <c r="F482" s="125"/>
      <c r="G482" s="125"/>
      <c r="H482" s="125"/>
      <c r="I482" s="125"/>
      <c r="J482" s="125"/>
      <c r="K482" s="125"/>
      <c r="L482" s="125"/>
    </row>
    <row r="483" spans="1:12">
      <c r="A483" s="236"/>
      <c r="B483" s="125"/>
      <c r="C483" s="125"/>
      <c r="D483" s="125"/>
      <c r="E483" s="125"/>
      <c r="F483" s="125"/>
      <c r="G483" s="125"/>
      <c r="H483" s="125"/>
      <c r="I483" s="125"/>
      <c r="J483" s="125"/>
      <c r="K483" s="125"/>
      <c r="L483" s="125"/>
    </row>
    <row r="484" spans="1:12">
      <c r="A484" s="236"/>
      <c r="B484" s="125"/>
      <c r="C484" s="125"/>
      <c r="D484" s="125"/>
      <c r="E484" s="125"/>
      <c r="F484" s="125"/>
      <c r="G484" s="125"/>
      <c r="H484" s="125"/>
      <c r="I484" s="125"/>
      <c r="J484" s="125"/>
      <c r="K484" s="125"/>
      <c r="L484" s="125"/>
    </row>
    <row r="485" spans="1:12">
      <c r="A485" s="236"/>
      <c r="B485" s="125"/>
      <c r="C485" s="125"/>
      <c r="D485" s="125"/>
      <c r="E485" s="125"/>
      <c r="F485" s="125"/>
      <c r="G485" s="125"/>
      <c r="H485" s="125"/>
      <c r="I485" s="125"/>
      <c r="J485" s="125"/>
      <c r="K485" s="125"/>
      <c r="L485" s="125"/>
    </row>
    <row r="486" spans="1:12">
      <c r="A486" s="236"/>
      <c r="B486" s="125"/>
      <c r="C486" s="125"/>
      <c r="D486" s="125"/>
      <c r="E486" s="125"/>
      <c r="F486" s="125"/>
      <c r="G486" s="125"/>
      <c r="H486" s="125"/>
      <c r="I486" s="125"/>
      <c r="J486" s="125"/>
      <c r="K486" s="125"/>
      <c r="L486" s="125"/>
    </row>
    <row r="487" spans="1:12">
      <c r="A487" s="236"/>
      <c r="B487" s="125"/>
      <c r="C487" s="125"/>
      <c r="D487" s="125"/>
      <c r="E487" s="125"/>
      <c r="F487" s="125"/>
      <c r="G487" s="125"/>
      <c r="H487" s="125"/>
      <c r="I487" s="125"/>
      <c r="J487" s="125"/>
      <c r="K487" s="125"/>
      <c r="L487" s="125"/>
    </row>
    <row r="488" spans="1:12">
      <c r="A488" s="236"/>
      <c r="B488" s="125"/>
      <c r="C488" s="125"/>
      <c r="D488" s="125"/>
      <c r="E488" s="125"/>
      <c r="F488" s="125"/>
      <c r="G488" s="125"/>
      <c r="H488" s="125"/>
      <c r="I488" s="125"/>
      <c r="J488" s="125"/>
      <c r="K488" s="125"/>
      <c r="L488" s="125"/>
    </row>
    <row r="489" spans="1:12">
      <c r="A489" s="236"/>
      <c r="B489" s="125"/>
      <c r="C489" s="125"/>
      <c r="D489" s="125"/>
      <c r="E489" s="125"/>
      <c r="F489" s="125"/>
      <c r="G489" s="125"/>
      <c r="H489" s="125"/>
      <c r="I489" s="125"/>
      <c r="J489" s="125"/>
      <c r="K489" s="125"/>
      <c r="L489" s="125"/>
    </row>
    <row r="490" spans="1:12">
      <c r="A490" s="236"/>
      <c r="B490" s="125"/>
      <c r="C490" s="125"/>
      <c r="D490" s="125"/>
      <c r="E490" s="125"/>
      <c r="F490" s="125"/>
      <c r="G490" s="125"/>
      <c r="H490" s="125"/>
      <c r="I490" s="125"/>
      <c r="J490" s="125"/>
      <c r="K490" s="125"/>
      <c r="L490" s="125"/>
    </row>
    <row r="491" spans="1:12">
      <c r="A491" s="236"/>
      <c r="B491" s="125"/>
      <c r="C491" s="125"/>
      <c r="D491" s="125"/>
      <c r="E491" s="125"/>
      <c r="F491" s="125"/>
      <c r="G491" s="125"/>
      <c r="H491" s="125"/>
      <c r="I491" s="125"/>
      <c r="J491" s="125"/>
      <c r="K491" s="125"/>
      <c r="L491" s="125"/>
    </row>
    <row r="492" spans="1:12">
      <c r="A492" s="236"/>
      <c r="B492" s="125"/>
      <c r="C492" s="125"/>
      <c r="D492" s="125"/>
      <c r="E492" s="125"/>
      <c r="F492" s="125"/>
      <c r="G492" s="125"/>
      <c r="H492" s="125"/>
      <c r="I492" s="125"/>
      <c r="J492" s="125"/>
      <c r="K492" s="125"/>
      <c r="L492" s="125"/>
    </row>
    <row r="493" spans="1:12">
      <c r="A493" s="236"/>
      <c r="B493" s="125"/>
      <c r="C493" s="125"/>
      <c r="D493" s="125"/>
      <c r="E493" s="125"/>
      <c r="F493" s="125"/>
      <c r="G493" s="125"/>
      <c r="H493" s="125"/>
      <c r="I493" s="125"/>
      <c r="J493" s="125"/>
      <c r="K493" s="125"/>
      <c r="L493" s="125"/>
    </row>
    <row r="494" spans="1:12">
      <c r="A494" s="236"/>
      <c r="B494" s="125"/>
      <c r="C494" s="125"/>
      <c r="D494" s="125"/>
      <c r="E494" s="125"/>
      <c r="F494" s="125"/>
      <c r="G494" s="125"/>
      <c r="H494" s="125"/>
      <c r="I494" s="125"/>
      <c r="J494" s="125"/>
      <c r="K494" s="125"/>
      <c r="L494" s="125"/>
    </row>
    <row r="495" spans="1:12">
      <c r="A495" s="236"/>
      <c r="B495" s="125"/>
      <c r="C495" s="125"/>
      <c r="D495" s="125"/>
      <c r="E495" s="125"/>
      <c r="F495" s="125"/>
      <c r="G495" s="125"/>
      <c r="H495" s="125"/>
      <c r="I495" s="125"/>
      <c r="J495" s="125"/>
      <c r="K495" s="125"/>
      <c r="L495" s="125"/>
    </row>
    <row r="496" spans="1:12">
      <c r="A496" s="236"/>
      <c r="B496" s="125"/>
      <c r="C496" s="125"/>
      <c r="D496" s="125"/>
      <c r="E496" s="125"/>
      <c r="F496" s="125"/>
      <c r="G496" s="125"/>
      <c r="H496" s="125"/>
      <c r="I496" s="125"/>
      <c r="J496" s="125"/>
      <c r="K496" s="125"/>
      <c r="L496" s="125"/>
    </row>
    <row r="497" spans="1:12">
      <c r="A497" s="236"/>
      <c r="B497" s="125"/>
      <c r="C497" s="125"/>
      <c r="D497" s="125"/>
      <c r="E497" s="125"/>
      <c r="F497" s="125"/>
      <c r="G497" s="125"/>
      <c r="H497" s="125"/>
      <c r="I497" s="125"/>
      <c r="J497" s="125"/>
      <c r="K497" s="125"/>
      <c r="L497" s="125"/>
    </row>
    <row r="498" spans="1:12">
      <c r="A498" s="236"/>
      <c r="B498" s="125"/>
      <c r="C498" s="125"/>
      <c r="D498" s="125"/>
      <c r="E498" s="125"/>
      <c r="F498" s="125"/>
      <c r="G498" s="125"/>
      <c r="H498" s="125"/>
      <c r="I498" s="125"/>
      <c r="J498" s="125"/>
      <c r="K498" s="125"/>
      <c r="L498" s="125"/>
    </row>
    <row r="499" spans="1:12">
      <c r="A499" s="236"/>
      <c r="B499" s="125"/>
      <c r="C499" s="125"/>
      <c r="D499" s="125"/>
      <c r="E499" s="125"/>
      <c r="F499" s="125"/>
      <c r="G499" s="125"/>
      <c r="H499" s="125"/>
      <c r="I499" s="125"/>
      <c r="J499" s="125"/>
      <c r="K499" s="125"/>
      <c r="L499" s="125"/>
    </row>
    <row r="500" spans="1:12">
      <c r="A500" s="236"/>
      <c r="B500" s="125"/>
      <c r="C500" s="125"/>
      <c r="D500" s="125"/>
      <c r="E500" s="125"/>
      <c r="F500" s="125"/>
      <c r="G500" s="125"/>
      <c r="H500" s="125"/>
      <c r="I500" s="125"/>
      <c r="J500" s="125"/>
      <c r="K500" s="125"/>
      <c r="L500" s="125"/>
    </row>
    <row r="501" spans="1:12">
      <c r="A501" s="236"/>
      <c r="B501" s="125"/>
      <c r="C501" s="125"/>
      <c r="D501" s="125"/>
      <c r="E501" s="125"/>
      <c r="F501" s="125"/>
      <c r="G501" s="125"/>
      <c r="H501" s="125"/>
      <c r="I501" s="125"/>
      <c r="J501" s="125"/>
      <c r="K501" s="125"/>
      <c r="L501" s="125"/>
    </row>
    <row r="502" spans="1:12">
      <c r="A502" s="236"/>
      <c r="B502" s="125"/>
      <c r="C502" s="125"/>
      <c r="D502" s="125"/>
      <c r="E502" s="125"/>
      <c r="F502" s="125"/>
      <c r="G502" s="125"/>
      <c r="H502" s="125"/>
      <c r="I502" s="125"/>
      <c r="J502" s="125"/>
      <c r="K502" s="125"/>
      <c r="L502" s="125"/>
    </row>
    <row r="503" spans="1:12">
      <c r="A503" s="236"/>
      <c r="B503" s="125"/>
      <c r="C503" s="125"/>
      <c r="D503" s="125"/>
      <c r="E503" s="125"/>
      <c r="F503" s="125"/>
      <c r="G503" s="125"/>
      <c r="H503" s="125"/>
      <c r="I503" s="125"/>
      <c r="J503" s="125"/>
      <c r="K503" s="125"/>
      <c r="L503" s="125"/>
    </row>
    <row r="504" spans="1:12">
      <c r="A504" s="236"/>
      <c r="B504" s="125"/>
      <c r="C504" s="125"/>
      <c r="D504" s="125"/>
      <c r="E504" s="125"/>
      <c r="F504" s="125"/>
      <c r="G504" s="125"/>
      <c r="H504" s="125"/>
      <c r="I504" s="125"/>
      <c r="J504" s="125"/>
      <c r="K504" s="125"/>
      <c r="L504" s="125"/>
    </row>
    <row r="505" spans="1:12">
      <c r="A505" s="236"/>
      <c r="B505" s="125"/>
      <c r="C505" s="125"/>
      <c r="D505" s="125"/>
      <c r="E505" s="125"/>
      <c r="F505" s="125"/>
      <c r="G505" s="125"/>
      <c r="H505" s="125"/>
      <c r="I505" s="125"/>
      <c r="J505" s="125"/>
      <c r="K505" s="125"/>
      <c r="L505" s="125"/>
    </row>
    <row r="506" spans="1:12">
      <c r="A506" s="236"/>
      <c r="B506" s="125"/>
      <c r="C506" s="125"/>
      <c r="D506" s="125"/>
      <c r="E506" s="125"/>
      <c r="F506" s="125"/>
      <c r="G506" s="125"/>
      <c r="H506" s="125"/>
      <c r="I506" s="125"/>
      <c r="J506" s="125"/>
      <c r="K506" s="125"/>
      <c r="L506" s="125"/>
    </row>
    <row r="507" spans="1:12">
      <c r="A507" s="236"/>
      <c r="B507" s="125"/>
      <c r="C507" s="125"/>
      <c r="D507" s="125"/>
      <c r="E507" s="125"/>
      <c r="F507" s="125"/>
      <c r="G507" s="125"/>
      <c r="H507" s="125"/>
      <c r="I507" s="125"/>
      <c r="J507" s="125"/>
      <c r="K507" s="125"/>
      <c r="L507" s="125"/>
    </row>
    <row r="508" spans="1:12">
      <c r="A508" s="236"/>
      <c r="B508" s="125"/>
      <c r="C508" s="125"/>
      <c r="D508" s="125"/>
      <c r="E508" s="125"/>
      <c r="F508" s="125"/>
      <c r="G508" s="125"/>
      <c r="H508" s="125"/>
      <c r="I508" s="125"/>
      <c r="J508" s="125"/>
      <c r="K508" s="125"/>
      <c r="L508" s="125"/>
    </row>
    <row r="509" spans="1:12">
      <c r="A509" s="236"/>
      <c r="B509" s="125"/>
      <c r="C509" s="125"/>
      <c r="D509" s="125"/>
      <c r="E509" s="125"/>
      <c r="F509" s="125"/>
      <c r="G509" s="125"/>
      <c r="H509" s="125"/>
      <c r="I509" s="125"/>
      <c r="J509" s="125"/>
      <c r="K509" s="125"/>
      <c r="L509" s="125"/>
    </row>
    <row r="510" spans="1:12">
      <c r="A510" s="236"/>
      <c r="B510" s="125"/>
      <c r="C510" s="125"/>
      <c r="D510" s="125"/>
      <c r="E510" s="125"/>
      <c r="F510" s="125"/>
      <c r="G510" s="125"/>
      <c r="H510" s="125"/>
      <c r="I510" s="125"/>
      <c r="J510" s="125"/>
      <c r="K510" s="125"/>
      <c r="L510" s="125"/>
    </row>
    <row r="511" spans="1:12">
      <c r="A511" s="236"/>
      <c r="B511" s="125"/>
      <c r="C511" s="125"/>
      <c r="D511" s="125"/>
      <c r="E511" s="125"/>
      <c r="F511" s="125"/>
      <c r="G511" s="125"/>
      <c r="H511" s="125"/>
      <c r="I511" s="125"/>
      <c r="J511" s="125"/>
      <c r="K511" s="125"/>
      <c r="L511" s="125"/>
    </row>
    <row r="512" spans="1:12">
      <c r="A512" s="236"/>
      <c r="B512" s="125"/>
      <c r="C512" s="125"/>
      <c r="D512" s="125"/>
      <c r="E512" s="125"/>
      <c r="F512" s="125"/>
      <c r="G512" s="125"/>
      <c r="H512" s="125"/>
      <c r="I512" s="125"/>
      <c r="J512" s="125"/>
      <c r="K512" s="125"/>
      <c r="L512" s="125"/>
    </row>
    <row r="513" spans="1:12">
      <c r="A513" s="236"/>
      <c r="B513" s="125"/>
      <c r="C513" s="125"/>
      <c r="D513" s="125"/>
      <c r="E513" s="125"/>
      <c r="F513" s="125"/>
      <c r="G513" s="125"/>
      <c r="H513" s="125"/>
      <c r="I513" s="125"/>
      <c r="J513" s="125"/>
      <c r="K513" s="125"/>
      <c r="L513" s="125"/>
    </row>
    <row r="514" spans="1:12">
      <c r="A514" s="236"/>
      <c r="B514" s="125"/>
      <c r="C514" s="125"/>
      <c r="D514" s="125"/>
      <c r="E514" s="125"/>
      <c r="F514" s="125"/>
      <c r="G514" s="125"/>
      <c r="H514" s="125"/>
      <c r="I514" s="125"/>
      <c r="J514" s="125"/>
      <c r="K514" s="125"/>
      <c r="L514" s="125"/>
    </row>
    <row r="515" spans="1:12">
      <c r="A515" s="236"/>
      <c r="B515" s="125"/>
      <c r="C515" s="125"/>
      <c r="D515" s="125"/>
      <c r="E515" s="125"/>
      <c r="F515" s="125"/>
      <c r="G515" s="125"/>
      <c r="H515" s="125"/>
      <c r="I515" s="125"/>
      <c r="J515" s="125"/>
      <c r="K515" s="125"/>
      <c r="L515" s="125"/>
    </row>
    <row r="516" spans="1:12">
      <c r="A516" s="236"/>
      <c r="B516" s="125"/>
      <c r="C516" s="125"/>
      <c r="D516" s="125"/>
      <c r="E516" s="125"/>
      <c r="F516" s="125"/>
      <c r="G516" s="125"/>
      <c r="H516" s="125"/>
      <c r="I516" s="125"/>
      <c r="J516" s="125"/>
      <c r="K516" s="125"/>
      <c r="L516" s="125"/>
    </row>
    <row r="517" spans="1:12">
      <c r="A517" s="236"/>
      <c r="B517" s="125"/>
      <c r="C517" s="125"/>
      <c r="D517" s="125"/>
      <c r="E517" s="125"/>
      <c r="F517" s="125"/>
      <c r="G517" s="125"/>
      <c r="H517" s="125"/>
      <c r="I517" s="125"/>
      <c r="J517" s="125"/>
      <c r="K517" s="125"/>
      <c r="L517" s="125"/>
    </row>
    <row r="518" spans="1:12">
      <c r="A518" s="236"/>
      <c r="B518" s="125"/>
      <c r="C518" s="125"/>
      <c r="D518" s="125"/>
      <c r="E518" s="125"/>
      <c r="F518" s="125"/>
      <c r="G518" s="125"/>
      <c r="H518" s="125"/>
      <c r="I518" s="125"/>
      <c r="J518" s="125"/>
      <c r="K518" s="125"/>
      <c r="L518" s="125"/>
    </row>
    <row r="519" spans="1:12">
      <c r="A519" s="236"/>
      <c r="B519" s="125"/>
      <c r="C519" s="125"/>
      <c r="D519" s="125"/>
      <c r="E519" s="125"/>
      <c r="F519" s="125"/>
      <c r="G519" s="125"/>
      <c r="H519" s="125"/>
      <c r="I519" s="125"/>
      <c r="J519" s="125"/>
      <c r="K519" s="125"/>
      <c r="L519" s="125"/>
    </row>
    <row r="520" spans="1:12">
      <c r="A520" s="236"/>
      <c r="B520" s="125"/>
      <c r="C520" s="125"/>
      <c r="D520" s="125"/>
      <c r="E520" s="125"/>
      <c r="F520" s="125"/>
      <c r="G520" s="125"/>
      <c r="H520" s="125"/>
      <c r="I520" s="125"/>
      <c r="J520" s="125"/>
      <c r="K520" s="125"/>
      <c r="L520" s="125"/>
    </row>
    <row r="521" spans="1:12">
      <c r="A521" s="236"/>
      <c r="B521" s="125"/>
      <c r="C521" s="125"/>
      <c r="D521" s="125"/>
      <c r="E521" s="125"/>
      <c r="F521" s="125"/>
      <c r="G521" s="125"/>
      <c r="H521" s="125"/>
      <c r="I521" s="125"/>
      <c r="J521" s="125"/>
      <c r="K521" s="125"/>
      <c r="L521" s="125"/>
    </row>
    <row r="522" spans="1:12">
      <c r="A522" s="236"/>
      <c r="B522" s="125"/>
      <c r="C522" s="125"/>
      <c r="D522" s="125"/>
      <c r="E522" s="125"/>
      <c r="F522" s="125"/>
      <c r="G522" s="125"/>
      <c r="H522" s="125"/>
      <c r="I522" s="125"/>
      <c r="J522" s="125"/>
      <c r="K522" s="125"/>
      <c r="L522" s="125"/>
    </row>
    <row r="523" spans="1:12">
      <c r="A523" s="236"/>
      <c r="B523" s="125"/>
      <c r="C523" s="125"/>
      <c r="D523" s="125"/>
      <c r="E523" s="125"/>
      <c r="F523" s="125"/>
      <c r="G523" s="125"/>
      <c r="H523" s="125"/>
      <c r="I523" s="125"/>
      <c r="J523" s="125"/>
      <c r="K523" s="125"/>
      <c r="L523" s="125"/>
    </row>
    <row r="524" spans="1:12">
      <c r="A524" s="236"/>
      <c r="B524" s="125"/>
      <c r="C524" s="125"/>
      <c r="D524" s="125"/>
      <c r="E524" s="125"/>
      <c r="F524" s="125"/>
      <c r="G524" s="125"/>
      <c r="H524" s="125"/>
      <c r="I524" s="125"/>
      <c r="J524" s="125"/>
      <c r="K524" s="125"/>
      <c r="L524" s="125"/>
    </row>
    <row r="525" spans="1:12">
      <c r="A525" s="236"/>
      <c r="B525" s="125"/>
      <c r="C525" s="125"/>
      <c r="D525" s="125"/>
      <c r="E525" s="125"/>
      <c r="F525" s="125"/>
      <c r="G525" s="125"/>
      <c r="H525" s="125"/>
      <c r="I525" s="125"/>
      <c r="J525" s="125"/>
      <c r="K525" s="125"/>
      <c r="L525" s="125"/>
    </row>
    <row r="526" spans="1:12">
      <c r="A526" s="236"/>
      <c r="B526" s="125"/>
      <c r="C526" s="125"/>
      <c r="D526" s="125"/>
      <c r="E526" s="125"/>
      <c r="F526" s="125"/>
      <c r="G526" s="125"/>
      <c r="H526" s="125"/>
      <c r="I526" s="125"/>
      <c r="J526" s="125"/>
      <c r="K526" s="125"/>
      <c r="L526" s="125"/>
    </row>
    <row r="527" spans="1:12">
      <c r="A527" s="236"/>
      <c r="B527" s="125"/>
      <c r="C527" s="125"/>
      <c r="D527" s="125"/>
      <c r="E527" s="125"/>
      <c r="F527" s="125"/>
      <c r="G527" s="125"/>
      <c r="H527" s="125"/>
      <c r="I527" s="125"/>
      <c r="J527" s="125"/>
      <c r="K527" s="125"/>
      <c r="L527" s="125"/>
    </row>
    <row r="528" spans="1:12">
      <c r="A528" s="236"/>
      <c r="B528" s="125"/>
      <c r="C528" s="125"/>
      <c r="D528" s="125"/>
      <c r="E528" s="125"/>
      <c r="F528" s="125"/>
      <c r="G528" s="125"/>
      <c r="H528" s="125"/>
      <c r="I528" s="125"/>
      <c r="J528" s="125"/>
      <c r="K528" s="125"/>
      <c r="L528" s="125"/>
    </row>
    <row r="529" spans="1:12">
      <c r="A529" s="236"/>
      <c r="B529" s="125"/>
      <c r="C529" s="125"/>
      <c r="D529" s="125"/>
      <c r="E529" s="125"/>
      <c r="F529" s="125"/>
      <c r="G529" s="125"/>
      <c r="H529" s="125"/>
      <c r="I529" s="125"/>
      <c r="J529" s="125"/>
      <c r="K529" s="125"/>
      <c r="L529" s="125"/>
    </row>
    <row r="530" spans="1:12">
      <c r="A530" s="236"/>
      <c r="B530" s="125"/>
      <c r="C530" s="125"/>
      <c r="D530" s="125"/>
      <c r="E530" s="125"/>
      <c r="F530" s="125"/>
      <c r="G530" s="125"/>
      <c r="H530" s="125"/>
      <c r="I530" s="125"/>
      <c r="J530" s="125"/>
      <c r="K530" s="125"/>
      <c r="L530" s="125"/>
    </row>
    <row r="531" spans="1:12">
      <c r="A531" s="236"/>
      <c r="B531" s="125"/>
      <c r="C531" s="125"/>
      <c r="D531" s="125"/>
      <c r="E531" s="125"/>
      <c r="F531" s="125"/>
      <c r="G531" s="125"/>
      <c r="H531" s="125"/>
      <c r="I531" s="125"/>
      <c r="J531" s="125"/>
      <c r="K531" s="125"/>
      <c r="L531" s="125"/>
    </row>
    <row r="532" spans="1:12">
      <c r="A532" s="236"/>
      <c r="B532" s="125"/>
      <c r="C532" s="125"/>
      <c r="D532" s="125"/>
      <c r="E532" s="125"/>
      <c r="F532" s="125"/>
      <c r="G532" s="125"/>
      <c r="H532" s="125"/>
      <c r="I532" s="125"/>
      <c r="J532" s="125"/>
      <c r="K532" s="125"/>
      <c r="L532" s="125"/>
    </row>
    <row r="533" spans="1:12">
      <c r="A533" s="236"/>
      <c r="B533" s="125"/>
      <c r="C533" s="125"/>
      <c r="D533" s="125"/>
      <c r="E533" s="125"/>
      <c r="F533" s="125"/>
      <c r="G533" s="125"/>
      <c r="H533" s="125"/>
      <c r="I533" s="125"/>
      <c r="J533" s="125"/>
      <c r="K533" s="125"/>
      <c r="L533" s="125"/>
    </row>
    <row r="534" spans="1:12">
      <c r="A534" s="236"/>
      <c r="B534" s="125"/>
      <c r="C534" s="125"/>
      <c r="D534" s="125"/>
      <c r="E534" s="125"/>
      <c r="F534" s="125"/>
      <c r="G534" s="125"/>
      <c r="H534" s="125"/>
      <c r="I534" s="125"/>
      <c r="J534" s="125"/>
      <c r="K534" s="125"/>
      <c r="L534" s="125"/>
    </row>
    <row r="535" spans="1:12">
      <c r="A535" s="236"/>
      <c r="B535" s="125"/>
      <c r="C535" s="125"/>
      <c r="D535" s="125"/>
      <c r="E535" s="125"/>
      <c r="F535" s="125"/>
      <c r="G535" s="125"/>
      <c r="H535" s="125"/>
      <c r="I535" s="125"/>
      <c r="J535" s="125"/>
      <c r="K535" s="125"/>
      <c r="L535" s="125"/>
    </row>
    <row r="536" spans="1:12">
      <c r="A536" s="236"/>
      <c r="B536" s="125"/>
      <c r="C536" s="125"/>
      <c r="D536" s="125"/>
      <c r="E536" s="125"/>
      <c r="F536" s="125"/>
      <c r="G536" s="125"/>
      <c r="H536" s="125"/>
      <c r="I536" s="125"/>
      <c r="J536" s="125"/>
      <c r="K536" s="125"/>
      <c r="L536" s="125"/>
    </row>
    <row r="537" spans="1:12">
      <c r="A537" s="236"/>
      <c r="B537" s="125"/>
      <c r="C537" s="125"/>
      <c r="D537" s="125"/>
      <c r="E537" s="125"/>
      <c r="F537" s="125"/>
      <c r="G537" s="125"/>
      <c r="H537" s="125"/>
      <c r="I537" s="125"/>
      <c r="J537" s="125"/>
      <c r="K537" s="125"/>
      <c r="L537" s="125"/>
    </row>
    <row r="538" spans="1:12">
      <c r="A538" s="236"/>
      <c r="B538" s="125"/>
      <c r="C538" s="125"/>
      <c r="D538" s="125"/>
      <c r="E538" s="125"/>
      <c r="F538" s="125"/>
      <c r="G538" s="125"/>
      <c r="H538" s="125"/>
      <c r="I538" s="125"/>
      <c r="J538" s="125"/>
      <c r="K538" s="125"/>
      <c r="L538" s="125"/>
    </row>
    <row r="539" spans="1:12">
      <c r="A539" s="236"/>
      <c r="B539" s="125"/>
      <c r="C539" s="125"/>
      <c r="D539" s="125"/>
      <c r="E539" s="125"/>
      <c r="F539" s="125"/>
      <c r="G539" s="125"/>
      <c r="H539" s="125"/>
      <c r="I539" s="125"/>
      <c r="J539" s="125"/>
      <c r="K539" s="125"/>
      <c r="L539" s="125"/>
    </row>
    <row r="540" spans="1:12">
      <c r="A540" s="236"/>
      <c r="B540" s="125"/>
      <c r="C540" s="125"/>
      <c r="D540" s="125"/>
      <c r="E540" s="125"/>
      <c r="F540" s="125"/>
      <c r="G540" s="125"/>
      <c r="H540" s="125"/>
      <c r="I540" s="125"/>
      <c r="J540" s="125"/>
      <c r="K540" s="125"/>
      <c r="L540" s="125"/>
    </row>
    <row r="541" spans="1:12">
      <c r="A541" s="236"/>
      <c r="B541" s="125"/>
      <c r="C541" s="125"/>
      <c r="D541" s="125"/>
      <c r="E541" s="125"/>
      <c r="F541" s="125"/>
      <c r="G541" s="125"/>
      <c r="H541" s="125"/>
      <c r="I541" s="125"/>
      <c r="J541" s="125"/>
      <c r="K541" s="125"/>
      <c r="L541" s="125"/>
    </row>
    <row r="542" spans="1:12">
      <c r="A542" s="236"/>
      <c r="B542" s="125"/>
      <c r="C542" s="125"/>
      <c r="D542" s="125"/>
      <c r="E542" s="125"/>
      <c r="F542" s="125"/>
      <c r="G542" s="125"/>
      <c r="H542" s="125"/>
      <c r="I542" s="125"/>
      <c r="J542" s="125"/>
      <c r="K542" s="125"/>
      <c r="L542" s="125"/>
    </row>
    <row r="543" spans="1:12">
      <c r="A543" s="236"/>
      <c r="B543" s="125"/>
      <c r="C543" s="125"/>
      <c r="D543" s="125"/>
      <c r="E543" s="125"/>
      <c r="F543" s="125"/>
      <c r="G543" s="125"/>
      <c r="H543" s="125"/>
      <c r="I543" s="125"/>
      <c r="J543" s="125"/>
      <c r="K543" s="125"/>
      <c r="L543" s="125"/>
    </row>
    <row r="544" spans="1:12">
      <c r="A544" s="236"/>
      <c r="B544" s="125"/>
      <c r="C544" s="125"/>
      <c r="D544" s="125"/>
      <c r="E544" s="125"/>
      <c r="F544" s="125"/>
      <c r="G544" s="125"/>
      <c r="H544" s="125"/>
      <c r="I544" s="125"/>
      <c r="J544" s="125"/>
      <c r="K544" s="125"/>
      <c r="L544" s="125"/>
    </row>
    <row r="545" spans="1:12">
      <c r="A545" s="236"/>
      <c r="B545" s="125"/>
      <c r="C545" s="125"/>
      <c r="D545" s="125"/>
      <c r="E545" s="125"/>
      <c r="F545" s="125"/>
      <c r="G545" s="125"/>
      <c r="H545" s="125"/>
      <c r="I545" s="125"/>
      <c r="J545" s="125"/>
      <c r="K545" s="125"/>
      <c r="L545" s="125"/>
    </row>
    <row r="546" spans="1:12">
      <c r="A546" s="236"/>
      <c r="B546" s="125"/>
      <c r="C546" s="125"/>
      <c r="D546" s="125"/>
      <c r="E546" s="125"/>
      <c r="F546" s="125"/>
      <c r="G546" s="125"/>
      <c r="H546" s="125"/>
      <c r="I546" s="125"/>
      <c r="J546" s="125"/>
      <c r="K546" s="125"/>
      <c r="L546" s="125"/>
    </row>
    <row r="547" spans="1:12">
      <c r="A547" s="236"/>
      <c r="B547" s="125"/>
      <c r="C547" s="125"/>
      <c r="D547" s="125"/>
      <c r="E547" s="125"/>
      <c r="F547" s="125"/>
      <c r="G547" s="125"/>
      <c r="H547" s="125"/>
      <c r="I547" s="125"/>
      <c r="J547" s="125"/>
      <c r="K547" s="125"/>
      <c r="L547" s="125"/>
    </row>
    <row r="548" spans="1:12">
      <c r="A548" s="236"/>
      <c r="B548" s="125"/>
      <c r="C548" s="125"/>
      <c r="D548" s="125"/>
      <c r="E548" s="125"/>
      <c r="F548" s="125"/>
      <c r="G548" s="125"/>
      <c r="H548" s="125"/>
      <c r="I548" s="125"/>
      <c r="J548" s="125"/>
      <c r="K548" s="125"/>
      <c r="L548" s="125"/>
    </row>
  </sheetData>
  <pageMargins left="0.75" right="0.75" top="1" bottom="1" header="0.5" footer="0.5"/>
  <pageSetup paperSize="9"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sheetPr codeName="Blad6">
    <tabColor indexed="32"/>
  </sheetPr>
  <dimension ref="A1:CZ82"/>
  <sheetViews>
    <sheetView showGridLines="0" showZeros="0" zoomScaleNormal="100" workbookViewId="0">
      <pane xSplit="2" ySplit="1" topLeftCell="M2" activePane="bottomRight" state="frozen"/>
      <selection activeCell="B47" sqref="B47"/>
      <selection pane="topRight" activeCell="B47" sqref="B47"/>
      <selection pane="bottomLeft" activeCell="B47" sqref="B47"/>
      <selection pane="bottomRight" activeCell="AH18" sqref="AD1:AH18"/>
    </sheetView>
  </sheetViews>
  <sheetFormatPr defaultColWidth="9.140625" defaultRowHeight="12.75"/>
  <cols>
    <col min="1" max="1" width="8" style="302" customWidth="1"/>
    <col min="2" max="2" width="13.85546875" style="33" customWidth="1"/>
    <col min="3" max="4" width="5.28515625" style="83" customWidth="1"/>
    <col min="5" max="5" width="5.28515625" style="86" customWidth="1"/>
    <col min="6" max="8" width="5.28515625" style="85" customWidth="1"/>
    <col min="9" max="17" width="5.28515625" style="83" customWidth="1"/>
    <col min="18" max="18" width="5.28515625" style="85" customWidth="1"/>
    <col min="19" max="20" width="5.28515625" style="83" customWidth="1"/>
    <col min="21" max="23" width="5.28515625" style="85" customWidth="1"/>
    <col min="24" max="24" width="5.28515625" style="149" customWidth="1"/>
    <col min="25" max="25" width="5.28515625" style="70" customWidth="1"/>
    <col min="26" max="26" width="5.7109375" style="34" customWidth="1"/>
    <col min="27" max="27" width="10.7109375" style="100" customWidth="1"/>
    <col min="28" max="28" width="5.85546875" style="100" customWidth="1"/>
    <col min="29" max="29" width="4.7109375" style="170" customWidth="1"/>
    <col min="30" max="30" width="17" style="71" customWidth="1"/>
    <col min="31" max="31" width="6.140625" style="71" customWidth="1"/>
    <col min="32" max="61" width="9.140625" style="71"/>
    <col min="62" max="104" width="9.140625" style="72"/>
    <col min="105" max="16384" width="9.140625" style="73"/>
  </cols>
  <sheetData>
    <row r="1" spans="1:104" ht="13.5" thickBot="1">
      <c r="A1" s="298"/>
      <c r="C1" s="111">
        <v>1</v>
      </c>
      <c r="D1" s="111">
        <v>2</v>
      </c>
      <c r="E1" s="111">
        <v>3</v>
      </c>
      <c r="F1" s="111">
        <v>4</v>
      </c>
      <c r="G1" s="111">
        <v>5</v>
      </c>
      <c r="H1" s="111">
        <v>6</v>
      </c>
      <c r="I1" s="111">
        <v>7</v>
      </c>
      <c r="J1" s="111">
        <v>8</v>
      </c>
      <c r="K1" s="111">
        <v>9</v>
      </c>
      <c r="L1" s="111">
        <v>10</v>
      </c>
      <c r="M1" s="111">
        <v>11</v>
      </c>
      <c r="N1" s="111">
        <v>12</v>
      </c>
      <c r="O1" s="111">
        <v>13</v>
      </c>
      <c r="P1" s="111">
        <v>14</v>
      </c>
      <c r="Q1" s="111">
        <v>15</v>
      </c>
      <c r="R1" s="111">
        <v>16</v>
      </c>
      <c r="S1" s="111">
        <v>17</v>
      </c>
      <c r="T1" s="111">
        <v>18</v>
      </c>
      <c r="U1" s="111">
        <v>19</v>
      </c>
      <c r="V1" s="111">
        <v>20</v>
      </c>
      <c r="W1" s="111">
        <v>21</v>
      </c>
      <c r="Y1" s="70" t="s">
        <v>1</v>
      </c>
      <c r="Z1" s="32"/>
      <c r="AA1" s="100" t="s">
        <v>49</v>
      </c>
      <c r="AB1" s="100" t="s">
        <v>64</v>
      </c>
      <c r="AF1" s="71" t="s">
        <v>245</v>
      </c>
      <c r="AH1" s="71" t="s">
        <v>244</v>
      </c>
    </row>
    <row r="2" spans="1:104" s="74" customFormat="1">
      <c r="A2" s="299"/>
      <c r="B2" s="98" t="s">
        <v>154</v>
      </c>
      <c r="C2" s="93"/>
      <c r="D2" s="93">
        <f>35+10+1</f>
        <v>46</v>
      </c>
      <c r="E2" s="93">
        <f>10</f>
        <v>10</v>
      </c>
      <c r="F2" s="93">
        <f>22+10</f>
        <v>32</v>
      </c>
      <c r="G2" s="93">
        <f>10</f>
        <v>10</v>
      </c>
      <c r="H2" s="93">
        <f>22</f>
        <v>22</v>
      </c>
      <c r="I2" s="93">
        <f>14</f>
        <v>14</v>
      </c>
      <c r="J2" s="93"/>
      <c r="K2" s="93"/>
      <c r="L2" s="93"/>
      <c r="M2" s="93"/>
      <c r="N2" s="93">
        <v>15</v>
      </c>
      <c r="O2" s="93"/>
      <c r="P2" s="93"/>
      <c r="Q2" s="93"/>
      <c r="R2" s="93">
        <v>16</v>
      </c>
      <c r="S2" s="93"/>
      <c r="T2" s="93"/>
      <c r="U2" s="93"/>
      <c r="V2" s="93"/>
      <c r="W2" s="93"/>
      <c r="X2" s="150">
        <f ca="1">SUM(C2:W2)+RAND()/10</f>
        <v>165.01412087611291</v>
      </c>
      <c r="Y2" s="94"/>
      <c r="Z2" s="153">
        <f t="shared" ref="Z2:Z22" ca="1" si="0">SUM(X2:Y2)</f>
        <v>165.01412087611291</v>
      </c>
      <c r="AA2" s="100">
        <f ca="1">COUNTIF(Teams!$4:$20,B2)</f>
        <v>11</v>
      </c>
      <c r="AB2" s="100">
        <f t="shared" ref="AB2:AB15" ca="1" si="1">RANK(Z2,$Z$2:$Z$55)</f>
        <v>16</v>
      </c>
      <c r="AC2" s="170">
        <v>1</v>
      </c>
      <c r="AD2" s="171" t="str">
        <f ca="1">INDEX($B$2:$B$55,MATCH(AC2,$AB$2:$AB$55,0))</f>
        <v>Pogacar</v>
      </c>
      <c r="AE2" s="218">
        <f t="shared" ref="AE2:AE55" ca="1" si="2">INDEX($Z$2:$Z$55,MATCH(AC2,$AB$2:$AB$55,0))</f>
        <v>621.01379209691868</v>
      </c>
      <c r="AF2" s="71">
        <f ca="1">COUNTIF(Teams!$4:$27,AD2)</f>
        <v>11</v>
      </c>
      <c r="AG2" s="71"/>
      <c r="AH2" s="71">
        <f ca="1">COUNTIF(Teams!$4:$20,AD2)</f>
        <v>11</v>
      </c>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row>
    <row r="3" spans="1:104" s="74" customFormat="1">
      <c r="A3" s="300"/>
      <c r="B3" s="101" t="s">
        <v>108</v>
      </c>
      <c r="C3" s="102"/>
      <c r="D3" s="102"/>
      <c r="E3" s="102"/>
      <c r="F3" s="102">
        <v>10</v>
      </c>
      <c r="G3" s="102">
        <v>1</v>
      </c>
      <c r="H3" s="102">
        <f>8+2</f>
        <v>10</v>
      </c>
      <c r="I3" s="102">
        <f>10+4</f>
        <v>14</v>
      </c>
      <c r="J3" s="102">
        <f>16+7</f>
        <v>23</v>
      </c>
      <c r="K3" s="102">
        <f>18+7</f>
        <v>25</v>
      </c>
      <c r="L3" s="102">
        <f>7</f>
        <v>7</v>
      </c>
      <c r="M3" s="102">
        <f>7</f>
        <v>7</v>
      </c>
      <c r="N3" s="102">
        <v>7</v>
      </c>
      <c r="O3" s="102"/>
      <c r="P3" s="102"/>
      <c r="Q3" s="102"/>
      <c r="R3" s="102"/>
      <c r="S3" s="102"/>
      <c r="T3" s="102"/>
      <c r="U3" s="102"/>
      <c r="V3" s="102"/>
      <c r="W3" s="102"/>
      <c r="X3" s="151">
        <f t="shared" ref="X3:X55" ca="1" si="3">SUM(C3:W3)+RAND()/10</f>
        <v>104.04196336552511</v>
      </c>
      <c r="Y3" s="103"/>
      <c r="Z3" s="154">
        <f t="shared" ca="1" si="0"/>
        <v>104.04196336552511</v>
      </c>
      <c r="AA3" s="100">
        <f ca="1">COUNTIF(Teams!$4:$20,B3)</f>
        <v>4</v>
      </c>
      <c r="AB3" s="100">
        <f t="shared" ca="1" si="1"/>
        <v>25</v>
      </c>
      <c r="AC3" s="170">
        <v>2</v>
      </c>
      <c r="AD3" s="171" t="str">
        <f t="shared" ref="AD3:AD18" ca="1" si="4">INDEX($B$2:$B$55,MATCH(AC3,$AB$2:$AB$55,0))</f>
        <v>Roglic</v>
      </c>
      <c r="AE3" s="218">
        <f t="shared" ca="1" si="2"/>
        <v>463.02812813736631</v>
      </c>
      <c r="AF3" s="71">
        <f ca="1">COUNTIF(Teams!$4:$27,AD3)</f>
        <v>11</v>
      </c>
      <c r="AG3" s="71"/>
      <c r="AH3" s="71">
        <f ca="1">COUNTIF(Teams!$4:$20,AD3)</f>
        <v>11</v>
      </c>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row>
    <row r="4" spans="1:104" s="74" customFormat="1">
      <c r="A4" s="299"/>
      <c r="B4" s="98" t="s">
        <v>124</v>
      </c>
      <c r="C4" s="93"/>
      <c r="D4" s="93"/>
      <c r="E4" s="93"/>
      <c r="F4" s="93"/>
      <c r="G4" s="93"/>
      <c r="H4" s="93"/>
      <c r="I4" s="93">
        <v>12</v>
      </c>
      <c r="J4" s="93"/>
      <c r="K4" s="93"/>
      <c r="L4" s="93"/>
      <c r="M4" s="93"/>
      <c r="N4" s="93"/>
      <c r="O4" s="93"/>
      <c r="P4" s="93">
        <f>11</f>
        <v>11</v>
      </c>
      <c r="Q4" s="93">
        <f>6</f>
        <v>6</v>
      </c>
      <c r="R4" s="93">
        <v>20</v>
      </c>
      <c r="S4" s="93">
        <v>6</v>
      </c>
      <c r="T4" s="93"/>
      <c r="U4" s="93"/>
      <c r="V4" s="93">
        <v>11</v>
      </c>
      <c r="W4" s="93"/>
      <c r="X4" s="150">
        <f t="shared" ca="1" si="3"/>
        <v>66.074849696441248</v>
      </c>
      <c r="Y4" s="94">
        <v>24</v>
      </c>
      <c r="Z4" s="153">
        <f t="shared" ca="1" si="0"/>
        <v>90.074849696441248</v>
      </c>
      <c r="AA4" s="100">
        <f ca="1">COUNTIF(Teams!$4:$20,B4)</f>
        <v>0</v>
      </c>
      <c r="AB4" s="100">
        <f t="shared" ca="1" si="1"/>
        <v>27</v>
      </c>
      <c r="AC4" s="170">
        <v>3</v>
      </c>
      <c r="AD4" s="171" t="str">
        <f t="shared" ca="1" si="4"/>
        <v>Bennett</v>
      </c>
      <c r="AE4" s="218">
        <f t="shared" ca="1" si="2"/>
        <v>308.03098917437455</v>
      </c>
      <c r="AF4" s="71">
        <f ca="1">COUNTIF(Teams!$4:$27,AD4)</f>
        <v>9</v>
      </c>
      <c r="AG4" s="71"/>
      <c r="AH4" s="71">
        <f ca="1">COUNTIF(Teams!$4:$20,AD4)</f>
        <v>8</v>
      </c>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row>
    <row r="5" spans="1:104" s="74" customFormat="1">
      <c r="A5" s="300" t="s">
        <v>190</v>
      </c>
      <c r="B5" s="101" t="s">
        <v>191</v>
      </c>
      <c r="C5" s="102">
        <f>24+7+2</f>
        <v>33</v>
      </c>
      <c r="D5" s="102">
        <v>2</v>
      </c>
      <c r="E5" s="102">
        <f>30+3</f>
        <v>33</v>
      </c>
      <c r="F5" s="102">
        <v>4</v>
      </c>
      <c r="G5" s="102">
        <f>26+5</f>
        <v>31</v>
      </c>
      <c r="H5" s="102">
        <v>5</v>
      </c>
      <c r="I5" s="102">
        <v>4</v>
      </c>
      <c r="J5" s="102">
        <v>4</v>
      </c>
      <c r="K5" s="102">
        <v>4</v>
      </c>
      <c r="L5" s="102">
        <f>35+5</f>
        <v>40</v>
      </c>
      <c r="M5" s="102">
        <f>30+5</f>
        <v>35</v>
      </c>
      <c r="N5" s="102">
        <v>5</v>
      </c>
      <c r="O5" s="102">
        <v>5</v>
      </c>
      <c r="P5" s="102">
        <v>5</v>
      </c>
      <c r="Q5" s="102">
        <v>5</v>
      </c>
      <c r="R5" s="102">
        <v>5</v>
      </c>
      <c r="S5" s="102">
        <v>5</v>
      </c>
      <c r="T5" s="102">
        <v>5</v>
      </c>
      <c r="U5" s="102">
        <f>18+5</f>
        <v>23</v>
      </c>
      <c r="V5" s="102">
        <v>5</v>
      </c>
      <c r="W5" s="102">
        <f>35+5</f>
        <v>40</v>
      </c>
      <c r="X5" s="151">
        <f t="shared" ca="1" si="3"/>
        <v>298.03098917437455</v>
      </c>
      <c r="Y5" s="103">
        <v>10</v>
      </c>
      <c r="Z5" s="154">
        <f t="shared" ca="1" si="0"/>
        <v>308.03098917437455</v>
      </c>
      <c r="AA5" s="100">
        <f ca="1">COUNTIF(Teams!$4:$20,B5)</f>
        <v>8</v>
      </c>
      <c r="AB5" s="100">
        <f t="shared" ca="1" si="1"/>
        <v>3</v>
      </c>
      <c r="AC5" s="170">
        <v>4</v>
      </c>
      <c r="AD5" s="171" t="str">
        <f t="shared" ca="1" si="4"/>
        <v>Sagan</v>
      </c>
      <c r="AE5" s="218">
        <f t="shared" ca="1" si="2"/>
        <v>286.00639312098394</v>
      </c>
      <c r="AF5" s="71">
        <f ca="1">COUNTIF(Teams!$4:$27,AD5)</f>
        <v>11</v>
      </c>
      <c r="AG5" s="71"/>
      <c r="AH5" s="71">
        <f ca="1">COUNTIF(Teams!$4:$20,AD5)</f>
        <v>11</v>
      </c>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c r="CY5" s="72"/>
      <c r="CZ5" s="72"/>
    </row>
    <row r="6" spans="1:104" s="74" customFormat="1">
      <c r="A6" s="299" t="s">
        <v>160</v>
      </c>
      <c r="B6" s="98" t="s">
        <v>136</v>
      </c>
      <c r="C6" s="93"/>
      <c r="D6" s="93">
        <f>9+3+2</f>
        <v>14</v>
      </c>
      <c r="E6" s="93">
        <f>5+3</f>
        <v>8</v>
      </c>
      <c r="F6" s="93">
        <f>19+5+4</f>
        <v>28</v>
      </c>
      <c r="G6" s="93">
        <f>8+6+4</f>
        <v>18</v>
      </c>
      <c r="H6" s="93">
        <f>18+6+4</f>
        <v>28</v>
      </c>
      <c r="I6" s="93">
        <f>18+7+5</f>
        <v>30</v>
      </c>
      <c r="J6" s="93">
        <f>13+6+5</f>
        <v>24</v>
      </c>
      <c r="K6" s="93">
        <f>24+9+5</f>
        <v>38</v>
      </c>
      <c r="L6" s="93">
        <f>9+5</f>
        <v>14</v>
      </c>
      <c r="M6" s="93">
        <f>9+5</f>
        <v>14</v>
      </c>
      <c r="N6" s="93">
        <f>9+5</f>
        <v>14</v>
      </c>
      <c r="O6" s="93">
        <f>8+8+4</f>
        <v>20</v>
      </c>
      <c r="P6" s="93">
        <f>8+4</f>
        <v>12</v>
      </c>
      <c r="Q6" s="93">
        <v>3</v>
      </c>
      <c r="R6" s="93">
        <v>3</v>
      </c>
      <c r="S6" s="93"/>
      <c r="T6" s="93"/>
      <c r="U6" s="93"/>
      <c r="V6" s="93"/>
      <c r="W6" s="93"/>
      <c r="X6" s="150">
        <f t="shared" ca="1" si="3"/>
        <v>268.06929858254693</v>
      </c>
      <c r="Y6" s="94"/>
      <c r="Z6" s="153">
        <f t="shared" ca="1" si="0"/>
        <v>268.06929858254693</v>
      </c>
      <c r="AA6" s="100">
        <f ca="1">COUNTIF(Teams!$4:$20,B6)</f>
        <v>11</v>
      </c>
      <c r="AB6" s="100">
        <f t="shared" ca="1" si="1"/>
        <v>6</v>
      </c>
      <c r="AC6" s="170">
        <v>5</v>
      </c>
      <c r="AD6" s="171" t="str">
        <f t="shared" ca="1" si="4"/>
        <v>Lopez</v>
      </c>
      <c r="AE6" s="218">
        <f t="shared" ca="1" si="2"/>
        <v>276.0118022959067</v>
      </c>
      <c r="AF6" s="71">
        <f ca="1">COUNTIF(Teams!$4:$27,AD6)</f>
        <v>8</v>
      </c>
      <c r="AG6" s="71"/>
      <c r="AH6" s="71">
        <f ca="1">COUNTIF(Teams!$4:$20,AD6)</f>
        <v>6</v>
      </c>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row>
    <row r="7" spans="1:104" s="74" customFormat="1">
      <c r="A7" s="300"/>
      <c r="B7" s="101" t="s">
        <v>231</v>
      </c>
      <c r="C7" s="102">
        <f>26+8+4</f>
        <v>38</v>
      </c>
      <c r="D7" s="102"/>
      <c r="E7" s="102">
        <f>18</f>
        <v>18</v>
      </c>
      <c r="F7" s="102"/>
      <c r="G7" s="102">
        <f>30</f>
        <v>30</v>
      </c>
      <c r="H7" s="102"/>
      <c r="I7" s="102"/>
      <c r="J7" s="102"/>
      <c r="K7" s="102"/>
      <c r="L7" s="102">
        <v>18</v>
      </c>
      <c r="M7" s="102">
        <v>8</v>
      </c>
      <c r="N7" s="102"/>
      <c r="O7" s="102"/>
      <c r="P7" s="102"/>
      <c r="Q7" s="102"/>
      <c r="R7" s="102"/>
      <c r="S7" s="102"/>
      <c r="T7" s="102"/>
      <c r="U7" s="102"/>
      <c r="V7" s="102"/>
      <c r="W7" s="102">
        <v>8</v>
      </c>
      <c r="X7" s="151">
        <f t="shared" ca="1" si="3"/>
        <v>120.02884850300732</v>
      </c>
      <c r="Y7" s="103"/>
      <c r="Z7" s="154">
        <f t="shared" ca="1" si="0"/>
        <v>120.02884850300732</v>
      </c>
      <c r="AA7" s="100">
        <f ca="1">COUNTIF(Teams!$4:$20,B7)</f>
        <v>1</v>
      </c>
      <c r="AB7" s="100">
        <f t="shared" ca="1" si="1"/>
        <v>23</v>
      </c>
      <c r="AC7" s="170">
        <v>6</v>
      </c>
      <c r="AD7" s="171" t="str">
        <f t="shared" ca="1" si="4"/>
        <v>Bernal</v>
      </c>
      <c r="AE7" s="218">
        <f t="shared" ca="1" si="2"/>
        <v>268.06929858254693</v>
      </c>
      <c r="AF7" s="71">
        <f ca="1">COUNTIF(Teams!$4:$27,AD7)</f>
        <v>11</v>
      </c>
      <c r="AG7" s="71"/>
      <c r="AH7" s="71">
        <f ca="1">COUNTIF(Teams!$4:$20,AD7)</f>
        <v>11</v>
      </c>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row>
    <row r="8" spans="1:104" s="74" customFormat="1">
      <c r="A8" s="299"/>
      <c r="B8" s="98" t="s">
        <v>171</v>
      </c>
      <c r="C8" s="93"/>
      <c r="D8" s="93"/>
      <c r="E8" s="93"/>
      <c r="F8" s="93">
        <v>9</v>
      </c>
      <c r="G8" s="93"/>
      <c r="H8" s="93">
        <v>7</v>
      </c>
      <c r="I8" s="93">
        <v>7</v>
      </c>
      <c r="J8" s="93"/>
      <c r="K8" s="93"/>
      <c r="L8" s="93"/>
      <c r="M8" s="93"/>
      <c r="N8" s="93"/>
      <c r="O8" s="93"/>
      <c r="P8" s="93"/>
      <c r="Q8" s="93"/>
      <c r="R8" s="93"/>
      <c r="S8" s="93"/>
      <c r="T8" s="93"/>
      <c r="U8" s="93"/>
      <c r="V8" s="93"/>
      <c r="W8" s="93"/>
      <c r="X8" s="150">
        <f t="shared" ca="1" si="3"/>
        <v>23.039852377022889</v>
      </c>
      <c r="Y8" s="94"/>
      <c r="Z8" s="153">
        <f t="shared" ca="1" si="0"/>
        <v>23.039852377022889</v>
      </c>
      <c r="AA8" s="100">
        <f ca="1">COUNTIF(Teams!$4:$20,B8)</f>
        <v>7</v>
      </c>
      <c r="AB8" s="100">
        <f t="shared" ca="1" si="1"/>
        <v>38</v>
      </c>
      <c r="AC8" s="170">
        <v>7</v>
      </c>
      <c r="AD8" s="171" t="str">
        <f t="shared" ca="1" si="4"/>
        <v>Mas</v>
      </c>
      <c r="AE8" s="218">
        <f t="shared" ca="1" si="2"/>
        <v>249.05065112609282</v>
      </c>
      <c r="AF8" s="71">
        <f ca="1">COUNTIF(Teams!$4:$27,AD8)</f>
        <v>5</v>
      </c>
      <c r="AG8" s="71"/>
      <c r="AH8" s="71">
        <f ca="1">COUNTIF(Teams!$4:$20,AD8)</f>
        <v>1</v>
      </c>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row>
    <row r="9" spans="1:104" s="74" customFormat="1">
      <c r="A9" s="300"/>
      <c r="B9" s="101" t="s">
        <v>187</v>
      </c>
      <c r="C9" s="102"/>
      <c r="D9" s="102">
        <f>6+2</f>
        <v>8</v>
      </c>
      <c r="E9" s="102"/>
      <c r="F9" s="102"/>
      <c r="G9" s="102"/>
      <c r="H9" s="102">
        <f>17</f>
        <v>17</v>
      </c>
      <c r="I9" s="102"/>
      <c r="J9" s="102"/>
      <c r="K9" s="102">
        <v>12</v>
      </c>
      <c r="L9" s="102"/>
      <c r="M9" s="102"/>
      <c r="N9" s="102"/>
      <c r="O9" s="102"/>
      <c r="P9" s="102"/>
      <c r="Q9" s="102"/>
      <c r="R9" s="102">
        <v>30</v>
      </c>
      <c r="S9" s="102">
        <v>15</v>
      </c>
      <c r="T9" s="102">
        <f>30+5</f>
        <v>35</v>
      </c>
      <c r="U9" s="102">
        <v>5</v>
      </c>
      <c r="V9" s="102">
        <v>4</v>
      </c>
      <c r="W9" s="102">
        <v>4</v>
      </c>
      <c r="X9" s="151">
        <f t="shared" ca="1" si="3"/>
        <v>130.07713678876019</v>
      </c>
      <c r="Y9" s="103">
        <f>26+7</f>
        <v>33</v>
      </c>
      <c r="Z9" s="154">
        <f t="shared" ca="1" si="0"/>
        <v>163.07713678876019</v>
      </c>
      <c r="AA9" s="100">
        <f ca="1">COUNTIF(Teams!$4:$20,B9)</f>
        <v>4</v>
      </c>
      <c r="AB9" s="100">
        <f t="shared" ca="1" si="1"/>
        <v>17</v>
      </c>
      <c r="AC9" s="170">
        <v>8</v>
      </c>
      <c r="AD9" s="171" t="str">
        <f t="shared" ca="1" si="4"/>
        <v>Porte</v>
      </c>
      <c r="AE9" s="218">
        <f t="shared" ca="1" si="2"/>
        <v>245.01252352265149</v>
      </c>
      <c r="AF9" s="71">
        <f ca="1">COUNTIF(Teams!$4:$27,AD9)</f>
        <v>1</v>
      </c>
      <c r="AG9" s="71"/>
      <c r="AH9" s="71">
        <f ca="1">COUNTIF(Teams!$4:$20,AD9)</f>
        <v>1</v>
      </c>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row>
    <row r="10" spans="1:104" s="74" customFormat="1">
      <c r="A10" s="299"/>
      <c r="B10" s="98" t="s">
        <v>151</v>
      </c>
      <c r="C10" s="93"/>
      <c r="D10" s="93"/>
      <c r="E10" s="93"/>
      <c r="F10" s="93"/>
      <c r="G10" s="93"/>
      <c r="H10" s="93"/>
      <c r="I10" s="93"/>
      <c r="J10" s="93"/>
      <c r="K10" s="93"/>
      <c r="L10" s="93"/>
      <c r="M10" s="93"/>
      <c r="N10" s="93"/>
      <c r="O10" s="93"/>
      <c r="P10" s="93">
        <v>17</v>
      </c>
      <c r="Q10" s="93"/>
      <c r="R10" s="93"/>
      <c r="S10" s="93"/>
      <c r="T10" s="93"/>
      <c r="U10" s="93">
        <v>7</v>
      </c>
      <c r="V10" s="93"/>
      <c r="W10" s="93">
        <v>15</v>
      </c>
      <c r="X10" s="150">
        <f t="shared" ca="1" si="3"/>
        <v>39.060762209411898</v>
      </c>
      <c r="Y10" s="94"/>
      <c r="Z10" s="153">
        <f t="shared" ca="1" si="0"/>
        <v>39.060762209411898</v>
      </c>
      <c r="AA10" s="100">
        <f ca="1">COUNTIF(Teams!$4:$20,B10)</f>
        <v>3</v>
      </c>
      <c r="AB10" s="100">
        <f t="shared" ca="1" si="1"/>
        <v>35</v>
      </c>
      <c r="AC10" s="170">
        <v>9</v>
      </c>
      <c r="AD10" s="171" t="str">
        <f t="shared" ca="1" si="4"/>
        <v>Landa</v>
      </c>
      <c r="AE10" s="218">
        <f t="shared" ca="1" si="2"/>
        <v>226.03806711430084</v>
      </c>
      <c r="AF10" s="71">
        <f ca="1">COUNTIF(Teams!$4:$27,AD10)</f>
        <v>9</v>
      </c>
      <c r="AG10" s="71"/>
      <c r="AH10" s="71">
        <f ca="1">COUNTIF(Teams!$4:$20,AD10)</f>
        <v>8</v>
      </c>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row>
    <row r="11" spans="1:104" s="74" customFormat="1">
      <c r="A11" s="300"/>
      <c r="B11" s="101" t="s">
        <v>104</v>
      </c>
      <c r="C11" s="102">
        <f>18+3</f>
        <v>21</v>
      </c>
      <c r="D11" s="102"/>
      <c r="E11" s="102">
        <f>17</f>
        <v>17</v>
      </c>
      <c r="F11" s="102"/>
      <c r="G11" s="102">
        <f>19</f>
        <v>19</v>
      </c>
      <c r="H11" s="102"/>
      <c r="I11" s="102">
        <f>26+2</f>
        <v>28</v>
      </c>
      <c r="J11" s="102">
        <v>2</v>
      </c>
      <c r="K11" s="102">
        <v>2</v>
      </c>
      <c r="L11" s="102">
        <f>19+3</f>
        <v>22</v>
      </c>
      <c r="M11" s="102">
        <f>24+3</f>
        <v>27</v>
      </c>
      <c r="N11" s="102">
        <v>3</v>
      </c>
      <c r="O11" s="102">
        <v>3</v>
      </c>
      <c r="P11" s="102">
        <v>2</v>
      </c>
      <c r="Q11" s="102">
        <v>2</v>
      </c>
      <c r="R11" s="102">
        <v>2</v>
      </c>
      <c r="S11" s="102">
        <v>2</v>
      </c>
      <c r="T11" s="102">
        <v>2</v>
      </c>
      <c r="U11" s="102">
        <f>11+2</f>
        <v>13</v>
      </c>
      <c r="V11" s="102">
        <v>2</v>
      </c>
      <c r="W11" s="102">
        <f>17+2</f>
        <v>19</v>
      </c>
      <c r="X11" s="151">
        <f t="shared" ca="1" si="3"/>
        <v>188.09021765919366</v>
      </c>
      <c r="Y11" s="103">
        <v>3</v>
      </c>
      <c r="Z11" s="154">
        <f t="shared" ca="1" si="0"/>
        <v>191.09021765919366</v>
      </c>
      <c r="AA11" s="100">
        <f ca="1">COUNTIF(Teams!$4:$20,B11)</f>
        <v>3</v>
      </c>
      <c r="AB11" s="100">
        <f t="shared" ca="1" si="1"/>
        <v>14</v>
      </c>
      <c r="AC11" s="170">
        <v>10</v>
      </c>
      <c r="AD11" s="171" t="str">
        <f t="shared" ca="1" si="4"/>
        <v>G.Martin</v>
      </c>
      <c r="AE11" s="218">
        <f t="shared" ca="1" si="2"/>
        <v>209.07165437924934</v>
      </c>
      <c r="AF11" s="71">
        <f ca="1">COUNTIF(Teams!$4:$27,AD11)</f>
        <v>5</v>
      </c>
      <c r="AG11" s="71"/>
      <c r="AH11" s="71">
        <f ca="1">COUNTIF(Teams!$4:$20,AD11)</f>
        <v>3</v>
      </c>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row>
    <row r="12" spans="1:104" s="74" customFormat="1">
      <c r="A12" s="299"/>
      <c r="B12" s="98" t="s">
        <v>232</v>
      </c>
      <c r="C12" s="93"/>
      <c r="D12" s="93">
        <f>30+8+5</f>
        <v>43</v>
      </c>
      <c r="E12" s="93">
        <f>8+5</f>
        <v>13</v>
      </c>
      <c r="F12" s="93">
        <v>1</v>
      </c>
      <c r="G12" s="93">
        <v>1</v>
      </c>
      <c r="H12" s="93"/>
      <c r="I12" s="93"/>
      <c r="J12" s="93"/>
      <c r="K12" s="93">
        <f>26+3</f>
        <v>29</v>
      </c>
      <c r="L12" s="93">
        <v>3</v>
      </c>
      <c r="M12" s="93">
        <v>3</v>
      </c>
      <c r="N12" s="93">
        <f>35+3</f>
        <v>38</v>
      </c>
      <c r="O12" s="93">
        <v>3</v>
      </c>
      <c r="P12" s="93">
        <f>16+1</f>
        <v>17</v>
      </c>
      <c r="Q12" s="93">
        <v>1</v>
      </c>
      <c r="R12" s="93"/>
      <c r="S12" s="93"/>
      <c r="T12" s="93">
        <f>13+2+2</f>
        <v>17</v>
      </c>
      <c r="U12" s="93">
        <v>2</v>
      </c>
      <c r="V12" s="93">
        <v>2</v>
      </c>
      <c r="W12" s="93">
        <v>2</v>
      </c>
      <c r="X12" s="150">
        <f t="shared" ca="1" si="3"/>
        <v>175.03405056575056</v>
      </c>
      <c r="Y12" s="94">
        <v>3</v>
      </c>
      <c r="Z12" s="153">
        <f t="shared" ca="1" si="0"/>
        <v>178.03405056575056</v>
      </c>
      <c r="AA12" s="100">
        <f ca="1">COUNTIF(Teams!$4:$20,B12)</f>
        <v>1</v>
      </c>
      <c r="AB12" s="100">
        <f t="shared" ca="1" si="1"/>
        <v>15</v>
      </c>
      <c r="AC12" s="170">
        <v>11</v>
      </c>
      <c r="AD12" s="171" t="str">
        <f t="shared" ca="1" si="4"/>
        <v>Uran</v>
      </c>
      <c r="AE12" s="218">
        <f t="shared" ca="1" si="2"/>
        <v>206.00968564002864</v>
      </c>
      <c r="AF12" s="71">
        <f ca="1">COUNTIF(Teams!$4:$27,AD12)</f>
        <v>2</v>
      </c>
      <c r="AG12" s="71"/>
      <c r="AH12" s="71">
        <f ca="1">COUNTIF(Teams!$4:$20,AD12)</f>
        <v>1</v>
      </c>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row>
    <row r="13" spans="1:104" s="74" customFormat="1">
      <c r="A13" s="300"/>
      <c r="B13" s="101" t="s">
        <v>234</v>
      </c>
      <c r="C13" s="102"/>
      <c r="D13" s="102"/>
      <c r="E13" s="102"/>
      <c r="F13" s="102"/>
      <c r="G13" s="102"/>
      <c r="H13" s="102"/>
      <c r="I13" s="102"/>
      <c r="J13" s="102"/>
      <c r="K13" s="102"/>
      <c r="L13" s="102"/>
      <c r="M13" s="102"/>
      <c r="N13" s="102"/>
      <c r="O13" s="102"/>
      <c r="P13" s="102"/>
      <c r="Q13" s="102"/>
      <c r="R13" s="102"/>
      <c r="S13" s="102"/>
      <c r="T13" s="102"/>
      <c r="U13" s="102"/>
      <c r="V13" s="102"/>
      <c r="W13" s="102"/>
      <c r="X13" s="151">
        <f t="shared" ca="1" si="3"/>
        <v>1.3572573696846923E-2</v>
      </c>
      <c r="Y13" s="103"/>
      <c r="Z13" s="154">
        <f t="shared" ca="1" si="0"/>
        <v>1.3572573696846923E-2</v>
      </c>
      <c r="AA13" s="100">
        <f ca="1">COUNTIF(Teams!$4:$20,B13)</f>
        <v>2</v>
      </c>
      <c r="AB13" s="100">
        <f t="shared" ca="1" si="1"/>
        <v>49</v>
      </c>
      <c r="AC13" s="170">
        <v>12</v>
      </c>
      <c r="AD13" s="171" t="str">
        <f t="shared" ca="1" si="4"/>
        <v>van Aert</v>
      </c>
      <c r="AE13" s="218">
        <f t="shared" ca="1" si="2"/>
        <v>205.02674242672029</v>
      </c>
      <c r="AF13" s="71">
        <f ca="1">COUNTIF(Teams!$4:$27,AD13)</f>
        <v>8</v>
      </c>
      <c r="AG13" s="71"/>
      <c r="AH13" s="71">
        <f ca="1">COUNTIF(Teams!$4:$20,AD13)</f>
        <v>8</v>
      </c>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row>
    <row r="14" spans="1:104" s="74" customFormat="1">
      <c r="A14" s="299"/>
      <c r="B14" s="98" t="s">
        <v>106</v>
      </c>
      <c r="C14" s="93"/>
      <c r="D14" s="93">
        <v>1</v>
      </c>
      <c r="E14" s="93">
        <v>4</v>
      </c>
      <c r="F14" s="93">
        <f>15+4</f>
        <v>19</v>
      </c>
      <c r="G14" s="93">
        <v>5</v>
      </c>
      <c r="H14" s="93">
        <f>11+5</f>
        <v>16</v>
      </c>
      <c r="I14" s="93">
        <v>6</v>
      </c>
      <c r="J14" s="93"/>
      <c r="K14" s="93">
        <v>9</v>
      </c>
      <c r="L14" s="93"/>
      <c r="M14" s="93"/>
      <c r="N14" s="93"/>
      <c r="O14" s="93"/>
      <c r="P14" s="93"/>
      <c r="Q14" s="93">
        <f>14+1</f>
        <v>15</v>
      </c>
      <c r="R14" s="93">
        <v>2</v>
      </c>
      <c r="S14" s="93">
        <f>16+2</f>
        <v>18</v>
      </c>
      <c r="T14" s="93">
        <f>16+2</f>
        <v>18</v>
      </c>
      <c r="U14" s="93">
        <v>2</v>
      </c>
      <c r="V14" s="93">
        <f>30+4</f>
        <v>34</v>
      </c>
      <c r="W14" s="93">
        <v>4</v>
      </c>
      <c r="X14" s="150">
        <f t="shared" ca="1" si="3"/>
        <v>153.09051541514262</v>
      </c>
      <c r="Y14" s="94">
        <v>38</v>
      </c>
      <c r="Z14" s="153">
        <f t="shared" ca="1" si="0"/>
        <v>191.09051541514262</v>
      </c>
      <c r="AA14" s="100">
        <f ca="1">COUNTIF(Teams!$4:$20,B14)</f>
        <v>11</v>
      </c>
      <c r="AB14" s="100">
        <f t="shared" ca="1" si="1"/>
        <v>13</v>
      </c>
      <c r="AC14" s="170">
        <v>13</v>
      </c>
      <c r="AD14" s="171" t="str">
        <f t="shared" ca="1" si="4"/>
        <v>Dumoulin</v>
      </c>
      <c r="AE14" s="218">
        <f t="shared" ca="1" si="2"/>
        <v>191.09051541514262</v>
      </c>
      <c r="AF14" s="71">
        <f ca="1">COUNTIF(Teams!$4:$27,AD14)</f>
        <v>11</v>
      </c>
      <c r="AG14" s="71"/>
      <c r="AH14" s="71">
        <f ca="1">COUNTIF(Teams!$4:$20,AD14)</f>
        <v>11</v>
      </c>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row>
    <row r="15" spans="1:104" s="74" customFormat="1">
      <c r="A15" s="300"/>
      <c r="B15" s="101" t="s">
        <v>165</v>
      </c>
      <c r="C15" s="102">
        <v>7</v>
      </c>
      <c r="D15" s="102"/>
      <c r="E15" s="102">
        <f>35+1</f>
        <v>36</v>
      </c>
      <c r="F15" s="102"/>
      <c r="G15" s="102">
        <f>18+2</f>
        <v>20</v>
      </c>
      <c r="H15" s="102">
        <v>2</v>
      </c>
      <c r="I15" s="102"/>
      <c r="J15" s="102"/>
      <c r="K15" s="102"/>
      <c r="L15" s="102">
        <f>30</f>
        <v>30</v>
      </c>
      <c r="M15" s="102">
        <f>35+2</f>
        <v>37</v>
      </c>
      <c r="N15" s="102">
        <v>2</v>
      </c>
      <c r="O15" s="102">
        <v>2</v>
      </c>
      <c r="P15" s="102">
        <v>1</v>
      </c>
      <c r="Q15" s="102">
        <v>1</v>
      </c>
      <c r="R15" s="102">
        <v>1</v>
      </c>
      <c r="S15" s="102">
        <v>1</v>
      </c>
      <c r="T15" s="102">
        <v>1</v>
      </c>
      <c r="U15" s="102">
        <v>1</v>
      </c>
      <c r="V15" s="102"/>
      <c r="W15" s="102">
        <v>19</v>
      </c>
      <c r="X15" s="151">
        <f t="shared" ca="1" si="3"/>
        <v>161.02773534561166</v>
      </c>
      <c r="Y15" s="103"/>
      <c r="Z15" s="154">
        <f t="shared" ca="1" si="0"/>
        <v>161.02773534561166</v>
      </c>
      <c r="AA15" s="100">
        <f ca="1">COUNTIF(Teams!$4:$20,B15)</f>
        <v>9</v>
      </c>
      <c r="AB15" s="100">
        <f t="shared" ca="1" si="1"/>
        <v>18</v>
      </c>
      <c r="AC15" s="170">
        <v>14</v>
      </c>
      <c r="AD15" s="171" t="str">
        <f t="shared" ca="1" si="4"/>
        <v>Coquard</v>
      </c>
      <c r="AE15" s="218">
        <f t="shared" ca="1" si="2"/>
        <v>191.09021765919366</v>
      </c>
      <c r="AF15" s="71">
        <f ca="1">COUNTIF(Teams!$4:$27,AD15)</f>
        <v>3</v>
      </c>
      <c r="AG15" s="71"/>
      <c r="AH15" s="71">
        <f ca="1">COUNTIF(Teams!$4:$20,AD15)</f>
        <v>3</v>
      </c>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row>
    <row r="16" spans="1:104" s="74" customFormat="1">
      <c r="A16" s="299" t="s">
        <v>157</v>
      </c>
      <c r="B16" s="98" t="s">
        <v>159</v>
      </c>
      <c r="C16" s="93"/>
      <c r="D16" s="93">
        <v>15</v>
      </c>
      <c r="E16" s="93">
        <v>2</v>
      </c>
      <c r="F16" s="93">
        <f>26+6</f>
        <v>32</v>
      </c>
      <c r="G16" s="93">
        <f>7</f>
        <v>7</v>
      </c>
      <c r="H16" s="93">
        <v>7</v>
      </c>
      <c r="I16" s="93">
        <f>6+8</f>
        <v>14</v>
      </c>
      <c r="J16" s="93">
        <f>11+8</f>
        <v>19</v>
      </c>
      <c r="K16" s="93">
        <f>19+8</f>
        <v>27</v>
      </c>
      <c r="L16" s="93">
        <f>8</f>
        <v>8</v>
      </c>
      <c r="M16" s="93">
        <f>8</f>
        <v>8</v>
      </c>
      <c r="N16" s="93">
        <v>8</v>
      </c>
      <c r="O16" s="93"/>
      <c r="P16" s="93"/>
      <c r="Q16" s="93">
        <v>12</v>
      </c>
      <c r="R16" s="93"/>
      <c r="S16" s="93">
        <v>12</v>
      </c>
      <c r="T16" s="93">
        <v>8</v>
      </c>
      <c r="U16" s="93"/>
      <c r="V16" s="93"/>
      <c r="W16" s="93"/>
      <c r="X16" s="150">
        <f t="shared" ca="1" si="3"/>
        <v>179.07165437924934</v>
      </c>
      <c r="Y16" s="94">
        <v>30</v>
      </c>
      <c r="Z16" s="153">
        <f t="shared" ca="1" si="0"/>
        <v>209.07165437924934</v>
      </c>
      <c r="AA16" s="100">
        <f ca="1">COUNTIF(Teams!$4:$20,B16)</f>
        <v>3</v>
      </c>
      <c r="AB16" s="100">
        <f ca="1">RANK(Z16,$Z$2:$Z$55)</f>
        <v>10</v>
      </c>
      <c r="AC16" s="170">
        <v>15</v>
      </c>
      <c r="AD16" s="171" t="str">
        <f t="shared" ca="1" si="4"/>
        <v>Hirschi</v>
      </c>
      <c r="AE16" s="218">
        <f t="shared" ca="1" si="2"/>
        <v>178.03405056575056</v>
      </c>
      <c r="AF16" s="71">
        <f ca="1">COUNTIF(Teams!$4:$27,AD16)</f>
        <v>1</v>
      </c>
      <c r="AG16" s="71"/>
      <c r="AH16" s="71">
        <f ca="1">COUNTIF(Teams!$4:$20,AD16)</f>
        <v>1</v>
      </c>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row>
    <row r="17" spans="1:104" s="74" customFormat="1">
      <c r="A17" s="300"/>
      <c r="B17" s="101" t="s">
        <v>212</v>
      </c>
      <c r="C17" s="102">
        <f>10+3</f>
        <v>13</v>
      </c>
      <c r="D17" s="102">
        <f>22+7+4</f>
        <v>33</v>
      </c>
      <c r="E17" s="102">
        <f>3+2</f>
        <v>5</v>
      </c>
      <c r="F17" s="102">
        <v>2</v>
      </c>
      <c r="G17" s="102">
        <v>2</v>
      </c>
      <c r="H17" s="102">
        <f>2</f>
        <v>2</v>
      </c>
      <c r="I17" s="102">
        <f>9+3</f>
        <v>12</v>
      </c>
      <c r="J17" s="102">
        <v>2</v>
      </c>
      <c r="K17" s="102">
        <f>6+2</f>
        <v>8</v>
      </c>
      <c r="L17" s="102">
        <v>2</v>
      </c>
      <c r="M17" s="102">
        <v>2</v>
      </c>
      <c r="N17" s="102">
        <v>2</v>
      </c>
      <c r="O17" s="102">
        <v>2</v>
      </c>
      <c r="P17" s="102">
        <v>2</v>
      </c>
      <c r="Q17" s="102"/>
      <c r="R17" s="102"/>
      <c r="S17" s="102"/>
      <c r="T17" s="102"/>
      <c r="U17" s="102"/>
      <c r="V17" s="102"/>
      <c r="W17" s="102"/>
      <c r="X17" s="151">
        <f t="shared" ca="1" si="3"/>
        <v>89.073675316627188</v>
      </c>
      <c r="Y17" s="103"/>
      <c r="Z17" s="154">
        <f t="shared" ca="1" si="0"/>
        <v>89.073675316627188</v>
      </c>
      <c r="AA17" s="100">
        <f ca="1">COUNTIF(Teams!$4:$20,B17)</f>
        <v>2</v>
      </c>
      <c r="AB17" s="100">
        <f t="shared" ref="AB17:AB55" ca="1" si="5">RANK(Z17,$Z$2:$Z$55)</f>
        <v>28</v>
      </c>
      <c r="AC17" s="170">
        <v>16</v>
      </c>
      <c r="AD17" s="171" t="str">
        <f t="shared" ca="1" si="4"/>
        <v>Alaphilippe</v>
      </c>
      <c r="AE17" s="218">
        <f t="shared" ca="1" si="2"/>
        <v>165.01412087611291</v>
      </c>
      <c r="AF17" s="71">
        <f ca="1">COUNTIF(Teams!$4:$27,AD17)</f>
        <v>11</v>
      </c>
      <c r="AG17" s="71"/>
      <c r="AH17" s="71">
        <f ca="1">COUNTIF(Teams!$4:$20,AD17)</f>
        <v>11</v>
      </c>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row>
    <row r="18" spans="1:104" s="99" customFormat="1">
      <c r="A18" s="299"/>
      <c r="B18" s="98" t="s">
        <v>221</v>
      </c>
      <c r="C18" s="93"/>
      <c r="D18" s="93"/>
      <c r="E18" s="93"/>
      <c r="F18" s="93"/>
      <c r="G18" s="93"/>
      <c r="H18" s="93"/>
      <c r="I18" s="93"/>
      <c r="J18" s="93"/>
      <c r="K18" s="93"/>
      <c r="L18" s="93"/>
      <c r="M18" s="93"/>
      <c r="N18" s="93"/>
      <c r="O18" s="93">
        <f>30</f>
        <v>30</v>
      </c>
      <c r="P18" s="93"/>
      <c r="Q18" s="93"/>
      <c r="R18" s="93">
        <f>35</f>
        <v>35</v>
      </c>
      <c r="S18" s="93">
        <v>1</v>
      </c>
      <c r="T18" s="93">
        <v>1</v>
      </c>
      <c r="U18" s="93">
        <v>1</v>
      </c>
      <c r="V18" s="93">
        <v>1</v>
      </c>
      <c r="W18" s="93">
        <v>1</v>
      </c>
      <c r="X18" s="150">
        <f t="shared" ca="1" si="3"/>
        <v>70.022776523247785</v>
      </c>
      <c r="Y18" s="94">
        <v>1</v>
      </c>
      <c r="Z18" s="153">
        <f t="shared" ca="1" si="0"/>
        <v>71.022776523247785</v>
      </c>
      <c r="AA18" s="100">
        <f ca="1">COUNTIF(Teams!$4:$20,B18)</f>
        <v>1</v>
      </c>
      <c r="AB18" s="100">
        <f t="shared" ca="1" si="5"/>
        <v>32</v>
      </c>
      <c r="AC18" s="170">
        <v>17</v>
      </c>
      <c r="AD18" s="171" t="str">
        <f t="shared" ca="1" si="4"/>
        <v>Carapaz</v>
      </c>
      <c r="AE18" s="219">
        <f t="shared" ca="1" si="2"/>
        <v>163.07713678876019</v>
      </c>
      <c r="AF18" s="71">
        <f ca="1">COUNTIF(Teams!$4:$27,AD18)</f>
        <v>7</v>
      </c>
      <c r="AG18" s="178">
        <f ca="1">SUM($AE$2:$AE$18)</f>
        <v>4450.6757689221013</v>
      </c>
      <c r="AH18" s="71">
        <f ca="1">COUNTIF(Teams!$4:$20,AD18)</f>
        <v>4</v>
      </c>
    </row>
    <row r="19" spans="1:104" s="74" customFormat="1">
      <c r="A19" s="300"/>
      <c r="B19" s="101" t="s">
        <v>93</v>
      </c>
      <c r="C19" s="102">
        <f>35+10+5</f>
        <v>50</v>
      </c>
      <c r="D19" s="102">
        <v>5</v>
      </c>
      <c r="E19" s="102">
        <f>11+4</f>
        <v>15</v>
      </c>
      <c r="F19" s="102">
        <v>3</v>
      </c>
      <c r="G19" s="102">
        <f>12+3</f>
        <v>15</v>
      </c>
      <c r="H19" s="102">
        <v>3</v>
      </c>
      <c r="I19" s="102">
        <v>1</v>
      </c>
      <c r="J19" s="102">
        <v>1</v>
      </c>
      <c r="K19" s="102"/>
      <c r="L19" s="102">
        <v>11</v>
      </c>
      <c r="M19" s="102">
        <v>14</v>
      </c>
      <c r="N19" s="102"/>
      <c r="O19" s="102"/>
      <c r="P19" s="102"/>
      <c r="Q19" s="102"/>
      <c r="R19" s="102"/>
      <c r="S19" s="102"/>
      <c r="T19" s="102"/>
      <c r="U19" s="102"/>
      <c r="V19" s="102"/>
      <c r="W19" s="102">
        <v>24</v>
      </c>
      <c r="X19" s="151">
        <f t="shared" ca="1" si="3"/>
        <v>142.08189094839477</v>
      </c>
      <c r="Y19" s="103"/>
      <c r="Z19" s="154">
        <f t="shared" ca="1" si="0"/>
        <v>142.08189094839477</v>
      </c>
      <c r="AA19" s="100">
        <f ca="1">COUNTIF(Teams!$4:$20,B19)</f>
        <v>1</v>
      </c>
      <c r="AB19" s="100">
        <f t="shared" ca="1" si="5"/>
        <v>22</v>
      </c>
      <c r="AC19" s="170">
        <v>18</v>
      </c>
      <c r="AD19" s="71" t="str">
        <f t="shared" ref="AD19:AD55" ca="1" si="6">INDEX($B$2:$B$55,MATCH(AC19,$AB$2:$AB$55,0))</f>
        <v>Ewan</v>
      </c>
      <c r="AE19" s="177">
        <f t="shared" ca="1" si="2"/>
        <v>161.02773534561166</v>
      </c>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row>
    <row r="20" spans="1:104" s="75" customFormat="1">
      <c r="A20" s="299"/>
      <c r="B20" s="98" t="s">
        <v>133</v>
      </c>
      <c r="C20" s="93"/>
      <c r="D20" s="93"/>
      <c r="E20" s="93"/>
      <c r="F20" s="93">
        <f>17</f>
        <v>17</v>
      </c>
      <c r="G20" s="93"/>
      <c r="H20" s="93"/>
      <c r="I20" s="93"/>
      <c r="J20" s="93">
        <v>12</v>
      </c>
      <c r="K20" s="93">
        <f>22+1</f>
        <v>23</v>
      </c>
      <c r="L20" s="93">
        <v>1</v>
      </c>
      <c r="M20" s="93">
        <v>1</v>
      </c>
      <c r="N20" s="93">
        <v>1</v>
      </c>
      <c r="O20" s="93">
        <f>11+3</f>
        <v>14</v>
      </c>
      <c r="P20" s="93">
        <v>3</v>
      </c>
      <c r="Q20" s="93">
        <f>19+4</f>
        <v>23</v>
      </c>
      <c r="R20" s="93">
        <v>4</v>
      </c>
      <c r="S20" s="93">
        <f>19+4</f>
        <v>23</v>
      </c>
      <c r="T20" s="93">
        <f>18+6</f>
        <v>24</v>
      </c>
      <c r="U20" s="93">
        <f>6</f>
        <v>6</v>
      </c>
      <c r="V20" s="93">
        <f>12+7</f>
        <v>19</v>
      </c>
      <c r="W20" s="93">
        <v>7</v>
      </c>
      <c r="X20" s="150">
        <f t="shared" ca="1" si="3"/>
        <v>178.03806711430084</v>
      </c>
      <c r="Y20" s="94">
        <v>48</v>
      </c>
      <c r="Z20" s="153">
        <f t="shared" ca="1" si="0"/>
        <v>226.03806711430084</v>
      </c>
      <c r="AA20" s="100">
        <f ca="1">COUNTIF(Teams!$4:$20,B20)</f>
        <v>8</v>
      </c>
      <c r="AB20" s="100">
        <f t="shared" ca="1" si="5"/>
        <v>9</v>
      </c>
      <c r="AC20" s="170">
        <v>19</v>
      </c>
      <c r="AD20" s="71" t="str">
        <f t="shared" ca="1" si="6"/>
        <v>Quintana</v>
      </c>
      <c r="AE20" s="177">
        <f t="shared" ca="1" si="2"/>
        <v>153.06838466574541</v>
      </c>
    </row>
    <row r="21" spans="1:104" s="74" customFormat="1">
      <c r="A21" s="300">
        <v>141</v>
      </c>
      <c r="B21" s="101" t="s">
        <v>204</v>
      </c>
      <c r="C21" s="102"/>
      <c r="D21" s="102">
        <v>10</v>
      </c>
      <c r="E21" s="102"/>
      <c r="F21" s="102">
        <f>20+1</f>
        <v>21</v>
      </c>
      <c r="G21" s="102">
        <f>7+2</f>
        <v>9</v>
      </c>
      <c r="H21" s="102">
        <v>1</v>
      </c>
      <c r="I21" s="102">
        <v>3</v>
      </c>
      <c r="J21" s="102">
        <f>15+4</f>
        <v>19</v>
      </c>
      <c r="K21" s="102">
        <f>10+2</f>
        <v>12</v>
      </c>
      <c r="L21" s="102">
        <v>2</v>
      </c>
      <c r="M21" s="102">
        <v>2</v>
      </c>
      <c r="N21" s="102">
        <v>2</v>
      </c>
      <c r="O21" s="102">
        <f>10+5</f>
        <v>15</v>
      </c>
      <c r="P21" s="102">
        <v>5</v>
      </c>
      <c r="Q21" s="102">
        <f>24+7</f>
        <v>31</v>
      </c>
      <c r="R21" s="102">
        <f>6+7</f>
        <v>13</v>
      </c>
      <c r="S21" s="102">
        <f>35+8+3</f>
        <v>46</v>
      </c>
      <c r="T21" s="102">
        <f>14+8+1</f>
        <v>23</v>
      </c>
      <c r="U21" s="102">
        <f>8+1</f>
        <v>9</v>
      </c>
      <c r="V21" s="102">
        <f>5+1</f>
        <v>6</v>
      </c>
      <c r="W21" s="102">
        <f>5+1</f>
        <v>6</v>
      </c>
      <c r="X21" s="151">
        <f t="shared" ca="1" si="3"/>
        <v>235.01180229590673</v>
      </c>
      <c r="Y21" s="103">
        <f>40+1</f>
        <v>41</v>
      </c>
      <c r="Z21" s="154">
        <f t="shared" ca="1" si="0"/>
        <v>276.0118022959067</v>
      </c>
      <c r="AA21" s="100">
        <f ca="1">COUNTIF(Teams!$4:$20,B21)</f>
        <v>6</v>
      </c>
      <c r="AB21" s="100">
        <f t="shared" ca="1" si="5"/>
        <v>5</v>
      </c>
      <c r="AC21" s="170">
        <v>20</v>
      </c>
      <c r="AD21" s="71" t="str">
        <f t="shared" ca="1" si="6"/>
        <v>Stuyven</v>
      </c>
      <c r="AE21" s="177">
        <f t="shared" ca="1" si="2"/>
        <v>149.07721842452361</v>
      </c>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2"/>
      <c r="BK21" s="72"/>
      <c r="BL21" s="72"/>
      <c r="BM21" s="72"/>
      <c r="BN21" s="72"/>
      <c r="BO21" s="72"/>
      <c r="BP21" s="72"/>
      <c r="BQ21" s="72"/>
      <c r="BR21" s="72"/>
      <c r="BS21" s="72"/>
      <c r="BT21" s="72"/>
      <c r="BU21" s="72"/>
      <c r="BV21" s="72"/>
      <c r="BW21" s="72"/>
      <c r="BX21" s="72"/>
      <c r="BY21" s="72"/>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row>
    <row r="22" spans="1:104" s="75" customFormat="1">
      <c r="A22" s="299" t="s">
        <v>192</v>
      </c>
      <c r="B22" s="98" t="s">
        <v>193</v>
      </c>
      <c r="C22" s="93"/>
      <c r="D22" s="93"/>
      <c r="E22" s="93"/>
      <c r="F22" s="93"/>
      <c r="G22" s="93"/>
      <c r="H22" s="93">
        <v>1</v>
      </c>
      <c r="I22" s="93">
        <v>1</v>
      </c>
      <c r="J22" s="93"/>
      <c r="K22" s="93"/>
      <c r="L22" s="93"/>
      <c r="M22" s="93">
        <v>1</v>
      </c>
      <c r="N22" s="93">
        <v>1</v>
      </c>
      <c r="O22" s="93">
        <f>35+1</f>
        <v>36</v>
      </c>
      <c r="P22" s="93">
        <v>1</v>
      </c>
      <c r="Q22" s="93">
        <v>2</v>
      </c>
      <c r="R22" s="93">
        <v>1</v>
      </c>
      <c r="S22" s="93">
        <v>2</v>
      </c>
      <c r="T22" s="93">
        <v>2</v>
      </c>
      <c r="U22" s="93">
        <v>2</v>
      </c>
      <c r="V22" s="93">
        <f>15+2</f>
        <v>17</v>
      </c>
      <c r="W22" s="93">
        <v>2</v>
      </c>
      <c r="X22" s="150">
        <f t="shared" ca="1" si="3"/>
        <v>69.061416673233623</v>
      </c>
      <c r="Y22" s="94">
        <v>3</v>
      </c>
      <c r="Z22" s="153">
        <f t="shared" ca="1" si="0"/>
        <v>72.061416673233623</v>
      </c>
      <c r="AA22" s="100">
        <f ca="1">COUNTIF(Teams!$4:$20,B22)</f>
        <v>5</v>
      </c>
      <c r="AB22" s="100">
        <f t="shared" ca="1" si="5"/>
        <v>31</v>
      </c>
      <c r="AC22" s="170">
        <v>21</v>
      </c>
      <c r="AD22" s="71" t="str">
        <f t="shared" ca="1" si="6"/>
        <v>Trentin</v>
      </c>
      <c r="AE22" s="177">
        <f t="shared" ca="1" si="2"/>
        <v>143.06287475043627</v>
      </c>
    </row>
    <row r="23" spans="1:104" s="74" customFormat="1">
      <c r="A23" s="300"/>
      <c r="B23" s="101" t="s">
        <v>169</v>
      </c>
      <c r="C23" s="102"/>
      <c r="D23" s="102">
        <v>1</v>
      </c>
      <c r="E23" s="102">
        <v>1</v>
      </c>
      <c r="F23" s="102">
        <f>8+3</f>
        <v>11</v>
      </c>
      <c r="G23" s="102">
        <v>3</v>
      </c>
      <c r="H23" s="102">
        <v>3</v>
      </c>
      <c r="I23" s="102">
        <v>4</v>
      </c>
      <c r="J23" s="102">
        <f>6+1+3</f>
        <v>10</v>
      </c>
      <c r="K23" s="102">
        <f>8+3</f>
        <v>11</v>
      </c>
      <c r="L23" s="102">
        <v>3</v>
      </c>
      <c r="M23" s="102">
        <v>3</v>
      </c>
      <c r="N23" s="102">
        <v>3</v>
      </c>
      <c r="O23" s="102">
        <f>1+3</f>
        <v>4</v>
      </c>
      <c r="P23" s="102">
        <f>1+3</f>
        <v>4</v>
      </c>
      <c r="Q23" s="102">
        <f>22+3+4</f>
        <v>29</v>
      </c>
      <c r="R23" s="102">
        <f>3+4</f>
        <v>7</v>
      </c>
      <c r="S23" s="102">
        <f>20+3+4</f>
        <v>27</v>
      </c>
      <c r="T23" s="102">
        <f>19+5+4</f>
        <v>28</v>
      </c>
      <c r="U23" s="102">
        <f>5+4</f>
        <v>9</v>
      </c>
      <c r="V23" s="102">
        <f>17+6+4</f>
        <v>27</v>
      </c>
      <c r="W23" s="102">
        <f>6+4</f>
        <v>10</v>
      </c>
      <c r="X23" s="151">
        <f t="shared" ref="X23" ca="1" si="7">SUM(C23:W23)+RAND()/10</f>
        <v>198.05065112609282</v>
      </c>
      <c r="Y23" s="103">
        <f>44+7</f>
        <v>51</v>
      </c>
      <c r="Z23" s="154">
        <f t="shared" ref="Z23" ca="1" si="8">SUM(X23:Y23)</f>
        <v>249.05065112609282</v>
      </c>
      <c r="AA23" s="100">
        <f ca="1">COUNTIF(Teams!$4:$20,B23)</f>
        <v>1</v>
      </c>
      <c r="AB23" s="100">
        <f t="shared" ca="1" si="5"/>
        <v>7</v>
      </c>
      <c r="AC23" s="170">
        <v>22</v>
      </c>
      <c r="AD23" s="71" t="str">
        <f t="shared" ca="1" si="6"/>
        <v>Kristoff</v>
      </c>
      <c r="AE23" s="177">
        <f t="shared" ca="1" si="2"/>
        <v>142.08189094839477</v>
      </c>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2"/>
      <c r="BK23" s="72"/>
      <c r="BL23" s="72"/>
      <c r="BM23" s="72"/>
      <c r="BN23" s="72"/>
      <c r="BO23" s="72"/>
      <c r="BP23" s="72"/>
      <c r="BQ23" s="72"/>
      <c r="BR23" s="72"/>
      <c r="BS23" s="72"/>
      <c r="BT23" s="72"/>
      <c r="BU23" s="72"/>
      <c r="BV23" s="72"/>
      <c r="BW23" s="72"/>
      <c r="BX23" s="72"/>
      <c r="BY23" s="72"/>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row>
    <row r="24" spans="1:104" s="75" customFormat="1">
      <c r="A24" s="299"/>
      <c r="B24" s="98" t="s">
        <v>53</v>
      </c>
      <c r="C24" s="93"/>
      <c r="D24" s="93">
        <f>20</f>
        <v>20</v>
      </c>
      <c r="E24" s="93"/>
      <c r="F24" s="93">
        <v>13</v>
      </c>
      <c r="G24" s="93"/>
      <c r="H24" s="93">
        <v>20</v>
      </c>
      <c r="I24" s="93"/>
      <c r="J24" s="93"/>
      <c r="K24" s="93">
        <v>20</v>
      </c>
      <c r="L24" s="93"/>
      <c r="M24" s="93"/>
      <c r="N24" s="93">
        <v>6</v>
      </c>
      <c r="O24" s="93"/>
      <c r="P24" s="93"/>
      <c r="Q24" s="93"/>
      <c r="R24" s="93"/>
      <c r="S24" s="93"/>
      <c r="T24" s="93"/>
      <c r="U24" s="93"/>
      <c r="V24" s="93"/>
      <c r="W24" s="93"/>
      <c r="X24" s="150">
        <f t="shared" ca="1" si="3"/>
        <v>79.077841004680081</v>
      </c>
      <c r="Y24" s="94"/>
      <c r="Z24" s="153">
        <f t="shared" ref="Z24:Z55" ca="1" si="9">SUM(X24:Y24)</f>
        <v>79.077841004680081</v>
      </c>
      <c r="AA24" s="100">
        <f ca="1">COUNTIF(Teams!$4:$20,B24)</f>
        <v>3</v>
      </c>
      <c r="AB24" s="100">
        <f t="shared" ca="1" si="5"/>
        <v>30</v>
      </c>
      <c r="AC24" s="170">
        <v>23</v>
      </c>
      <c r="AD24" s="71" t="str">
        <f t="shared" ca="1" si="6"/>
        <v>Bol</v>
      </c>
      <c r="AE24" s="177">
        <f t="shared" ca="1" si="2"/>
        <v>120.02884850300732</v>
      </c>
    </row>
    <row r="25" spans="1:104" s="74" customFormat="1">
      <c r="A25" s="300"/>
      <c r="B25" s="101" t="s">
        <v>201</v>
      </c>
      <c r="C25" s="102">
        <f>19+4</f>
        <v>23</v>
      </c>
      <c r="D25" s="102"/>
      <c r="E25" s="102">
        <f>26</f>
        <v>26</v>
      </c>
      <c r="F25" s="102">
        <v>1</v>
      </c>
      <c r="G25" s="102">
        <f>15</f>
        <v>15</v>
      </c>
      <c r="H25" s="102"/>
      <c r="I25" s="102"/>
      <c r="J25" s="102"/>
      <c r="K25" s="102"/>
      <c r="L25" s="102"/>
      <c r="M25" s="102"/>
      <c r="N25" s="102"/>
      <c r="O25" s="102"/>
      <c r="P25" s="102"/>
      <c r="Q25" s="102"/>
      <c r="R25" s="102"/>
      <c r="S25" s="102"/>
      <c r="T25" s="102"/>
      <c r="U25" s="102"/>
      <c r="V25" s="102"/>
      <c r="W25" s="102"/>
      <c r="X25" s="151">
        <f t="shared" ca="1" si="3"/>
        <v>65.089282364930398</v>
      </c>
      <c r="Y25" s="103"/>
      <c r="Z25" s="154">
        <f t="shared" ca="1" si="9"/>
        <v>65.089282364930398</v>
      </c>
      <c r="AA25" s="100">
        <f ca="1">COUNTIF(Teams!$4:$20,B25)</f>
        <v>8</v>
      </c>
      <c r="AB25" s="100">
        <f t="shared" ca="1" si="5"/>
        <v>33</v>
      </c>
      <c r="AC25" s="170">
        <v>24</v>
      </c>
      <c r="AD25" s="71" t="str">
        <f t="shared" ca="1" si="6"/>
        <v>Valverde</v>
      </c>
      <c r="AE25" s="177">
        <f t="shared" ca="1" si="2"/>
        <v>118.04039311920802</v>
      </c>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2"/>
      <c r="BK25" s="72"/>
      <c r="BL25" s="72"/>
      <c r="BM25" s="72"/>
      <c r="BN25" s="72"/>
      <c r="BO25" s="72"/>
      <c r="BP25" s="72"/>
      <c r="BQ25" s="72"/>
      <c r="BR25" s="72"/>
      <c r="BS25" s="72"/>
      <c r="BT25" s="72"/>
      <c r="BU25" s="72"/>
      <c r="BV25" s="72"/>
      <c r="BW25" s="72"/>
      <c r="BX25" s="72"/>
      <c r="BY25" s="72"/>
      <c r="BZ25" s="72"/>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row>
    <row r="26" spans="1:104" s="75" customFormat="1">
      <c r="A26" s="299"/>
      <c r="B26" s="98" t="s">
        <v>86</v>
      </c>
      <c r="C26" s="93"/>
      <c r="D26" s="93"/>
      <c r="E26" s="93"/>
      <c r="F26" s="93">
        <f>18</f>
        <v>18</v>
      </c>
      <c r="G26" s="93"/>
      <c r="H26" s="93">
        <v>12</v>
      </c>
      <c r="I26" s="93">
        <f>8+2</f>
        <v>10</v>
      </c>
      <c r="J26" s="93">
        <v>0</v>
      </c>
      <c r="K26" s="93"/>
      <c r="L26" s="93"/>
      <c r="M26" s="93"/>
      <c r="N26" s="93"/>
      <c r="O26" s="93"/>
      <c r="P26" s="93"/>
      <c r="Q26" s="93"/>
      <c r="R26" s="93"/>
      <c r="S26" s="93"/>
      <c r="T26" s="93"/>
      <c r="U26" s="93"/>
      <c r="V26" s="93">
        <v>7</v>
      </c>
      <c r="W26" s="93"/>
      <c r="X26" s="150">
        <f t="shared" ca="1" si="3"/>
        <v>47.095534077619774</v>
      </c>
      <c r="Y26" s="94"/>
      <c r="Z26" s="153">
        <f t="shared" ca="1" si="9"/>
        <v>47.095534077619774</v>
      </c>
      <c r="AA26" s="100">
        <f ca="1">COUNTIF(Teams!$4:$20,B26)</f>
        <v>11</v>
      </c>
      <c r="AB26" s="100">
        <f t="shared" ca="1" si="5"/>
        <v>34</v>
      </c>
      <c r="AC26" s="170">
        <v>25</v>
      </c>
      <c r="AD26" s="71" t="str">
        <f t="shared" ca="1" si="6"/>
        <v>Bardet</v>
      </c>
      <c r="AE26" s="177">
        <f t="shared" ca="1" si="2"/>
        <v>104.04196336552511</v>
      </c>
    </row>
    <row r="27" spans="1:104" s="74" customFormat="1">
      <c r="A27" s="300"/>
      <c r="B27" s="101" t="s">
        <v>199</v>
      </c>
      <c r="C27" s="102">
        <f>9+2</f>
        <v>11</v>
      </c>
      <c r="D27" s="102">
        <f>18+6+3</f>
        <v>27</v>
      </c>
      <c r="E27" s="102">
        <f>7+4</f>
        <v>11</v>
      </c>
      <c r="F27" s="102">
        <f>30+7+2+5</f>
        <v>44</v>
      </c>
      <c r="G27" s="102">
        <f>8+2+5</f>
        <v>15</v>
      </c>
      <c r="H27" s="102">
        <f>15+8+5</f>
        <v>28</v>
      </c>
      <c r="I27" s="102">
        <v>2</v>
      </c>
      <c r="J27" s="102">
        <f>17+2+4</f>
        <v>23</v>
      </c>
      <c r="K27" s="102">
        <f>35+4+4</f>
        <v>43</v>
      </c>
      <c r="L27" s="102">
        <f>4+4</f>
        <v>8</v>
      </c>
      <c r="M27" s="102">
        <f>4+4</f>
        <v>8</v>
      </c>
      <c r="N27" s="102">
        <f>4+4</f>
        <v>8</v>
      </c>
      <c r="O27" s="102">
        <f>13+9+5</f>
        <v>27</v>
      </c>
      <c r="P27" s="102">
        <f>14+9+5</f>
        <v>28</v>
      </c>
      <c r="Q27" s="102">
        <f>35+9+5+4</f>
        <v>53</v>
      </c>
      <c r="R27" s="102">
        <f>9+3+5</f>
        <v>17</v>
      </c>
      <c r="S27" s="102">
        <f>26+9+5+5</f>
        <v>45</v>
      </c>
      <c r="T27" s="102">
        <f>22+9+4+5</f>
        <v>40</v>
      </c>
      <c r="U27" s="102">
        <f>9+5+4</f>
        <v>18</v>
      </c>
      <c r="V27" s="102">
        <f>35+10+5+5</f>
        <v>55</v>
      </c>
      <c r="W27" s="102">
        <f>10+5+5</f>
        <v>20</v>
      </c>
      <c r="X27" s="151">
        <f t="shared" ca="1" si="3"/>
        <v>531.01379209691868</v>
      </c>
      <c r="Y27" s="103">
        <f>70+10+10</f>
        <v>90</v>
      </c>
      <c r="Z27" s="154">
        <f t="shared" ca="1" si="9"/>
        <v>621.01379209691868</v>
      </c>
      <c r="AA27" s="100">
        <f ca="1">COUNTIF(Teams!$4:$20,B27)</f>
        <v>11</v>
      </c>
      <c r="AB27" s="100">
        <f t="shared" ca="1" si="5"/>
        <v>1</v>
      </c>
      <c r="AC27" s="170">
        <v>26</v>
      </c>
      <c r="AD27" s="71" t="str">
        <f t="shared" ca="1" si="6"/>
        <v>van Avermaet</v>
      </c>
      <c r="AE27" s="177">
        <f t="shared" ca="1" si="2"/>
        <v>92.01964497871991</v>
      </c>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2"/>
      <c r="BK27" s="72"/>
      <c r="BL27" s="72"/>
      <c r="BM27" s="72"/>
      <c r="BN27" s="72"/>
      <c r="BO27" s="72"/>
      <c r="BP27" s="72"/>
      <c r="BQ27" s="72"/>
      <c r="BR27" s="72"/>
      <c r="BS27" s="72"/>
      <c r="BT27" s="72"/>
      <c r="BU27" s="72"/>
      <c r="BV27" s="72"/>
      <c r="BW27" s="72"/>
      <c r="BX27" s="72"/>
      <c r="BY27" s="72"/>
      <c r="BZ27" s="72"/>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row>
    <row r="28" spans="1:104" s="75" customFormat="1">
      <c r="A28" s="299"/>
      <c r="B28" s="98" t="s">
        <v>87</v>
      </c>
      <c r="C28" s="93"/>
      <c r="D28" s="93"/>
      <c r="E28" s="93"/>
      <c r="F28" s="93">
        <v>12</v>
      </c>
      <c r="G28" s="93"/>
      <c r="H28" s="93"/>
      <c r="I28" s="93"/>
      <c r="J28" s="93">
        <v>7</v>
      </c>
      <c r="K28" s="93">
        <f>17</f>
        <v>17</v>
      </c>
      <c r="L28" s="93"/>
      <c r="M28" s="93"/>
      <c r="N28" s="93"/>
      <c r="O28" s="93">
        <f>12+2</f>
        <v>14</v>
      </c>
      <c r="P28" s="93">
        <v>2</v>
      </c>
      <c r="Q28" s="93">
        <f>26+5</f>
        <v>31</v>
      </c>
      <c r="R28" s="93">
        <v>5</v>
      </c>
      <c r="S28" s="93">
        <f>22+7</f>
        <v>29</v>
      </c>
      <c r="T28" s="93">
        <f>20+7</f>
        <v>27</v>
      </c>
      <c r="U28" s="93">
        <f>7</f>
        <v>7</v>
      </c>
      <c r="V28" s="93">
        <f>26+8</f>
        <v>34</v>
      </c>
      <c r="W28" s="93">
        <f>8</f>
        <v>8</v>
      </c>
      <c r="X28" s="150">
        <f t="shared" ca="1" si="3"/>
        <v>193.01252352265149</v>
      </c>
      <c r="Y28" s="94">
        <f>52</f>
        <v>52</v>
      </c>
      <c r="Z28" s="153">
        <f t="shared" ca="1" si="9"/>
        <v>245.01252352265149</v>
      </c>
      <c r="AA28" s="100">
        <f ca="1">COUNTIF(Teams!$4:$20,B28)</f>
        <v>1</v>
      </c>
      <c r="AB28" s="100">
        <f t="shared" ca="1" si="5"/>
        <v>8</v>
      </c>
      <c r="AC28" s="170">
        <v>27</v>
      </c>
      <c r="AD28" s="71" t="str">
        <f t="shared" ca="1" si="6"/>
        <v>Barguil</v>
      </c>
      <c r="AE28" s="177">
        <f t="shared" ca="1" si="2"/>
        <v>90.074849696441248</v>
      </c>
    </row>
    <row r="29" spans="1:104" s="74" customFormat="1">
      <c r="A29" s="300"/>
      <c r="B29" s="101" t="s">
        <v>132</v>
      </c>
      <c r="C29" s="102"/>
      <c r="D29" s="102">
        <v>8</v>
      </c>
      <c r="E29" s="102"/>
      <c r="F29" s="102">
        <f>24+2</f>
        <v>26</v>
      </c>
      <c r="G29" s="102">
        <v>4</v>
      </c>
      <c r="H29" s="102">
        <f>13+3</f>
        <v>16</v>
      </c>
      <c r="I29" s="102">
        <v>5</v>
      </c>
      <c r="J29" s="102">
        <f>9+5</f>
        <v>14</v>
      </c>
      <c r="K29" s="102">
        <f>15+6</f>
        <v>21</v>
      </c>
      <c r="L29" s="102">
        <v>6</v>
      </c>
      <c r="M29" s="102">
        <v>6</v>
      </c>
      <c r="N29" s="102">
        <v>6</v>
      </c>
      <c r="O29" s="102">
        <v>6</v>
      </c>
      <c r="P29" s="102">
        <v>6</v>
      </c>
      <c r="Q29" s="102">
        <f>8+2</f>
        <v>10</v>
      </c>
      <c r="R29" s="102">
        <v>1</v>
      </c>
      <c r="S29" s="102"/>
      <c r="T29" s="102"/>
      <c r="U29" s="102"/>
      <c r="V29" s="102"/>
      <c r="W29" s="102"/>
      <c r="X29" s="151">
        <f t="shared" ca="1" si="3"/>
        <v>135.06838466574541</v>
      </c>
      <c r="Y29" s="103">
        <v>18</v>
      </c>
      <c r="Z29" s="154">
        <f t="shared" ca="1" si="9"/>
        <v>153.06838466574541</v>
      </c>
      <c r="AA29" s="100">
        <f ca="1">COUNTIF(Teams!$4:$20,B29)</f>
        <v>5</v>
      </c>
      <c r="AB29" s="100">
        <f t="shared" ca="1" si="5"/>
        <v>19</v>
      </c>
      <c r="AC29" s="170">
        <v>28</v>
      </c>
      <c r="AD29" s="71" t="str">
        <f t="shared" ca="1" si="6"/>
        <v>Higuita</v>
      </c>
      <c r="AE29" s="177">
        <f t="shared" ca="1" si="2"/>
        <v>89.073675316627188</v>
      </c>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2"/>
      <c r="BK29" s="72"/>
      <c r="BL29" s="72"/>
      <c r="BM29" s="72"/>
      <c r="BN29" s="72"/>
      <c r="BO29" s="72"/>
      <c r="BP29" s="72"/>
      <c r="BQ29" s="72"/>
      <c r="BR29" s="72"/>
      <c r="BS29" s="72"/>
      <c r="BT29" s="72"/>
      <c r="BU29" s="72"/>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row>
    <row r="30" spans="1:104" s="75" customFormat="1">
      <c r="A30" s="299"/>
      <c r="B30" s="98" t="s">
        <v>134</v>
      </c>
      <c r="C30" s="93"/>
      <c r="D30" s="93"/>
      <c r="E30" s="93"/>
      <c r="F30" s="93">
        <f>35+8+3</f>
        <v>46</v>
      </c>
      <c r="G30" s="93">
        <f>9+3</f>
        <v>12</v>
      </c>
      <c r="H30" s="93">
        <f>9+2</f>
        <v>11</v>
      </c>
      <c r="I30" s="93">
        <f>9+2</f>
        <v>11</v>
      </c>
      <c r="J30" s="93">
        <f>10+9</f>
        <v>19</v>
      </c>
      <c r="K30" s="93">
        <f>30+10</f>
        <v>40</v>
      </c>
      <c r="L30" s="93">
        <f>10</f>
        <v>10</v>
      </c>
      <c r="M30" s="93">
        <v>10</v>
      </c>
      <c r="N30" s="93">
        <v>10</v>
      </c>
      <c r="O30" s="93">
        <f>14+10</f>
        <v>24</v>
      </c>
      <c r="P30" s="93">
        <v>10</v>
      </c>
      <c r="Q30" s="93">
        <f>30+10+3</f>
        <v>43</v>
      </c>
      <c r="R30" s="93">
        <f>10+2</f>
        <v>12</v>
      </c>
      <c r="S30" s="93">
        <f>30+10+4</f>
        <v>44</v>
      </c>
      <c r="T30" s="93">
        <f>24+10+3</f>
        <v>37</v>
      </c>
      <c r="U30" s="93">
        <f>10+3</f>
        <v>13</v>
      </c>
      <c r="V30" s="93">
        <f>22+9+3</f>
        <v>34</v>
      </c>
      <c r="W30" s="93">
        <f>9+3</f>
        <v>12</v>
      </c>
      <c r="X30" s="150">
        <f t="shared" ca="1" si="3"/>
        <v>398.02812813736631</v>
      </c>
      <c r="Y30" s="94">
        <f>60+5</f>
        <v>65</v>
      </c>
      <c r="Z30" s="153">
        <f t="shared" ca="1" si="9"/>
        <v>463.02812813736631</v>
      </c>
      <c r="AA30" s="100">
        <f ca="1">COUNTIF(Teams!$4:$20,B30)</f>
        <v>11</v>
      </c>
      <c r="AB30" s="100">
        <f t="shared" ca="1" si="5"/>
        <v>2</v>
      </c>
      <c r="AC30" s="170">
        <v>29</v>
      </c>
      <c r="AD30" s="71" t="str">
        <f t="shared" ca="1" si="6"/>
        <v>Viviani</v>
      </c>
      <c r="AE30" s="177">
        <f t="shared" ca="1" si="2"/>
        <v>80.095956085656127</v>
      </c>
    </row>
    <row r="31" spans="1:104" s="74" customFormat="1">
      <c r="A31" s="300"/>
      <c r="B31" s="101" t="s">
        <v>72</v>
      </c>
      <c r="C31" s="102">
        <f>22+6+3</f>
        <v>31</v>
      </c>
      <c r="D31" s="102">
        <v>4</v>
      </c>
      <c r="E31" s="102">
        <f>20+5</f>
        <v>25</v>
      </c>
      <c r="F31" s="102">
        <v>5</v>
      </c>
      <c r="G31" s="102">
        <f>24+4</f>
        <v>28</v>
      </c>
      <c r="H31" s="102">
        <v>4</v>
      </c>
      <c r="I31" s="102">
        <f>13+5</f>
        <v>18</v>
      </c>
      <c r="J31" s="102">
        <v>5</v>
      </c>
      <c r="K31" s="102">
        <v>5</v>
      </c>
      <c r="L31" s="102">
        <f>26+4</f>
        <v>30</v>
      </c>
      <c r="M31" s="102">
        <v>4</v>
      </c>
      <c r="N31" s="102">
        <f>13+4</f>
        <v>17</v>
      </c>
      <c r="O31" s="102">
        <v>4</v>
      </c>
      <c r="P31" s="102">
        <f>24+4</f>
        <v>28</v>
      </c>
      <c r="Q31" s="102">
        <v>4</v>
      </c>
      <c r="R31" s="102">
        <v>4</v>
      </c>
      <c r="S31" s="102">
        <v>4</v>
      </c>
      <c r="T31" s="102">
        <v>4</v>
      </c>
      <c r="U31" s="102">
        <f>17+4</f>
        <v>21</v>
      </c>
      <c r="V31" s="102">
        <v>4</v>
      </c>
      <c r="W31" s="102">
        <f>26+4</f>
        <v>30</v>
      </c>
      <c r="X31" s="151">
        <f t="shared" ca="1" si="3"/>
        <v>279.00639312098394</v>
      </c>
      <c r="Y31" s="103">
        <v>7</v>
      </c>
      <c r="Z31" s="154">
        <f t="shared" ca="1" si="9"/>
        <v>286.00639312098394</v>
      </c>
      <c r="AA31" s="100">
        <f ca="1">COUNTIF(Teams!$4:$20,B31)</f>
        <v>11</v>
      </c>
      <c r="AB31" s="100">
        <f t="shared" ca="1" si="5"/>
        <v>4</v>
      </c>
      <c r="AC31" s="170">
        <v>30</v>
      </c>
      <c r="AD31" s="71" t="str">
        <f t="shared" ca="1" si="6"/>
        <v>Mollema</v>
      </c>
      <c r="AE31" s="177">
        <f t="shared" ca="1" si="2"/>
        <v>79.077841004680081</v>
      </c>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row>
    <row r="32" spans="1:104" s="75" customFormat="1">
      <c r="A32" s="299"/>
      <c r="B32" s="98" t="s">
        <v>211</v>
      </c>
      <c r="C32" s="93"/>
      <c r="D32" s="93"/>
      <c r="E32" s="93"/>
      <c r="F32" s="93"/>
      <c r="G32" s="93"/>
      <c r="H32" s="93"/>
      <c r="I32" s="93"/>
      <c r="J32" s="93"/>
      <c r="K32" s="93"/>
      <c r="L32" s="93"/>
      <c r="M32" s="93"/>
      <c r="N32" s="93"/>
      <c r="O32" s="93"/>
      <c r="P32" s="93"/>
      <c r="Q32" s="93"/>
      <c r="R32" s="93">
        <v>24</v>
      </c>
      <c r="S32" s="93"/>
      <c r="T32" s="93"/>
      <c r="U32" s="93"/>
      <c r="V32" s="93"/>
      <c r="W32" s="93"/>
      <c r="X32" s="150">
        <f t="shared" ref="X32" ca="1" si="10">SUM(C32:W32)+RAND()/10</f>
        <v>24.035201472053451</v>
      </c>
      <c r="Y32" s="94"/>
      <c r="Z32" s="153">
        <f t="shared" ref="Z32" ca="1" si="11">SUM(X32:Y32)</f>
        <v>24.035201472053451</v>
      </c>
      <c r="AA32" s="100">
        <f ca="1">COUNTIF(Teams!$4:$20,B32)</f>
        <v>2</v>
      </c>
      <c r="AB32" s="100">
        <f t="shared" ref="AB32:AB33" ca="1" si="12">RANK(Z32,$Z$2:$Z$55)</f>
        <v>37</v>
      </c>
      <c r="AC32" s="170">
        <v>31</v>
      </c>
      <c r="AD32" s="71" t="str">
        <f t="shared" ca="1" si="6"/>
        <v>Martinez</v>
      </c>
      <c r="AE32" s="177">
        <f t="shared" ref="AE32:AE36" ca="1" si="13">INDEX($Z$2:$Z$55,MATCH(AC32,$AB$2:$AB$55,0))</f>
        <v>72.061416673233623</v>
      </c>
    </row>
    <row r="33" spans="1:104" s="74" customFormat="1">
      <c r="A33" s="300"/>
      <c r="B33" s="101" t="s">
        <v>195</v>
      </c>
      <c r="C33" s="102">
        <f>16+1</f>
        <v>17</v>
      </c>
      <c r="D33" s="102"/>
      <c r="E33" s="102">
        <v>7</v>
      </c>
      <c r="F33" s="102"/>
      <c r="G33" s="102">
        <f>22</f>
        <v>22</v>
      </c>
      <c r="H33" s="102"/>
      <c r="I33" s="102">
        <f>22</f>
        <v>22</v>
      </c>
      <c r="J33" s="102"/>
      <c r="K33" s="102"/>
      <c r="L33" s="102">
        <v>17</v>
      </c>
      <c r="M33" s="102"/>
      <c r="N33" s="102">
        <v>11</v>
      </c>
      <c r="O33" s="102"/>
      <c r="P33" s="102">
        <f>20</f>
        <v>20</v>
      </c>
      <c r="Q33" s="102"/>
      <c r="R33" s="102"/>
      <c r="S33" s="102"/>
      <c r="T33" s="102"/>
      <c r="U33" s="102">
        <v>26</v>
      </c>
      <c r="V33" s="102"/>
      <c r="W33" s="102">
        <v>7</v>
      </c>
      <c r="X33" s="151">
        <f t="shared" ref="X33" ca="1" si="14">SUM(C33:W33)+RAND()/10</f>
        <v>149.07721842452361</v>
      </c>
      <c r="Y33" s="103"/>
      <c r="Z33" s="154">
        <f t="shared" ref="Z33" ca="1" si="15">SUM(X33:Y33)</f>
        <v>149.07721842452361</v>
      </c>
      <c r="AA33" s="100">
        <f ca="1">COUNTIF(Teams!$4:$20,B33)</f>
        <v>1</v>
      </c>
      <c r="AB33" s="100">
        <f t="shared" ca="1" si="12"/>
        <v>20</v>
      </c>
      <c r="AC33" s="170">
        <v>32</v>
      </c>
      <c r="AD33" s="71" t="str">
        <f t="shared" ref="AD33" ca="1" si="16">INDEX($B$2:$B$55,MATCH(AC33,$AB$2:$AB$55,0))</f>
        <v>Kämna</v>
      </c>
      <c r="AE33" s="177">
        <f t="shared" ca="1" si="13"/>
        <v>71.022776523247785</v>
      </c>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2"/>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row>
    <row r="34" spans="1:104" s="75" customFormat="1">
      <c r="A34" s="299"/>
      <c r="B34" s="98" t="s">
        <v>197</v>
      </c>
      <c r="C34" s="93">
        <v>14</v>
      </c>
      <c r="D34" s="93">
        <v>3</v>
      </c>
      <c r="E34" s="93">
        <v>2</v>
      </c>
      <c r="F34" s="93">
        <v>2</v>
      </c>
      <c r="G34" s="93">
        <v>1</v>
      </c>
      <c r="H34" s="93">
        <v>1</v>
      </c>
      <c r="I34" s="93"/>
      <c r="J34" s="93"/>
      <c r="K34" s="93">
        <v>1</v>
      </c>
      <c r="L34" s="93">
        <f>14+2</f>
        <v>16</v>
      </c>
      <c r="M34" s="93">
        <f>15+1</f>
        <v>16</v>
      </c>
      <c r="N34" s="93">
        <v>1</v>
      </c>
      <c r="O34" s="93">
        <v>1</v>
      </c>
      <c r="P34" s="93">
        <f>19+3</f>
        <v>22</v>
      </c>
      <c r="Q34" s="93">
        <v>3</v>
      </c>
      <c r="R34" s="93">
        <f>12+3</f>
        <v>15</v>
      </c>
      <c r="S34" s="93">
        <v>3</v>
      </c>
      <c r="T34" s="93">
        <v>3</v>
      </c>
      <c r="U34" s="93">
        <f>16+3</f>
        <v>19</v>
      </c>
      <c r="V34" s="93">
        <v>3</v>
      </c>
      <c r="W34" s="93">
        <f>9+3</f>
        <v>12</v>
      </c>
      <c r="X34" s="150">
        <f t="shared" ca="1" si="3"/>
        <v>138.06287475043627</v>
      </c>
      <c r="Y34" s="94">
        <v>5</v>
      </c>
      <c r="Z34" s="153">
        <f t="shared" ca="1" si="9"/>
        <v>143.06287475043627</v>
      </c>
      <c r="AA34" s="100">
        <f ca="1">COUNTIF(Teams!$4:$20,B34)</f>
        <v>1</v>
      </c>
      <c r="AB34" s="100">
        <f t="shared" ca="1" si="5"/>
        <v>21</v>
      </c>
      <c r="AC34" s="170">
        <v>33</v>
      </c>
      <c r="AD34" s="71" t="str">
        <f t="shared" ca="1" si="6"/>
        <v>Nizzolo</v>
      </c>
      <c r="AE34" s="177">
        <f t="shared" ca="1" si="13"/>
        <v>65.089282364930398</v>
      </c>
    </row>
    <row r="35" spans="1:104" s="74" customFormat="1">
      <c r="A35" s="300"/>
      <c r="B35" s="101" t="s">
        <v>122</v>
      </c>
      <c r="C35" s="102"/>
      <c r="D35" s="102"/>
      <c r="E35" s="102"/>
      <c r="F35" s="102">
        <v>11</v>
      </c>
      <c r="G35" s="102"/>
      <c r="H35" s="102"/>
      <c r="I35" s="102">
        <v>1</v>
      </c>
      <c r="J35" s="102">
        <f>8+3</f>
        <v>11</v>
      </c>
      <c r="K35" s="102">
        <f>16+5</f>
        <v>21</v>
      </c>
      <c r="L35" s="102">
        <v>5</v>
      </c>
      <c r="M35" s="102">
        <v>5</v>
      </c>
      <c r="N35" s="102">
        <v>5</v>
      </c>
      <c r="O35" s="102">
        <f>7+7</f>
        <v>14</v>
      </c>
      <c r="P35" s="102">
        <v>7</v>
      </c>
      <c r="Q35" s="102">
        <f>17+8</f>
        <v>25</v>
      </c>
      <c r="R35" s="102">
        <v>8</v>
      </c>
      <c r="S35" s="102">
        <f>17+5</f>
        <v>22</v>
      </c>
      <c r="T35" s="102">
        <f>7+3</f>
        <v>10</v>
      </c>
      <c r="U35" s="102">
        <v>3</v>
      </c>
      <c r="V35" s="102">
        <f>16+3</f>
        <v>19</v>
      </c>
      <c r="W35" s="102">
        <v>3</v>
      </c>
      <c r="X35" s="151">
        <f t="shared" ca="1" si="3"/>
        <v>170.00968564002864</v>
      </c>
      <c r="Y35" s="103">
        <v>36</v>
      </c>
      <c r="Z35" s="154">
        <f t="shared" ca="1" si="9"/>
        <v>206.00968564002864</v>
      </c>
      <c r="AA35" s="100">
        <f ca="1">COUNTIF(Teams!$4:$20,B35)</f>
        <v>1</v>
      </c>
      <c r="AB35" s="100">
        <f t="shared" ca="1" si="5"/>
        <v>11</v>
      </c>
      <c r="AC35" s="170">
        <v>34</v>
      </c>
      <c r="AD35" s="71" t="str">
        <f t="shared" ca="1" si="6"/>
        <v>Pinot</v>
      </c>
      <c r="AE35" s="177">
        <f t="shared" ca="1" si="13"/>
        <v>47.095534077619774</v>
      </c>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2"/>
      <c r="BK35" s="72"/>
      <c r="BL35" s="72"/>
      <c r="BM35" s="72"/>
      <c r="BN35" s="72"/>
      <c r="BO35" s="72"/>
      <c r="BP35" s="72"/>
      <c r="BQ35" s="72"/>
      <c r="BR35" s="72"/>
      <c r="BS35" s="72"/>
      <c r="BT35" s="72"/>
      <c r="BU35" s="72"/>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row>
    <row r="36" spans="1:104" s="75" customFormat="1">
      <c r="A36" s="299"/>
      <c r="B36" s="98" t="s">
        <v>74</v>
      </c>
      <c r="C36" s="93"/>
      <c r="D36" s="93">
        <v>12</v>
      </c>
      <c r="E36" s="93"/>
      <c r="F36" s="93"/>
      <c r="G36" s="93"/>
      <c r="H36" s="93">
        <v>10</v>
      </c>
      <c r="I36" s="93">
        <v>16</v>
      </c>
      <c r="J36" s="93"/>
      <c r="K36" s="93">
        <v>13</v>
      </c>
      <c r="L36" s="93"/>
      <c r="M36" s="93"/>
      <c r="N36" s="93"/>
      <c r="O36" s="93"/>
      <c r="P36" s="93"/>
      <c r="Q36" s="93">
        <v>16</v>
      </c>
      <c r="R36" s="93"/>
      <c r="S36" s="93">
        <f>14+1</f>
        <v>15</v>
      </c>
      <c r="T36" s="93">
        <f>6+1</f>
        <v>7</v>
      </c>
      <c r="U36" s="93">
        <v>1</v>
      </c>
      <c r="V36" s="93"/>
      <c r="W36" s="93"/>
      <c r="X36" s="150">
        <f t="shared" ca="1" si="3"/>
        <v>90.040393119208019</v>
      </c>
      <c r="Y36" s="94">
        <v>28</v>
      </c>
      <c r="Z36" s="153">
        <f t="shared" ca="1" si="9"/>
        <v>118.04039311920802</v>
      </c>
      <c r="AA36" s="100">
        <f ca="1">COUNTIF(Teams!$4:$20,B36)</f>
        <v>1</v>
      </c>
      <c r="AB36" s="100">
        <f t="shared" ca="1" si="5"/>
        <v>24</v>
      </c>
      <c r="AC36" s="170">
        <v>35</v>
      </c>
      <c r="AD36" s="71" t="str">
        <f t="shared" ref="AD36" ca="1" si="17">INDEX($B$2:$B$55,MATCH(AC36,$AB$2:$AB$55,0))</f>
        <v>Colbrelli</v>
      </c>
      <c r="AE36" s="177">
        <f t="shared" ca="1" si="13"/>
        <v>39.060762209411898</v>
      </c>
    </row>
    <row r="37" spans="1:104" s="74" customFormat="1">
      <c r="A37" s="300"/>
      <c r="B37" s="101" t="s">
        <v>172</v>
      </c>
      <c r="C37" s="102"/>
      <c r="D37" s="102"/>
      <c r="E37" s="102"/>
      <c r="F37" s="102"/>
      <c r="G37" s="102">
        <f>35</f>
        <v>35</v>
      </c>
      <c r="H37" s="102"/>
      <c r="I37" s="102">
        <f>35+3</f>
        <v>38</v>
      </c>
      <c r="J37" s="102">
        <v>3</v>
      </c>
      <c r="K37" s="102">
        <v>3</v>
      </c>
      <c r="L37" s="102">
        <v>1</v>
      </c>
      <c r="M37" s="102">
        <f>26</f>
        <v>26</v>
      </c>
      <c r="N37" s="102">
        <v>7</v>
      </c>
      <c r="O37" s="102"/>
      <c r="P37" s="102"/>
      <c r="Q37" s="102"/>
      <c r="R37" s="102"/>
      <c r="S37" s="102">
        <v>7</v>
      </c>
      <c r="T37" s="102">
        <v>26</v>
      </c>
      <c r="U37" s="102"/>
      <c r="V37" s="102">
        <f>24+1</f>
        <v>25</v>
      </c>
      <c r="W37" s="102">
        <f>20+1</f>
        <v>21</v>
      </c>
      <c r="X37" s="151">
        <f t="shared" ref="X37:X40" ca="1" si="18">SUM(C37:W37)+RAND()/10</f>
        <v>192.02674242672029</v>
      </c>
      <c r="Y37" s="103">
        <f>12+1</f>
        <v>13</v>
      </c>
      <c r="Z37" s="154">
        <f t="shared" ref="Z37:Z40" ca="1" si="19">SUM(X37:Y37)</f>
        <v>205.02674242672029</v>
      </c>
      <c r="AA37" s="100">
        <f ca="1">COUNTIF(Teams!$4:$20,B37)</f>
        <v>8</v>
      </c>
      <c r="AB37" s="100">
        <f t="shared" ref="AB37:AB40" ca="1" si="20">RANK(Z37,$Z$2:$Z$55)</f>
        <v>12</v>
      </c>
      <c r="AC37" s="170">
        <v>36</v>
      </c>
      <c r="AD37" s="71" t="str">
        <f t="shared" ref="AD37:AD40" ca="1" si="21">INDEX($B$2:$B$55,MATCH(AC37,$AB$2:$AB$55,0))</f>
        <v>Kwiatkowski</v>
      </c>
      <c r="AE37" s="177">
        <f t="shared" ref="AE37:AE40" ca="1" si="22">INDEX($Z$2:$Z$55,MATCH(AC37,$AB$2:$AB$55,0))</f>
        <v>35.005541049287807</v>
      </c>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2"/>
      <c r="BK37" s="72"/>
      <c r="BL37" s="72"/>
      <c r="BM37" s="72"/>
      <c r="BN37" s="72"/>
      <c r="BO37" s="72"/>
      <c r="BP37" s="72"/>
      <c r="BQ37" s="72"/>
      <c r="BR37" s="72"/>
      <c r="BS37" s="72"/>
      <c r="BT37" s="72"/>
      <c r="BU37" s="72"/>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row>
    <row r="38" spans="1:104" s="75" customFormat="1">
      <c r="A38" s="299"/>
      <c r="B38" s="98" t="s">
        <v>178</v>
      </c>
      <c r="C38" s="93"/>
      <c r="D38" s="93">
        <f>24</f>
        <v>24</v>
      </c>
      <c r="E38" s="93"/>
      <c r="F38" s="93"/>
      <c r="G38" s="93">
        <v>6</v>
      </c>
      <c r="H38" s="93">
        <v>26</v>
      </c>
      <c r="I38" s="93"/>
      <c r="J38" s="93"/>
      <c r="K38" s="93"/>
      <c r="L38" s="93"/>
      <c r="M38" s="93"/>
      <c r="N38" s="93">
        <v>12</v>
      </c>
      <c r="O38" s="93"/>
      <c r="P38" s="93"/>
      <c r="Q38" s="93"/>
      <c r="R38" s="93"/>
      <c r="S38" s="93"/>
      <c r="T38" s="93"/>
      <c r="U38" s="93">
        <v>24</v>
      </c>
      <c r="V38" s="93"/>
      <c r="W38" s="93"/>
      <c r="X38" s="150">
        <f t="shared" ca="1" si="18"/>
        <v>92.01964497871991</v>
      </c>
      <c r="Y38" s="94"/>
      <c r="Z38" s="153">
        <f t="shared" ca="1" si="19"/>
        <v>92.01964497871991</v>
      </c>
      <c r="AA38" s="100">
        <f ca="1">COUNTIF(Teams!$4:$20,B38)</f>
        <v>2</v>
      </c>
      <c r="AB38" s="100">
        <f t="shared" ca="1" si="20"/>
        <v>26</v>
      </c>
      <c r="AC38" s="170">
        <v>37</v>
      </c>
      <c r="AD38" s="71" t="str">
        <f t="shared" ca="1" si="21"/>
        <v>Sivakov</v>
      </c>
      <c r="AE38" s="177">
        <f t="shared" ca="1" si="22"/>
        <v>24.035201472053451</v>
      </c>
    </row>
    <row r="39" spans="1:104" s="74" customFormat="1">
      <c r="A39" s="300"/>
      <c r="B39" s="101" t="s">
        <v>167</v>
      </c>
      <c r="C39" s="102">
        <f>20+5</f>
        <v>25</v>
      </c>
      <c r="D39" s="102"/>
      <c r="E39" s="102"/>
      <c r="F39" s="102"/>
      <c r="G39" s="102"/>
      <c r="H39" s="102"/>
      <c r="I39" s="102"/>
      <c r="J39" s="102"/>
      <c r="K39" s="102"/>
      <c r="L39" s="102">
        <f>24</f>
        <v>24</v>
      </c>
      <c r="M39" s="102">
        <v>9</v>
      </c>
      <c r="N39" s="102"/>
      <c r="O39" s="102"/>
      <c r="P39" s="102"/>
      <c r="Q39" s="102"/>
      <c r="R39" s="102"/>
      <c r="S39" s="102"/>
      <c r="T39" s="102"/>
      <c r="U39" s="102"/>
      <c r="V39" s="102"/>
      <c r="W39" s="102">
        <v>22</v>
      </c>
      <c r="X39" s="151">
        <f t="shared" ca="1" si="18"/>
        <v>80.095956085656127</v>
      </c>
      <c r="Y39" s="103"/>
      <c r="Z39" s="154">
        <f t="shared" ca="1" si="19"/>
        <v>80.095956085656127</v>
      </c>
      <c r="AA39" s="100">
        <f ca="1">COUNTIF(Teams!$4:$20,B39)</f>
        <v>6</v>
      </c>
      <c r="AB39" s="100">
        <f t="shared" ca="1" si="20"/>
        <v>29</v>
      </c>
      <c r="AC39" s="170">
        <v>38</v>
      </c>
      <c r="AD39" s="71" t="str">
        <f t="shared" ca="1" si="21"/>
        <v>Buchmann</v>
      </c>
      <c r="AE39" s="177">
        <f t="shared" ca="1" si="22"/>
        <v>23.039852377022889</v>
      </c>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2"/>
      <c r="BK39" s="72"/>
      <c r="BL39" s="72"/>
      <c r="BM39" s="72"/>
      <c r="BN39" s="72"/>
      <c r="BO39" s="72"/>
      <c r="BP39" s="72"/>
      <c r="BQ39" s="72"/>
      <c r="BR39" s="72"/>
      <c r="BS39" s="72"/>
      <c r="BT39" s="72"/>
      <c r="BU39" s="72"/>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row>
    <row r="40" spans="1:104" s="75" customFormat="1">
      <c r="A40" s="299"/>
      <c r="B40" s="98" t="s">
        <v>176</v>
      </c>
      <c r="C40" s="93"/>
      <c r="D40" s="93"/>
      <c r="E40" s="93"/>
      <c r="F40" s="93"/>
      <c r="G40" s="93"/>
      <c r="H40" s="93"/>
      <c r="I40" s="93"/>
      <c r="J40" s="93"/>
      <c r="K40" s="93"/>
      <c r="L40" s="93"/>
      <c r="M40" s="93"/>
      <c r="N40" s="93"/>
      <c r="O40" s="93"/>
      <c r="P40" s="93"/>
      <c r="Q40" s="93"/>
      <c r="R40" s="93"/>
      <c r="S40" s="93"/>
      <c r="T40" s="93">
        <v>0</v>
      </c>
      <c r="U40" s="93"/>
      <c r="V40" s="93"/>
      <c r="W40" s="93"/>
      <c r="X40" s="150">
        <f t="shared" ca="1" si="18"/>
        <v>9.1890741103038739E-3</v>
      </c>
      <c r="Y40" s="94"/>
      <c r="Z40" s="153">
        <f t="shared" ca="1" si="19"/>
        <v>9.1890741103038739E-3</v>
      </c>
      <c r="AA40" s="100">
        <f ca="1">COUNTIF(Teams!$4:$20,B40)</f>
        <v>1</v>
      </c>
      <c r="AB40" s="100">
        <f t="shared" ca="1" si="20"/>
        <v>51</v>
      </c>
      <c r="AC40" s="170">
        <v>39</v>
      </c>
      <c r="AD40" s="71">
        <f t="shared" ca="1" si="21"/>
        <v>0</v>
      </c>
      <c r="AE40" s="177">
        <f t="shared" ca="1" si="22"/>
        <v>9.9322499332807415E-2</v>
      </c>
    </row>
    <row r="41" spans="1:104" s="74" customFormat="1">
      <c r="A41" s="300"/>
      <c r="B41" s="101" t="s">
        <v>103</v>
      </c>
      <c r="C41" s="102"/>
      <c r="D41" s="102"/>
      <c r="E41" s="102"/>
      <c r="F41" s="102"/>
      <c r="G41" s="102"/>
      <c r="H41" s="102"/>
      <c r="I41" s="102"/>
      <c r="J41" s="102"/>
      <c r="K41" s="102"/>
      <c r="L41" s="102"/>
      <c r="M41" s="102"/>
      <c r="N41" s="102"/>
      <c r="O41" s="102"/>
      <c r="P41" s="102"/>
      <c r="Q41" s="102"/>
      <c r="R41" s="102"/>
      <c r="S41" s="102"/>
      <c r="T41" s="102">
        <f>35</f>
        <v>35</v>
      </c>
      <c r="U41" s="102"/>
      <c r="V41" s="102"/>
      <c r="W41" s="102"/>
      <c r="X41" s="151">
        <f t="shared" ca="1" si="3"/>
        <v>35.005541049287807</v>
      </c>
      <c r="Y41" s="103"/>
      <c r="Z41" s="154">
        <f t="shared" ca="1" si="9"/>
        <v>35.005541049287807</v>
      </c>
      <c r="AA41" s="100">
        <f ca="1">COUNTIF(Teams!$4:$20,B41)</f>
        <v>0</v>
      </c>
      <c r="AB41" s="100">
        <f t="shared" ca="1" si="5"/>
        <v>36</v>
      </c>
      <c r="AC41" s="170">
        <v>40</v>
      </c>
      <c r="AD41" s="71">
        <f t="shared" ca="1" si="6"/>
        <v>0</v>
      </c>
      <c r="AE41" s="177">
        <f t="shared" ca="1" si="2"/>
        <v>9.5307726893385805E-2</v>
      </c>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2"/>
      <c r="BK41" s="72"/>
      <c r="BL41" s="72"/>
      <c r="BM41" s="72"/>
      <c r="BN41" s="72"/>
      <c r="BO41" s="72"/>
      <c r="BP41" s="72"/>
      <c r="BQ41" s="72"/>
      <c r="BR41" s="72"/>
      <c r="BS41" s="72"/>
      <c r="BT41" s="72"/>
      <c r="BU41" s="72"/>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row>
    <row r="42" spans="1:104" s="75" customFormat="1">
      <c r="A42" s="299"/>
      <c r="B42" s="98"/>
      <c r="C42" s="93"/>
      <c r="D42" s="93"/>
      <c r="E42" s="93"/>
      <c r="F42" s="93"/>
      <c r="G42" s="93"/>
      <c r="H42" s="93"/>
      <c r="I42" s="93"/>
      <c r="J42" s="93"/>
      <c r="K42" s="93"/>
      <c r="L42" s="93"/>
      <c r="M42" s="93"/>
      <c r="N42" s="93"/>
      <c r="O42" s="93"/>
      <c r="P42" s="93"/>
      <c r="Q42" s="93"/>
      <c r="R42" s="93"/>
      <c r="S42" s="93"/>
      <c r="T42" s="93"/>
      <c r="U42" s="93"/>
      <c r="V42" s="93"/>
      <c r="W42" s="93"/>
      <c r="X42" s="150">
        <f t="shared" ca="1" si="3"/>
        <v>9.5307726893385805E-2</v>
      </c>
      <c r="Y42" s="94"/>
      <c r="Z42" s="153">
        <f t="shared" ca="1" si="9"/>
        <v>9.5307726893385805E-2</v>
      </c>
      <c r="AA42" s="100">
        <f ca="1">COUNTIF(Teams!$4:$20,B42)</f>
        <v>17</v>
      </c>
      <c r="AB42" s="100">
        <f t="shared" ca="1" si="5"/>
        <v>40</v>
      </c>
      <c r="AC42" s="170">
        <v>41</v>
      </c>
      <c r="AD42" s="71">
        <f t="shared" ca="1" si="6"/>
        <v>0</v>
      </c>
      <c r="AE42" s="177">
        <f t="shared" ca="1" si="2"/>
        <v>8.173377239481365E-2</v>
      </c>
    </row>
    <row r="43" spans="1:104" s="74" customFormat="1">
      <c r="A43" s="356" t="s">
        <v>225</v>
      </c>
      <c r="B43" s="355" t="s">
        <v>243</v>
      </c>
      <c r="C43" s="102"/>
      <c r="D43" s="102"/>
      <c r="E43" s="102"/>
      <c r="F43" s="102"/>
      <c r="G43" s="102"/>
      <c r="H43" s="102"/>
      <c r="I43" s="102"/>
      <c r="J43" s="102"/>
      <c r="K43" s="102"/>
      <c r="L43" s="102"/>
      <c r="M43" s="102"/>
      <c r="N43" s="102"/>
      <c r="O43" s="102"/>
      <c r="P43" s="102"/>
      <c r="Q43" s="102"/>
      <c r="R43" s="102"/>
      <c r="S43" s="102"/>
      <c r="T43" s="102"/>
      <c r="U43" s="102"/>
      <c r="V43" s="102"/>
      <c r="W43" s="102"/>
      <c r="X43" s="151">
        <f t="shared" ca="1" si="3"/>
        <v>5.7275288045816495E-3</v>
      </c>
      <c r="Y43" s="103"/>
      <c r="Z43" s="154">
        <f t="shared" ca="1" si="9"/>
        <v>5.7275288045816495E-3</v>
      </c>
      <c r="AA43" s="100">
        <f ca="1">COUNTIF(Teams!$4:$20,B43)</f>
        <v>1</v>
      </c>
      <c r="AB43" s="100">
        <f t="shared" ca="1" si="5"/>
        <v>53</v>
      </c>
      <c r="AC43" s="170">
        <v>42</v>
      </c>
      <c r="AD43" s="71">
        <f t="shared" ca="1" si="6"/>
        <v>0</v>
      </c>
      <c r="AE43" s="177">
        <f t="shared" ca="1" si="2"/>
        <v>8.0295947656552791E-2</v>
      </c>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2"/>
      <c r="BK43" s="72"/>
      <c r="BL43" s="72"/>
      <c r="BM43" s="72"/>
      <c r="BN43" s="72"/>
      <c r="BO43" s="72"/>
      <c r="BP43" s="72"/>
      <c r="BQ43" s="72"/>
      <c r="BR43" s="72"/>
      <c r="BS43" s="72"/>
      <c r="BT43" s="72"/>
      <c r="BU43" s="72"/>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row>
    <row r="44" spans="1:104" s="75" customFormat="1">
      <c r="A44" s="299"/>
      <c r="B44" s="98"/>
      <c r="C44" s="93"/>
      <c r="D44" s="93"/>
      <c r="E44" s="93"/>
      <c r="F44" s="93"/>
      <c r="G44" s="93"/>
      <c r="H44" s="93"/>
      <c r="I44" s="93"/>
      <c r="J44" s="93"/>
      <c r="K44" s="93"/>
      <c r="L44" s="93"/>
      <c r="M44" s="93"/>
      <c r="N44" s="93"/>
      <c r="O44" s="93"/>
      <c r="P44" s="93"/>
      <c r="Q44" s="93"/>
      <c r="R44" s="93"/>
      <c r="S44" s="93"/>
      <c r="T44" s="93"/>
      <c r="U44" s="93"/>
      <c r="V44" s="93"/>
      <c r="W44" s="93"/>
      <c r="X44" s="150">
        <f t="shared" ca="1" si="3"/>
        <v>8.0295947656552791E-2</v>
      </c>
      <c r="Y44" s="94"/>
      <c r="Z44" s="153">
        <f t="shared" ca="1" si="9"/>
        <v>8.0295947656552791E-2</v>
      </c>
      <c r="AA44" s="100">
        <f ca="1">COUNTIF(Teams!$4:$20,B44)</f>
        <v>17</v>
      </c>
      <c r="AB44" s="100">
        <f t="shared" ca="1" si="5"/>
        <v>42</v>
      </c>
      <c r="AC44" s="170">
        <v>43</v>
      </c>
      <c r="AD44" s="71">
        <f t="shared" ca="1" si="6"/>
        <v>0</v>
      </c>
      <c r="AE44" s="177">
        <f t="shared" ca="1" si="2"/>
        <v>6.6124916433141029E-2</v>
      </c>
    </row>
    <row r="45" spans="1:104" s="74" customFormat="1">
      <c r="A45" s="300"/>
      <c r="B45" s="101"/>
      <c r="C45" s="102"/>
      <c r="D45" s="102"/>
      <c r="E45" s="102"/>
      <c r="F45" s="102"/>
      <c r="G45" s="102"/>
      <c r="H45" s="102"/>
      <c r="I45" s="102"/>
      <c r="J45" s="102"/>
      <c r="K45" s="102"/>
      <c r="L45" s="102"/>
      <c r="M45" s="102"/>
      <c r="N45" s="102"/>
      <c r="O45" s="102"/>
      <c r="P45" s="102"/>
      <c r="Q45" s="102"/>
      <c r="R45" s="102"/>
      <c r="S45" s="102"/>
      <c r="T45" s="102"/>
      <c r="U45" s="102"/>
      <c r="V45" s="102"/>
      <c r="W45" s="102"/>
      <c r="X45" s="151">
        <f t="shared" ca="1" si="3"/>
        <v>8.6326336606054703E-3</v>
      </c>
      <c r="Y45" s="103"/>
      <c r="Z45" s="154">
        <f t="shared" ca="1" si="9"/>
        <v>8.6326336606054703E-3</v>
      </c>
      <c r="AA45" s="100">
        <f ca="1">COUNTIF(Teams!$4:$20,B45)</f>
        <v>17</v>
      </c>
      <c r="AB45" s="100">
        <f t="shared" ca="1" si="5"/>
        <v>52</v>
      </c>
      <c r="AC45" s="170">
        <v>44</v>
      </c>
      <c r="AD45" s="71">
        <f t="shared" ca="1" si="6"/>
        <v>0</v>
      </c>
      <c r="AE45" s="177">
        <f t="shared" ca="1" si="2"/>
        <v>6.1250063517538499E-2</v>
      </c>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2"/>
      <c r="BK45" s="72"/>
      <c r="BL45" s="72"/>
      <c r="BM45" s="72"/>
      <c r="BN45" s="72"/>
      <c r="BO45" s="72"/>
      <c r="BP45" s="72"/>
      <c r="BQ45" s="72"/>
      <c r="BR45" s="72"/>
      <c r="BS45" s="72"/>
      <c r="BT45" s="72"/>
      <c r="BU45" s="72"/>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row>
    <row r="46" spans="1:104" s="75" customFormat="1">
      <c r="A46" s="299"/>
      <c r="B46" s="98"/>
      <c r="C46" s="93"/>
      <c r="D46" s="93"/>
      <c r="E46" s="93"/>
      <c r="F46" s="93"/>
      <c r="G46" s="93"/>
      <c r="H46" s="93"/>
      <c r="I46" s="93"/>
      <c r="J46" s="93"/>
      <c r="K46" s="93"/>
      <c r="L46" s="93"/>
      <c r="M46" s="93"/>
      <c r="N46" s="93"/>
      <c r="O46" s="93"/>
      <c r="P46" s="93"/>
      <c r="Q46" s="93"/>
      <c r="R46" s="93"/>
      <c r="S46" s="93"/>
      <c r="T46" s="93"/>
      <c r="U46" s="93"/>
      <c r="V46" s="93"/>
      <c r="W46" s="93"/>
      <c r="X46" s="150">
        <f t="shared" ca="1" si="3"/>
        <v>9.240196182856231E-3</v>
      </c>
      <c r="Y46" s="94"/>
      <c r="Z46" s="153">
        <f t="shared" ca="1" si="9"/>
        <v>9.240196182856231E-3</v>
      </c>
      <c r="AA46" s="100">
        <f ca="1">COUNTIF(Teams!$4:$20,B46)</f>
        <v>17</v>
      </c>
      <c r="AB46" s="100">
        <f t="shared" ca="1" si="5"/>
        <v>50</v>
      </c>
      <c r="AC46" s="170">
        <v>45</v>
      </c>
      <c r="AD46" s="71">
        <f t="shared" ca="1" si="6"/>
        <v>0</v>
      </c>
      <c r="AE46" s="177">
        <f t="shared" ca="1" si="2"/>
        <v>4.6718373269588609E-2</v>
      </c>
    </row>
    <row r="47" spans="1:104" s="74" customFormat="1">
      <c r="A47" s="300"/>
      <c r="B47" s="101"/>
      <c r="C47" s="102"/>
      <c r="D47" s="102"/>
      <c r="E47" s="102"/>
      <c r="F47" s="102"/>
      <c r="G47" s="102"/>
      <c r="H47" s="102"/>
      <c r="I47" s="102"/>
      <c r="J47" s="102"/>
      <c r="K47" s="102"/>
      <c r="L47" s="102"/>
      <c r="M47" s="102"/>
      <c r="N47" s="102"/>
      <c r="O47" s="102"/>
      <c r="P47" s="102"/>
      <c r="Q47" s="102"/>
      <c r="R47" s="102"/>
      <c r="S47" s="102"/>
      <c r="T47" s="102"/>
      <c r="U47" s="102"/>
      <c r="V47" s="102"/>
      <c r="W47" s="102"/>
      <c r="X47" s="151">
        <f t="shared" ca="1" si="3"/>
        <v>1.910544020710523E-2</v>
      </c>
      <c r="Y47" s="103"/>
      <c r="Z47" s="154">
        <f t="shared" ca="1" si="9"/>
        <v>1.910544020710523E-2</v>
      </c>
      <c r="AA47" s="100">
        <f ca="1">COUNTIF(Teams!$4:$20,B47)</f>
        <v>17</v>
      </c>
      <c r="AB47" s="100">
        <f t="shared" ca="1" si="5"/>
        <v>48</v>
      </c>
      <c r="AC47" s="170">
        <v>46</v>
      </c>
      <c r="AD47" s="71">
        <f t="shared" ca="1" si="6"/>
        <v>0</v>
      </c>
      <c r="AE47" s="177">
        <f t="shared" ca="1" si="2"/>
        <v>3.3877917125249568E-2</v>
      </c>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2"/>
      <c r="BK47" s="72"/>
      <c r="BL47" s="72"/>
      <c r="BM47" s="72"/>
      <c r="BN47" s="72"/>
      <c r="BO47" s="72"/>
      <c r="BP47" s="72"/>
      <c r="BQ47" s="72"/>
      <c r="BR47" s="72"/>
      <c r="BS47" s="72"/>
      <c r="BT47" s="72"/>
      <c r="BU47" s="72"/>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row>
    <row r="48" spans="1:104" s="75" customFormat="1">
      <c r="A48" s="299"/>
      <c r="B48" s="98"/>
      <c r="C48" s="93"/>
      <c r="D48" s="93"/>
      <c r="E48" s="93"/>
      <c r="F48" s="93"/>
      <c r="G48" s="93"/>
      <c r="H48" s="93"/>
      <c r="I48" s="93"/>
      <c r="J48" s="93"/>
      <c r="K48" s="93"/>
      <c r="L48" s="93"/>
      <c r="M48" s="93"/>
      <c r="N48" s="93"/>
      <c r="O48" s="93"/>
      <c r="P48" s="93"/>
      <c r="Q48" s="93"/>
      <c r="R48" s="93"/>
      <c r="S48" s="93"/>
      <c r="T48" s="93"/>
      <c r="U48" s="93"/>
      <c r="V48" s="93"/>
      <c r="W48" s="93"/>
      <c r="X48" s="150">
        <f t="shared" ca="1" si="3"/>
        <v>6.6124916433141029E-2</v>
      </c>
      <c r="Y48" s="94"/>
      <c r="Z48" s="153">
        <f t="shared" ca="1" si="9"/>
        <v>6.6124916433141029E-2</v>
      </c>
      <c r="AA48" s="100">
        <f ca="1">COUNTIF(Teams!$4:$20,B48)</f>
        <v>17</v>
      </c>
      <c r="AB48" s="100">
        <f t="shared" ca="1" si="5"/>
        <v>43</v>
      </c>
      <c r="AC48" s="170">
        <v>47</v>
      </c>
      <c r="AD48" s="71">
        <f t="shared" ca="1" si="6"/>
        <v>0</v>
      </c>
      <c r="AE48" s="177">
        <f t="shared" ca="1" si="2"/>
        <v>2.4548415937435709E-2</v>
      </c>
    </row>
    <row r="49" spans="1:104" s="74" customFormat="1">
      <c r="A49" s="300"/>
      <c r="B49" s="101"/>
      <c r="C49" s="102"/>
      <c r="D49" s="102"/>
      <c r="E49" s="102"/>
      <c r="F49" s="102"/>
      <c r="G49" s="102"/>
      <c r="H49" s="102"/>
      <c r="I49" s="102"/>
      <c r="J49" s="102"/>
      <c r="K49" s="102"/>
      <c r="L49" s="102"/>
      <c r="M49" s="102"/>
      <c r="N49" s="102"/>
      <c r="O49" s="102"/>
      <c r="P49" s="102"/>
      <c r="Q49" s="102"/>
      <c r="R49" s="102"/>
      <c r="S49" s="102"/>
      <c r="T49" s="102"/>
      <c r="U49" s="102"/>
      <c r="V49" s="102"/>
      <c r="W49" s="102"/>
      <c r="X49" s="151">
        <f t="shared" ca="1" si="3"/>
        <v>9.9322499332807415E-2</v>
      </c>
      <c r="Y49" s="103"/>
      <c r="Z49" s="154">
        <f t="shared" ca="1" si="9"/>
        <v>9.9322499332807415E-2</v>
      </c>
      <c r="AA49" s="100">
        <f ca="1">COUNTIF(Teams!$4:$20,B49)</f>
        <v>17</v>
      </c>
      <c r="AB49" s="100">
        <f t="shared" ca="1" si="5"/>
        <v>39</v>
      </c>
      <c r="AC49" s="170">
        <v>48</v>
      </c>
      <c r="AD49" s="71">
        <f t="shared" ca="1" si="6"/>
        <v>0</v>
      </c>
      <c r="AE49" s="177">
        <f t="shared" ca="1" si="2"/>
        <v>1.910544020710523E-2</v>
      </c>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2"/>
      <c r="BK49" s="72"/>
      <c r="BL49" s="72"/>
      <c r="BM49" s="72"/>
      <c r="BN49" s="72"/>
      <c r="BO49" s="72"/>
      <c r="BP49" s="72"/>
      <c r="BQ49" s="72"/>
      <c r="BR49" s="72"/>
      <c r="BS49" s="72"/>
      <c r="BT49" s="72"/>
      <c r="BU49" s="72"/>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row>
    <row r="50" spans="1:104" s="75" customFormat="1">
      <c r="A50" s="299"/>
      <c r="B50" s="98"/>
      <c r="C50" s="93"/>
      <c r="D50" s="93"/>
      <c r="E50" s="93"/>
      <c r="F50" s="93"/>
      <c r="G50" s="93"/>
      <c r="H50" s="93"/>
      <c r="I50" s="93"/>
      <c r="J50" s="93"/>
      <c r="K50" s="93"/>
      <c r="L50" s="93"/>
      <c r="M50" s="93"/>
      <c r="N50" s="93"/>
      <c r="O50" s="93"/>
      <c r="P50" s="93"/>
      <c r="Q50" s="93"/>
      <c r="R50" s="93"/>
      <c r="S50" s="93"/>
      <c r="T50" s="93"/>
      <c r="U50" s="93"/>
      <c r="V50" s="93"/>
      <c r="W50" s="93"/>
      <c r="X50" s="150">
        <f t="shared" ca="1" si="3"/>
        <v>2.4548415937435709E-2</v>
      </c>
      <c r="Y50" s="94"/>
      <c r="Z50" s="153">
        <f t="shared" ca="1" si="9"/>
        <v>2.4548415937435709E-2</v>
      </c>
      <c r="AA50" s="100">
        <f ca="1">COUNTIF(Teams!$4:$20,B50)</f>
        <v>17</v>
      </c>
      <c r="AB50" s="100">
        <f t="shared" ca="1" si="5"/>
        <v>47</v>
      </c>
      <c r="AC50" s="170">
        <v>49</v>
      </c>
      <c r="AD50" s="71" t="str">
        <f t="shared" ca="1" si="6"/>
        <v>de Gendt</v>
      </c>
      <c r="AE50" s="177">
        <f t="shared" ca="1" si="2"/>
        <v>1.3572573696846923E-2</v>
      </c>
    </row>
    <row r="51" spans="1:104" s="74" customFormat="1">
      <c r="A51" s="300"/>
      <c r="B51" s="101"/>
      <c r="C51" s="102"/>
      <c r="D51" s="102"/>
      <c r="E51" s="102"/>
      <c r="F51" s="102"/>
      <c r="G51" s="102"/>
      <c r="H51" s="102"/>
      <c r="I51" s="102"/>
      <c r="J51" s="102"/>
      <c r="K51" s="102"/>
      <c r="L51" s="102"/>
      <c r="M51" s="102"/>
      <c r="N51" s="102"/>
      <c r="O51" s="102"/>
      <c r="P51" s="102"/>
      <c r="Q51" s="102"/>
      <c r="R51" s="102"/>
      <c r="S51" s="102"/>
      <c r="T51" s="102"/>
      <c r="U51" s="102"/>
      <c r="V51" s="102"/>
      <c r="W51" s="102"/>
      <c r="X51" s="151">
        <f t="shared" ref="X51" ca="1" si="23">SUM(C51:W51)+RAND()/10</f>
        <v>6.1250063517538499E-2</v>
      </c>
      <c r="Y51" s="103"/>
      <c r="Z51" s="154">
        <f t="shared" ref="Z51" ca="1" si="24">SUM(X51:Y51)</f>
        <v>6.1250063517538499E-2</v>
      </c>
      <c r="AA51" s="100">
        <f ca="1">COUNTIF(Teams!$4:$20,B51)</f>
        <v>17</v>
      </c>
      <c r="AB51" s="100">
        <f t="shared" ref="AB51" ca="1" si="25">RANK(Z51,$Z$2:$Z$55)</f>
        <v>44</v>
      </c>
      <c r="AC51" s="170">
        <v>50</v>
      </c>
      <c r="AD51" s="71">
        <f t="shared" ref="AD51" ca="1" si="26">INDEX($B$2:$B$55,MATCH(AC51,$AB$2:$AB$55,0))</f>
        <v>0</v>
      </c>
      <c r="AE51" s="177">
        <f t="shared" ref="AE51" ca="1" si="27">INDEX($Z$2:$Z$55,MATCH(AC51,$AB$2:$AB$55,0))</f>
        <v>9.240196182856231E-3</v>
      </c>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2"/>
      <c r="BK51" s="72"/>
      <c r="BL51" s="72"/>
      <c r="BM51" s="72"/>
      <c r="BN51" s="72"/>
      <c r="BO51" s="72"/>
      <c r="BP51" s="72"/>
      <c r="BQ51" s="72"/>
      <c r="BR51" s="72"/>
      <c r="BS51" s="72"/>
      <c r="BT51" s="72"/>
      <c r="BU51" s="72"/>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row>
    <row r="52" spans="1:104" s="74" customFormat="1">
      <c r="A52" s="300"/>
      <c r="B52" s="101"/>
      <c r="C52" s="102"/>
      <c r="D52" s="102"/>
      <c r="E52" s="102"/>
      <c r="F52" s="102"/>
      <c r="G52" s="102"/>
      <c r="H52" s="102"/>
      <c r="I52" s="102"/>
      <c r="J52" s="102"/>
      <c r="K52" s="102"/>
      <c r="L52" s="102"/>
      <c r="M52" s="102"/>
      <c r="N52" s="102"/>
      <c r="O52" s="102"/>
      <c r="P52" s="102"/>
      <c r="Q52" s="102"/>
      <c r="R52" s="102"/>
      <c r="S52" s="102"/>
      <c r="T52" s="102"/>
      <c r="U52" s="102"/>
      <c r="V52" s="102"/>
      <c r="W52" s="102"/>
      <c r="X52" s="151">
        <f t="shared" ca="1" si="3"/>
        <v>4.6718373269588609E-2</v>
      </c>
      <c r="Y52" s="103"/>
      <c r="Z52" s="154">
        <f t="shared" ca="1" si="9"/>
        <v>4.6718373269588609E-2</v>
      </c>
      <c r="AA52" s="100">
        <f ca="1">COUNTIF(Teams!$4:$20,B52)</f>
        <v>17</v>
      </c>
      <c r="AB52" s="100">
        <f t="shared" ca="1" si="5"/>
        <v>45</v>
      </c>
      <c r="AC52" s="170">
        <v>51</v>
      </c>
      <c r="AD52" s="71" t="str">
        <f t="shared" ca="1" si="6"/>
        <v>Poels</v>
      </c>
      <c r="AE52" s="177">
        <f t="shared" ca="1" si="2"/>
        <v>9.1890741103038739E-3</v>
      </c>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2"/>
      <c r="BK52" s="72"/>
      <c r="BL52" s="72"/>
      <c r="BM52" s="72"/>
      <c r="BN52" s="72"/>
      <c r="BO52" s="72"/>
      <c r="BP52" s="72"/>
      <c r="BQ52" s="72"/>
      <c r="BR52" s="72"/>
      <c r="BS52" s="72"/>
      <c r="BT52" s="72"/>
      <c r="BU52" s="72"/>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row>
    <row r="53" spans="1:104" s="75" customFormat="1">
      <c r="A53" s="299"/>
      <c r="B53" s="98"/>
      <c r="C53" s="93"/>
      <c r="D53" s="93"/>
      <c r="E53" s="93"/>
      <c r="F53" s="93"/>
      <c r="G53" s="93"/>
      <c r="H53" s="93"/>
      <c r="I53" s="93"/>
      <c r="J53" s="93"/>
      <c r="K53" s="93"/>
      <c r="L53" s="93"/>
      <c r="M53" s="93"/>
      <c r="N53" s="93"/>
      <c r="O53" s="93"/>
      <c r="P53" s="93"/>
      <c r="Q53" s="93"/>
      <c r="R53" s="93"/>
      <c r="S53" s="93"/>
      <c r="T53" s="93"/>
      <c r="U53" s="93"/>
      <c r="V53" s="93"/>
      <c r="W53" s="93"/>
      <c r="X53" s="150">
        <f t="shared" ca="1" si="3"/>
        <v>3.3877917125249568E-2</v>
      </c>
      <c r="Y53" s="94"/>
      <c r="Z53" s="153">
        <f t="shared" ca="1" si="9"/>
        <v>3.3877917125249568E-2</v>
      </c>
      <c r="AA53" s="100">
        <f ca="1">COUNTIF(Teams!$4:$20,B53)</f>
        <v>17</v>
      </c>
      <c r="AB53" s="100">
        <f t="shared" ca="1" si="5"/>
        <v>46</v>
      </c>
      <c r="AC53" s="170">
        <v>52</v>
      </c>
      <c r="AD53" s="71">
        <f t="shared" ca="1" si="6"/>
        <v>0</v>
      </c>
      <c r="AE53" s="177">
        <f t="shared" ca="1" si="2"/>
        <v>8.6326336606054703E-3</v>
      </c>
    </row>
    <row r="54" spans="1:104" s="74" customFormat="1">
      <c r="A54" s="300"/>
      <c r="B54" s="101"/>
      <c r="C54" s="102"/>
      <c r="D54" s="102"/>
      <c r="E54" s="102"/>
      <c r="F54" s="102"/>
      <c r="G54" s="102"/>
      <c r="H54" s="102"/>
      <c r="I54" s="102"/>
      <c r="J54" s="102"/>
      <c r="K54" s="102"/>
      <c r="L54" s="102"/>
      <c r="M54" s="102"/>
      <c r="N54" s="102"/>
      <c r="O54" s="102"/>
      <c r="P54" s="102"/>
      <c r="Q54" s="102"/>
      <c r="R54" s="102"/>
      <c r="S54" s="102"/>
      <c r="T54" s="102"/>
      <c r="U54" s="102"/>
      <c r="V54" s="102"/>
      <c r="W54" s="102"/>
      <c r="X54" s="151">
        <f t="shared" ca="1" si="3"/>
        <v>5.1665854931156833E-3</v>
      </c>
      <c r="Y54" s="103"/>
      <c r="Z54" s="154">
        <f t="shared" ca="1" si="9"/>
        <v>5.1665854931156833E-3</v>
      </c>
      <c r="AA54" s="100">
        <f ca="1">COUNTIF(Teams!$4:$20,B54)</f>
        <v>17</v>
      </c>
      <c r="AB54" s="100">
        <f t="shared" ca="1" si="5"/>
        <v>54</v>
      </c>
      <c r="AC54" s="170">
        <v>53</v>
      </c>
      <c r="AD54" s="71" t="str">
        <f t="shared" ca="1" si="6"/>
        <v>G.Bennett</v>
      </c>
      <c r="AE54" s="177">
        <f t="shared" ca="1" si="2"/>
        <v>5.7275288045816495E-3</v>
      </c>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2"/>
      <c r="BK54" s="72"/>
      <c r="BL54" s="72"/>
      <c r="BM54" s="72"/>
      <c r="BN54" s="72"/>
      <c r="BO54" s="72"/>
      <c r="BP54" s="72"/>
      <c r="BQ54" s="72"/>
      <c r="BR54" s="72"/>
      <c r="BS54" s="72"/>
      <c r="BT54" s="72"/>
      <c r="BU54" s="72"/>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row>
    <row r="55" spans="1:104" s="75" customFormat="1">
      <c r="A55" s="299"/>
      <c r="B55" s="98"/>
      <c r="C55" s="93"/>
      <c r="D55" s="93"/>
      <c r="E55" s="93"/>
      <c r="F55" s="93"/>
      <c r="G55" s="93"/>
      <c r="H55" s="93"/>
      <c r="I55" s="93"/>
      <c r="J55" s="93"/>
      <c r="K55" s="93"/>
      <c r="L55" s="93"/>
      <c r="M55" s="93"/>
      <c r="N55" s="93"/>
      <c r="O55" s="93"/>
      <c r="P55" s="93"/>
      <c r="Q55" s="93"/>
      <c r="R55" s="93"/>
      <c r="S55" s="93"/>
      <c r="T55" s="93"/>
      <c r="U55" s="93"/>
      <c r="V55" s="93"/>
      <c r="W55" s="93"/>
      <c r="X55" s="150">
        <f t="shared" ca="1" si="3"/>
        <v>8.173377239481365E-2</v>
      </c>
      <c r="Y55" s="94"/>
      <c r="Z55" s="153">
        <f t="shared" ca="1" si="9"/>
        <v>8.173377239481365E-2</v>
      </c>
      <c r="AA55" s="100">
        <f ca="1">COUNTIF(Teams!$4:$20,B55)</f>
        <v>17</v>
      </c>
      <c r="AB55" s="100">
        <f t="shared" ca="1" si="5"/>
        <v>41</v>
      </c>
      <c r="AC55" s="170">
        <v>54</v>
      </c>
      <c r="AD55" s="71">
        <f t="shared" ca="1" si="6"/>
        <v>0</v>
      </c>
      <c r="AE55" s="177">
        <f t="shared" ca="1" si="2"/>
        <v>5.1665854931156833E-3</v>
      </c>
    </row>
    <row r="56" spans="1:104" s="74" customFormat="1">
      <c r="A56" s="301"/>
      <c r="B56" s="105"/>
      <c r="C56" s="106"/>
      <c r="D56" s="106"/>
      <c r="E56" s="106"/>
      <c r="F56" s="106"/>
      <c r="G56" s="106"/>
      <c r="H56" s="106"/>
      <c r="I56" s="106"/>
      <c r="J56" s="106"/>
      <c r="K56" s="106"/>
      <c r="L56" s="106"/>
      <c r="M56" s="106"/>
      <c r="N56" s="106"/>
      <c r="O56" s="106"/>
      <c r="P56" s="106"/>
      <c r="Q56" s="106"/>
      <c r="R56" s="106"/>
      <c r="S56" s="106"/>
      <c r="T56" s="106"/>
      <c r="U56" s="106"/>
      <c r="V56" s="106"/>
      <c r="W56" s="106"/>
      <c r="X56" s="152"/>
      <c r="Y56" s="104"/>
      <c r="Z56" s="152"/>
      <c r="AA56" s="100"/>
      <c r="AB56" s="100"/>
      <c r="AC56" s="170"/>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2"/>
      <c r="BK56" s="72"/>
      <c r="BL56" s="72"/>
      <c r="BM56" s="72"/>
      <c r="BN56" s="72"/>
      <c r="BO56" s="72"/>
      <c r="BP56" s="72"/>
      <c r="BQ56" s="72"/>
      <c r="BR56" s="72"/>
      <c r="BS56" s="72"/>
      <c r="BT56" s="72"/>
      <c r="BU56" s="72"/>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row>
    <row r="57" spans="1:104" s="72" customFormat="1">
      <c r="A57" s="301"/>
      <c r="B57" s="105"/>
      <c r="C57" s="106"/>
      <c r="D57" s="106"/>
      <c r="E57" s="106"/>
      <c r="F57" s="106"/>
      <c r="G57" s="106"/>
      <c r="H57" s="106"/>
      <c r="I57" s="106"/>
      <c r="J57" s="106"/>
      <c r="K57" s="106"/>
      <c r="L57" s="106"/>
      <c r="M57" s="106"/>
      <c r="N57" s="106"/>
      <c r="O57" s="106"/>
      <c r="P57" s="106"/>
      <c r="Q57" s="106"/>
      <c r="R57" s="106"/>
      <c r="S57" s="106"/>
      <c r="T57" s="106"/>
      <c r="U57" s="106"/>
      <c r="V57" s="106"/>
      <c r="W57" s="106"/>
      <c r="X57" s="152"/>
      <c r="Y57" s="104"/>
      <c r="Z57" s="152"/>
      <c r="AA57" s="100"/>
      <c r="AB57" s="100"/>
      <c r="AC57" s="170"/>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row>
    <row r="58" spans="1:104" s="74" customFormat="1">
      <c r="A58" s="301"/>
      <c r="B58" s="105"/>
      <c r="C58" s="106"/>
      <c r="D58" s="106"/>
      <c r="E58" s="106"/>
      <c r="F58" s="106"/>
      <c r="G58" s="106"/>
      <c r="H58" s="106"/>
      <c r="I58" s="106"/>
      <c r="J58" s="106"/>
      <c r="K58" s="106"/>
      <c r="L58" s="106"/>
      <c r="M58" s="106"/>
      <c r="N58" s="106"/>
      <c r="O58" s="106"/>
      <c r="P58" s="106"/>
      <c r="Q58" s="106"/>
      <c r="R58" s="106"/>
      <c r="S58" s="106"/>
      <c r="T58" s="106"/>
      <c r="U58" s="106"/>
      <c r="V58" s="106"/>
      <c r="W58" s="106"/>
      <c r="X58" s="152"/>
      <c r="Y58" s="104"/>
      <c r="Z58" s="152"/>
      <c r="AA58" s="100"/>
      <c r="AB58" s="100"/>
      <c r="AC58" s="170"/>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2"/>
      <c r="BK58" s="72"/>
      <c r="BL58" s="72"/>
      <c r="BM58" s="72"/>
      <c r="BN58" s="72"/>
      <c r="BO58" s="72"/>
      <c r="BP58" s="72"/>
      <c r="BQ58" s="72"/>
      <c r="BR58" s="72"/>
      <c r="BS58" s="72"/>
      <c r="BT58" s="72"/>
      <c r="BU58" s="72"/>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row>
    <row r="59" spans="1:104" s="72" customFormat="1">
      <c r="A59" s="301"/>
      <c r="B59" s="105"/>
      <c r="C59" s="106"/>
      <c r="D59" s="106"/>
      <c r="E59" s="106"/>
      <c r="F59" s="106"/>
      <c r="G59" s="106"/>
      <c r="H59" s="106"/>
      <c r="I59" s="106"/>
      <c r="J59" s="106"/>
      <c r="K59" s="107" t="s">
        <v>21</v>
      </c>
      <c r="L59" s="107"/>
      <c r="M59" s="106"/>
      <c r="N59" s="106"/>
      <c r="O59" s="106"/>
      <c r="P59" s="106"/>
      <c r="Q59" s="106"/>
      <c r="R59" s="106"/>
      <c r="S59" s="106"/>
      <c r="T59" s="106"/>
      <c r="U59" s="106"/>
      <c r="V59" s="106"/>
      <c r="W59" s="106"/>
      <c r="X59" s="152"/>
      <c r="Y59" s="104"/>
      <c r="Z59" s="152"/>
      <c r="AA59" s="100"/>
      <c r="AB59" s="100"/>
      <c r="AC59" s="170"/>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row>
    <row r="60" spans="1:104" s="74" customFormat="1" ht="63">
      <c r="A60" s="302"/>
      <c r="B60" s="33"/>
      <c r="C60" s="83"/>
      <c r="D60" s="83"/>
      <c r="E60" s="87" t="s">
        <v>17</v>
      </c>
      <c r="F60" s="88" t="s">
        <v>16</v>
      </c>
      <c r="G60" s="88" t="s">
        <v>18</v>
      </c>
      <c r="H60" s="91" t="s">
        <v>19</v>
      </c>
      <c r="I60" s="91" t="s">
        <v>20</v>
      </c>
      <c r="J60" s="91" t="s">
        <v>130</v>
      </c>
      <c r="K60" s="87"/>
      <c r="L60" s="87" t="s">
        <v>52</v>
      </c>
      <c r="M60" s="88" t="s">
        <v>20</v>
      </c>
      <c r="N60" s="91" t="s">
        <v>51</v>
      </c>
      <c r="O60" s="91" t="s">
        <v>130</v>
      </c>
      <c r="P60" s="83"/>
      <c r="Q60" s="83"/>
      <c r="R60" s="85"/>
      <c r="S60" s="97"/>
      <c r="T60" s="97"/>
      <c r="U60" s="96"/>
      <c r="V60" s="85"/>
      <c r="W60" s="85"/>
      <c r="X60" s="149"/>
      <c r="Y60" s="70"/>
      <c r="Z60" s="34"/>
      <c r="AA60" s="100"/>
      <c r="AB60" s="100"/>
      <c r="AC60" s="170"/>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72"/>
      <c r="BL60" s="72"/>
      <c r="BM60" s="72"/>
      <c r="BN60" s="72"/>
      <c r="BO60" s="72"/>
      <c r="BP60" s="72"/>
      <c r="BQ60" s="72"/>
      <c r="BR60" s="72"/>
      <c r="BS60" s="72"/>
      <c r="BT60" s="72"/>
      <c r="BU60" s="72"/>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row>
    <row r="61" spans="1:104" s="74" customFormat="1" ht="15.75">
      <c r="A61" s="302"/>
      <c r="B61" s="33"/>
      <c r="C61" s="83"/>
      <c r="D61" s="83"/>
      <c r="E61" s="87">
        <v>1</v>
      </c>
      <c r="F61" s="88">
        <v>35</v>
      </c>
      <c r="G61" s="88">
        <v>10</v>
      </c>
      <c r="H61" s="91">
        <v>5</v>
      </c>
      <c r="I61" s="91">
        <v>5</v>
      </c>
      <c r="J61" s="91">
        <v>5</v>
      </c>
      <c r="K61" s="87">
        <v>1</v>
      </c>
      <c r="L61" s="87">
        <v>70</v>
      </c>
      <c r="M61" s="88">
        <v>10</v>
      </c>
      <c r="N61" s="91">
        <v>10</v>
      </c>
      <c r="O61" s="91">
        <v>10</v>
      </c>
      <c r="P61" s="83"/>
      <c r="Q61" s="83"/>
      <c r="R61" s="85"/>
      <c r="S61" s="97"/>
      <c r="T61" s="97"/>
      <c r="U61" s="96"/>
      <c r="V61" s="85"/>
      <c r="W61" s="85"/>
      <c r="X61" s="149"/>
      <c r="Y61" s="70"/>
      <c r="Z61" s="34"/>
      <c r="AA61" s="100"/>
      <c r="AB61" s="100"/>
      <c r="AC61" s="170"/>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72"/>
      <c r="BL61" s="72"/>
      <c r="BM61" s="72"/>
      <c r="BN61" s="72"/>
      <c r="BO61" s="72"/>
      <c r="BP61" s="72"/>
      <c r="BQ61" s="72"/>
      <c r="BR61" s="72"/>
      <c r="BS61" s="72"/>
      <c r="BT61" s="72"/>
      <c r="BU61" s="7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row>
    <row r="62" spans="1:104" s="74" customFormat="1" ht="15.75">
      <c r="A62" s="302"/>
      <c r="B62" s="33"/>
      <c r="C62" s="83"/>
      <c r="D62" s="83"/>
      <c r="E62" s="87">
        <v>2</v>
      </c>
      <c r="F62" s="88">
        <v>30</v>
      </c>
      <c r="G62" s="88">
        <v>9</v>
      </c>
      <c r="H62" s="91">
        <v>4</v>
      </c>
      <c r="I62" s="91">
        <v>4</v>
      </c>
      <c r="J62" s="91">
        <v>4</v>
      </c>
      <c r="K62" s="87">
        <v>2</v>
      </c>
      <c r="L62" s="87">
        <v>60</v>
      </c>
      <c r="M62" s="88">
        <v>7</v>
      </c>
      <c r="N62" s="91">
        <v>7</v>
      </c>
      <c r="O62" s="91">
        <v>7</v>
      </c>
      <c r="P62" s="83"/>
      <c r="Q62" s="83"/>
      <c r="R62" s="85"/>
      <c r="S62" s="97"/>
      <c r="T62" s="97"/>
      <c r="U62" s="96"/>
      <c r="V62" s="85"/>
      <c r="W62" s="85"/>
      <c r="X62" s="149"/>
      <c r="Y62" s="70"/>
      <c r="Z62" s="34"/>
      <c r="AA62" s="100"/>
      <c r="AB62" s="100"/>
      <c r="AC62" s="170"/>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2"/>
      <c r="BK62" s="72"/>
      <c r="BL62" s="72"/>
      <c r="BM62" s="72"/>
      <c r="BN62" s="72"/>
      <c r="BO62" s="72"/>
      <c r="BP62" s="72"/>
      <c r="BQ62" s="72"/>
      <c r="BR62" s="72"/>
      <c r="BS62" s="72"/>
      <c r="BT62" s="72"/>
      <c r="BU62" s="72"/>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row>
    <row r="63" spans="1:104" s="74" customFormat="1" ht="15.75">
      <c r="A63" s="302"/>
      <c r="B63" s="33"/>
      <c r="C63" s="83"/>
      <c r="D63" s="83"/>
      <c r="E63" s="87">
        <v>3</v>
      </c>
      <c r="F63" s="88">
        <v>26</v>
      </c>
      <c r="G63" s="88">
        <v>8</v>
      </c>
      <c r="H63" s="91">
        <v>3</v>
      </c>
      <c r="I63" s="91">
        <v>3</v>
      </c>
      <c r="J63" s="91">
        <v>3</v>
      </c>
      <c r="K63" s="87">
        <v>3</v>
      </c>
      <c r="L63" s="87">
        <v>52</v>
      </c>
      <c r="M63" s="88">
        <v>5</v>
      </c>
      <c r="N63" s="91">
        <v>5</v>
      </c>
      <c r="O63" s="91">
        <v>5</v>
      </c>
      <c r="P63" s="83"/>
      <c r="Q63" s="83"/>
      <c r="R63" s="85"/>
      <c r="S63" s="97"/>
      <c r="T63" s="97"/>
      <c r="U63" s="96"/>
      <c r="V63" s="85"/>
      <c r="W63" s="85"/>
      <c r="X63" s="149"/>
      <c r="Y63" s="70"/>
      <c r="Z63" s="34"/>
      <c r="AA63" s="100"/>
      <c r="AB63" s="100"/>
      <c r="AC63" s="170"/>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2"/>
      <c r="BK63" s="72"/>
      <c r="BL63" s="72"/>
      <c r="BM63" s="72"/>
      <c r="BN63" s="72"/>
      <c r="BO63" s="72"/>
      <c r="BP63" s="72"/>
      <c r="BQ63" s="72"/>
      <c r="BR63" s="72"/>
      <c r="BS63" s="72"/>
      <c r="BT63" s="72"/>
      <c r="BU63" s="72"/>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row>
    <row r="64" spans="1:104" s="74" customFormat="1" ht="15.75">
      <c r="A64" s="302"/>
      <c r="B64" s="33"/>
      <c r="C64" s="83"/>
      <c r="D64" s="83"/>
      <c r="E64" s="87">
        <v>4</v>
      </c>
      <c r="F64" s="88">
        <v>24</v>
      </c>
      <c r="G64" s="88">
        <v>7</v>
      </c>
      <c r="H64" s="91">
        <v>2</v>
      </c>
      <c r="I64" s="91">
        <v>2</v>
      </c>
      <c r="J64" s="91">
        <v>2</v>
      </c>
      <c r="K64" s="87">
        <v>4</v>
      </c>
      <c r="L64" s="87">
        <v>48</v>
      </c>
      <c r="M64" s="88">
        <v>3</v>
      </c>
      <c r="N64" s="91">
        <v>3</v>
      </c>
      <c r="O64" s="91">
        <v>3</v>
      </c>
      <c r="P64" s="83"/>
      <c r="Q64" s="83"/>
      <c r="R64" s="85"/>
      <c r="S64" s="97"/>
      <c r="T64" s="97"/>
      <c r="U64" s="96"/>
      <c r="V64" s="85"/>
      <c r="W64" s="85"/>
      <c r="X64" s="149"/>
      <c r="Y64" s="70"/>
      <c r="Z64" s="34"/>
      <c r="AA64" s="100"/>
      <c r="AB64" s="100"/>
      <c r="AC64" s="170"/>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2"/>
      <c r="BK64" s="72"/>
      <c r="BL64" s="72"/>
      <c r="BM64" s="72"/>
      <c r="BN64" s="72"/>
      <c r="BO64" s="72"/>
      <c r="BP64" s="72"/>
      <c r="BQ64" s="72"/>
      <c r="BR64" s="72"/>
      <c r="BS64" s="72"/>
      <c r="BT64" s="72"/>
      <c r="BU64" s="72"/>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row>
    <row r="65" spans="1:104" s="74" customFormat="1" ht="15.75">
      <c r="A65" s="302"/>
      <c r="B65" s="33"/>
      <c r="C65" s="83"/>
      <c r="D65" s="83"/>
      <c r="E65" s="87">
        <v>5</v>
      </c>
      <c r="F65" s="88">
        <v>22</v>
      </c>
      <c r="G65" s="88">
        <v>6</v>
      </c>
      <c r="H65" s="91">
        <v>1</v>
      </c>
      <c r="I65" s="91">
        <v>1</v>
      </c>
      <c r="J65" s="91">
        <v>1</v>
      </c>
      <c r="K65" s="87">
        <v>5</v>
      </c>
      <c r="L65" s="87">
        <v>44</v>
      </c>
      <c r="M65" s="88">
        <v>1</v>
      </c>
      <c r="N65" s="91">
        <v>1</v>
      </c>
      <c r="O65" s="91">
        <v>1</v>
      </c>
      <c r="P65" s="83"/>
      <c r="Q65" s="83"/>
      <c r="R65" s="85"/>
      <c r="S65" s="97"/>
      <c r="T65" s="97"/>
      <c r="U65" s="96"/>
      <c r="V65" s="85"/>
      <c r="W65" s="85"/>
      <c r="X65" s="149"/>
      <c r="Y65" s="70"/>
      <c r="Z65" s="34"/>
      <c r="AA65" s="100"/>
      <c r="AB65" s="100"/>
      <c r="AC65" s="170"/>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2"/>
      <c r="BK65" s="72"/>
      <c r="BL65" s="72"/>
      <c r="BM65" s="72"/>
      <c r="BN65" s="72"/>
      <c r="BO65" s="72"/>
      <c r="BP65" s="72"/>
      <c r="BQ65" s="72"/>
      <c r="BR65" s="72"/>
      <c r="BS65" s="72"/>
      <c r="BT65" s="72"/>
      <c r="BU65" s="72"/>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row>
    <row r="66" spans="1:104" s="74" customFormat="1" ht="15.75">
      <c r="A66" s="302"/>
      <c r="B66" s="33"/>
      <c r="C66" s="83"/>
      <c r="D66" s="83"/>
      <c r="E66" s="87">
        <v>6</v>
      </c>
      <c r="F66" s="88">
        <v>20</v>
      </c>
      <c r="G66" s="88">
        <v>5</v>
      </c>
      <c r="H66" s="91"/>
      <c r="I66" s="91"/>
      <c r="J66" s="83"/>
      <c r="K66" s="87">
        <v>6</v>
      </c>
      <c r="L66" s="87">
        <v>40</v>
      </c>
      <c r="M66" s="88"/>
      <c r="N66" s="91"/>
      <c r="O66" s="83"/>
      <c r="P66" s="83"/>
      <c r="Q66" s="83"/>
      <c r="R66" s="85"/>
      <c r="S66" s="97"/>
      <c r="T66" s="97"/>
      <c r="U66" s="96"/>
      <c r="V66" s="85"/>
      <c r="W66" s="85"/>
      <c r="X66" s="149"/>
      <c r="Y66" s="70"/>
      <c r="Z66" s="34"/>
      <c r="AA66" s="100"/>
      <c r="AB66" s="100"/>
      <c r="AC66" s="170"/>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2"/>
      <c r="BK66" s="72"/>
      <c r="BL66" s="72"/>
      <c r="BM66" s="72"/>
      <c r="BN66" s="72"/>
      <c r="BO66" s="72"/>
      <c r="BP66" s="72"/>
      <c r="BQ66" s="72"/>
      <c r="BR66" s="72"/>
      <c r="BS66" s="72"/>
      <c r="BT66" s="72"/>
      <c r="BU66" s="72"/>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row>
    <row r="67" spans="1:104" s="72" customFormat="1" ht="15.75">
      <c r="A67" s="302"/>
      <c r="B67" s="33"/>
      <c r="C67" s="83"/>
      <c r="D67" s="83"/>
      <c r="E67" s="87">
        <v>7</v>
      </c>
      <c r="F67" s="88">
        <v>19</v>
      </c>
      <c r="G67" s="88">
        <v>4</v>
      </c>
      <c r="H67" s="91"/>
      <c r="I67" s="91"/>
      <c r="J67" s="83"/>
      <c r="K67" s="87">
        <v>7</v>
      </c>
      <c r="L67" s="87">
        <v>38</v>
      </c>
      <c r="M67" s="88"/>
      <c r="N67" s="91"/>
      <c r="O67" s="83"/>
      <c r="P67" s="83"/>
      <c r="Q67" s="83"/>
      <c r="R67" s="85"/>
      <c r="S67" s="97"/>
      <c r="T67" s="97"/>
      <c r="U67" s="96"/>
      <c r="V67" s="85"/>
      <c r="W67" s="85"/>
      <c r="X67" s="149"/>
      <c r="Y67" s="70"/>
      <c r="Z67" s="34"/>
      <c r="AA67" s="100"/>
      <c r="AB67" s="100"/>
      <c r="AC67" s="170"/>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row>
    <row r="68" spans="1:104" s="78" customFormat="1" ht="15.75">
      <c r="A68" s="302"/>
      <c r="B68" s="33"/>
      <c r="C68" s="83"/>
      <c r="D68" s="83"/>
      <c r="E68" s="87">
        <v>8</v>
      </c>
      <c r="F68" s="88">
        <v>18</v>
      </c>
      <c r="G68" s="88">
        <v>3</v>
      </c>
      <c r="H68" s="91"/>
      <c r="I68" s="91"/>
      <c r="J68" s="83"/>
      <c r="K68" s="87">
        <v>8</v>
      </c>
      <c r="L68" s="87">
        <v>36</v>
      </c>
      <c r="M68" s="88"/>
      <c r="N68" s="91"/>
      <c r="O68" s="83"/>
      <c r="P68" s="83"/>
      <c r="Q68" s="83"/>
      <c r="R68" s="85"/>
      <c r="S68" s="97"/>
      <c r="T68" s="97"/>
      <c r="U68" s="96"/>
      <c r="V68" s="85"/>
      <c r="W68" s="85"/>
      <c r="X68" s="149"/>
      <c r="Y68" s="70"/>
      <c r="Z68" s="34"/>
      <c r="AA68" s="100"/>
      <c r="AB68" s="100"/>
      <c r="AC68" s="170"/>
      <c r="AD68" s="71"/>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c r="BG68" s="76"/>
      <c r="BH68" s="76"/>
      <c r="BI68" s="76"/>
      <c r="BJ68" s="77"/>
      <c r="BK68" s="77"/>
      <c r="BL68" s="77"/>
      <c r="BM68" s="77"/>
      <c r="BN68" s="77"/>
      <c r="BO68" s="77"/>
      <c r="BP68" s="77"/>
      <c r="BQ68" s="77"/>
      <c r="BR68" s="77"/>
      <c r="BS68" s="77"/>
      <c r="BT68" s="77"/>
      <c r="BU68" s="77"/>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row>
    <row r="69" spans="1:104" s="72" customFormat="1" ht="15.75">
      <c r="A69" s="302"/>
      <c r="B69" s="33"/>
      <c r="C69" s="83"/>
      <c r="D69" s="83"/>
      <c r="E69" s="89">
        <v>9</v>
      </c>
      <c r="F69" s="90">
        <v>17</v>
      </c>
      <c r="G69" s="90">
        <v>2</v>
      </c>
      <c r="H69" s="91"/>
      <c r="I69" s="91"/>
      <c r="J69" s="83"/>
      <c r="K69" s="89">
        <v>9</v>
      </c>
      <c r="L69" s="89">
        <v>34</v>
      </c>
      <c r="M69" s="88"/>
      <c r="N69" s="91"/>
      <c r="O69" s="83"/>
      <c r="P69" s="83"/>
      <c r="Q69" s="83"/>
      <c r="R69" s="85"/>
      <c r="S69" s="82"/>
      <c r="T69" s="82"/>
      <c r="U69" s="96"/>
      <c r="V69" s="85"/>
      <c r="W69" s="85"/>
      <c r="X69" s="149"/>
      <c r="Y69" s="70"/>
      <c r="Z69" s="34"/>
      <c r="AA69" s="100"/>
      <c r="AB69" s="100"/>
      <c r="AC69" s="170"/>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row>
    <row r="70" spans="1:104" s="74" customFormat="1" ht="15.75">
      <c r="A70" s="302"/>
      <c r="B70" s="33"/>
      <c r="C70" s="83"/>
      <c r="D70" s="83"/>
      <c r="E70" s="87">
        <v>10</v>
      </c>
      <c r="F70" s="88">
        <v>16</v>
      </c>
      <c r="G70" s="91">
        <v>1</v>
      </c>
      <c r="H70" s="91"/>
      <c r="I70" s="91"/>
      <c r="J70" s="83"/>
      <c r="K70" s="87">
        <v>10</v>
      </c>
      <c r="L70" s="87">
        <v>32</v>
      </c>
      <c r="M70" s="91"/>
      <c r="N70" s="91"/>
      <c r="O70" s="83"/>
      <c r="P70" s="83"/>
      <c r="Q70" s="83"/>
      <c r="R70" s="85"/>
      <c r="S70" s="83"/>
      <c r="T70" s="83"/>
      <c r="U70" s="96"/>
      <c r="V70" s="85"/>
      <c r="W70" s="85"/>
      <c r="X70" s="149"/>
      <c r="Y70" s="70"/>
      <c r="Z70" s="34"/>
      <c r="AA70" s="100"/>
      <c r="AB70" s="100"/>
      <c r="AC70" s="170"/>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2"/>
      <c r="BK70" s="72"/>
      <c r="BL70" s="72"/>
      <c r="BM70" s="72"/>
      <c r="BN70" s="72"/>
      <c r="BO70" s="72"/>
      <c r="BP70" s="72"/>
      <c r="BQ70" s="72"/>
      <c r="BR70" s="72"/>
      <c r="BS70" s="72"/>
      <c r="BT70" s="72"/>
      <c r="BU70" s="72"/>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row>
    <row r="71" spans="1:104" s="72" customFormat="1" ht="15.75">
      <c r="A71" s="302"/>
      <c r="B71" s="33"/>
      <c r="C71" s="83"/>
      <c r="D71" s="83"/>
      <c r="E71" s="87">
        <v>11</v>
      </c>
      <c r="F71" s="88">
        <v>15</v>
      </c>
      <c r="G71" s="91"/>
      <c r="H71" s="91"/>
      <c r="I71" s="91"/>
      <c r="J71" s="83"/>
      <c r="K71" s="87">
        <v>11</v>
      </c>
      <c r="L71" s="87">
        <v>30</v>
      </c>
      <c r="M71" s="91"/>
      <c r="N71" s="91"/>
      <c r="O71" s="83"/>
      <c r="P71" s="83"/>
      <c r="Q71" s="83"/>
      <c r="R71" s="85"/>
      <c r="S71" s="83"/>
      <c r="T71" s="83"/>
      <c r="U71" s="84"/>
      <c r="V71" s="85"/>
      <c r="W71" s="85"/>
      <c r="X71" s="149"/>
      <c r="Y71" s="70"/>
      <c r="Z71" s="34"/>
      <c r="AA71" s="100"/>
      <c r="AB71" s="100"/>
      <c r="AC71" s="170"/>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row>
    <row r="72" spans="1:104" s="74" customFormat="1" ht="15.75">
      <c r="A72" s="302"/>
      <c r="B72" s="33"/>
      <c r="C72" s="83"/>
      <c r="D72" s="83"/>
      <c r="E72" s="87">
        <v>12</v>
      </c>
      <c r="F72" s="88">
        <v>14</v>
      </c>
      <c r="G72" s="91"/>
      <c r="H72" s="91"/>
      <c r="I72" s="91"/>
      <c r="J72" s="83"/>
      <c r="K72" s="87">
        <v>12</v>
      </c>
      <c r="L72" s="87">
        <v>28</v>
      </c>
      <c r="M72" s="91"/>
      <c r="N72" s="91"/>
      <c r="O72" s="83"/>
      <c r="P72" s="83"/>
      <c r="Q72" s="83"/>
      <c r="R72" s="85"/>
      <c r="S72" s="83"/>
      <c r="T72" s="83"/>
      <c r="U72" s="85"/>
      <c r="V72" s="85"/>
      <c r="W72" s="85"/>
      <c r="X72" s="149"/>
      <c r="Y72" s="70"/>
      <c r="Z72" s="34"/>
      <c r="AA72" s="100"/>
      <c r="AB72" s="100"/>
      <c r="AC72" s="170"/>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2"/>
      <c r="BK72" s="72"/>
      <c r="BL72" s="72"/>
      <c r="BM72" s="72"/>
      <c r="BN72" s="72"/>
      <c r="BO72" s="72"/>
      <c r="BP72" s="72"/>
      <c r="BQ72" s="72"/>
      <c r="BR72" s="72"/>
      <c r="BS72" s="72"/>
      <c r="BT72" s="72"/>
      <c r="BU72" s="72"/>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row>
    <row r="73" spans="1:104" s="72" customFormat="1" ht="15.75">
      <c r="A73" s="302"/>
      <c r="B73" s="33"/>
      <c r="C73" s="83"/>
      <c r="D73" s="83"/>
      <c r="E73" s="87">
        <v>13</v>
      </c>
      <c r="F73" s="88">
        <v>13</v>
      </c>
      <c r="G73" s="91"/>
      <c r="H73" s="91"/>
      <c r="I73" s="91"/>
      <c r="J73" s="83"/>
      <c r="K73" s="87">
        <v>13</v>
      </c>
      <c r="L73" s="87">
        <v>26</v>
      </c>
      <c r="M73" s="91"/>
      <c r="N73" s="91"/>
      <c r="O73" s="83"/>
      <c r="P73" s="83"/>
      <c r="Q73" s="83"/>
      <c r="R73" s="85"/>
      <c r="S73" s="83"/>
      <c r="T73" s="83"/>
      <c r="U73" s="85"/>
      <c r="V73" s="85"/>
      <c r="W73" s="85"/>
      <c r="X73" s="149"/>
      <c r="Y73" s="70"/>
      <c r="Z73" s="34"/>
      <c r="AA73" s="100"/>
      <c r="AB73" s="100"/>
      <c r="AC73" s="170"/>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row>
    <row r="74" spans="1:104" s="74" customFormat="1" ht="15.75">
      <c r="A74" s="302"/>
      <c r="B74" s="33"/>
      <c r="C74" s="83"/>
      <c r="D74" s="83"/>
      <c r="E74" s="89">
        <v>14</v>
      </c>
      <c r="F74" s="90">
        <v>12</v>
      </c>
      <c r="G74" s="91"/>
      <c r="H74" s="91"/>
      <c r="I74" s="91"/>
      <c r="J74" s="83"/>
      <c r="K74" s="89">
        <v>14</v>
      </c>
      <c r="L74" s="89">
        <v>24</v>
      </c>
      <c r="M74" s="91"/>
      <c r="N74" s="91"/>
      <c r="O74" s="83"/>
      <c r="P74" s="83"/>
      <c r="Q74" s="83"/>
      <c r="R74" s="85"/>
      <c r="S74" s="83"/>
      <c r="T74" s="83"/>
      <c r="U74" s="85"/>
      <c r="V74" s="85"/>
      <c r="W74" s="85"/>
      <c r="X74" s="149"/>
      <c r="Y74" s="70"/>
      <c r="Z74" s="34"/>
      <c r="AA74" s="100"/>
      <c r="AB74" s="100"/>
      <c r="AC74" s="170"/>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2"/>
      <c r="BK74" s="72"/>
      <c r="BL74" s="72"/>
      <c r="BM74" s="72"/>
      <c r="BN74" s="72"/>
      <c r="BO74" s="72"/>
      <c r="BP74" s="72"/>
      <c r="BQ74" s="72"/>
      <c r="BR74" s="72"/>
      <c r="BS74" s="72"/>
      <c r="BT74" s="72"/>
      <c r="BU74" s="72"/>
      <c r="BV74" s="72"/>
      <c r="BW74" s="72"/>
      <c r="BX74" s="72"/>
      <c r="BY74" s="72"/>
      <c r="BZ74" s="72"/>
      <c r="CA74" s="72"/>
      <c r="CB74" s="72"/>
      <c r="CC74" s="72"/>
      <c r="CD74" s="72"/>
      <c r="CE74" s="72"/>
      <c r="CF74" s="72"/>
      <c r="CG74" s="72"/>
      <c r="CH74" s="72"/>
      <c r="CI74" s="72"/>
      <c r="CJ74" s="72"/>
      <c r="CK74" s="72"/>
      <c r="CL74" s="72"/>
      <c r="CM74" s="72"/>
      <c r="CN74" s="72"/>
      <c r="CO74" s="72"/>
      <c r="CP74" s="72"/>
      <c r="CQ74" s="72"/>
      <c r="CR74" s="72"/>
      <c r="CS74" s="72"/>
      <c r="CT74" s="72"/>
      <c r="CU74" s="72"/>
      <c r="CV74" s="72"/>
      <c r="CW74" s="72"/>
      <c r="CX74" s="72"/>
      <c r="CY74" s="72"/>
      <c r="CZ74" s="72"/>
    </row>
    <row r="75" spans="1:104" s="74" customFormat="1" ht="15.75">
      <c r="A75" s="302"/>
      <c r="B75" s="33"/>
      <c r="C75" s="83"/>
      <c r="D75" s="83"/>
      <c r="E75" s="87">
        <v>15</v>
      </c>
      <c r="F75" s="88">
        <v>11</v>
      </c>
      <c r="G75" s="91"/>
      <c r="H75" s="91"/>
      <c r="I75" s="91"/>
      <c r="J75" s="83"/>
      <c r="K75" s="87">
        <v>15</v>
      </c>
      <c r="L75" s="87">
        <v>22</v>
      </c>
      <c r="M75" s="91"/>
      <c r="N75" s="91"/>
      <c r="O75" s="83"/>
      <c r="P75" s="83"/>
      <c r="Q75" s="83"/>
      <c r="R75" s="85"/>
      <c r="S75" s="83"/>
      <c r="T75" s="83"/>
      <c r="U75" s="85"/>
      <c r="V75" s="85"/>
      <c r="W75" s="85"/>
      <c r="X75" s="149"/>
      <c r="Y75" s="70"/>
      <c r="Z75" s="34"/>
      <c r="AA75" s="100"/>
      <c r="AB75" s="100">
        <v>0</v>
      </c>
      <c r="AC75" s="170"/>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2"/>
      <c r="BK75" s="72"/>
      <c r="BL75" s="72"/>
      <c r="BM75" s="72"/>
      <c r="BN75" s="72"/>
      <c r="BO75" s="72"/>
      <c r="BP75" s="72"/>
      <c r="BQ75" s="72"/>
      <c r="BR75" s="72"/>
      <c r="BS75" s="72"/>
      <c r="BT75" s="72"/>
      <c r="BU75" s="72"/>
      <c r="BV75" s="72"/>
      <c r="BW75" s="72"/>
      <c r="BX75" s="72"/>
      <c r="BY75" s="72"/>
      <c r="BZ75" s="72"/>
      <c r="CA75" s="72"/>
      <c r="CB75" s="72"/>
      <c r="CC75" s="72"/>
      <c r="CD75" s="72"/>
      <c r="CE75" s="72"/>
      <c r="CF75" s="72"/>
      <c r="CG75" s="72"/>
      <c r="CH75" s="72"/>
      <c r="CI75" s="72"/>
      <c r="CJ75" s="72"/>
      <c r="CK75" s="72"/>
      <c r="CL75" s="72"/>
      <c r="CM75" s="72"/>
      <c r="CN75" s="72"/>
      <c r="CO75" s="72"/>
      <c r="CP75" s="72"/>
      <c r="CQ75" s="72"/>
      <c r="CR75" s="72"/>
      <c r="CS75" s="72"/>
      <c r="CT75" s="72"/>
      <c r="CU75" s="72"/>
      <c r="CV75" s="72"/>
      <c r="CW75" s="72"/>
      <c r="CX75" s="72"/>
      <c r="CY75" s="72"/>
      <c r="CZ75" s="72"/>
    </row>
    <row r="76" spans="1:104" s="74" customFormat="1" ht="15.75">
      <c r="A76" s="302"/>
      <c r="B76" s="33"/>
      <c r="C76" s="83"/>
      <c r="D76" s="83"/>
      <c r="E76" s="87">
        <v>16</v>
      </c>
      <c r="F76" s="88">
        <v>10</v>
      </c>
      <c r="G76" s="91"/>
      <c r="H76" s="91"/>
      <c r="I76" s="91"/>
      <c r="J76" s="83"/>
      <c r="K76" s="87">
        <v>16</v>
      </c>
      <c r="L76" s="87">
        <v>20</v>
      </c>
      <c r="M76" s="91"/>
      <c r="N76" s="91"/>
      <c r="O76" s="83"/>
      <c r="P76" s="83"/>
      <c r="Q76" s="83"/>
      <c r="R76" s="85"/>
      <c r="S76" s="83"/>
      <c r="T76" s="83"/>
      <c r="U76" s="85"/>
      <c r="V76" s="85"/>
      <c r="W76" s="85"/>
      <c r="X76" s="149"/>
      <c r="Y76" s="70"/>
      <c r="Z76" s="34"/>
      <c r="AA76" s="100"/>
      <c r="AB76" s="100">
        <v>0</v>
      </c>
      <c r="AC76" s="170"/>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2"/>
      <c r="BK76" s="72"/>
      <c r="BL76" s="72"/>
      <c r="BM76" s="72"/>
      <c r="BN76" s="72"/>
      <c r="BO76" s="72"/>
      <c r="BP76" s="72"/>
      <c r="BQ76" s="72"/>
      <c r="BR76" s="72"/>
      <c r="BS76" s="72"/>
      <c r="BT76" s="72"/>
      <c r="BU76" s="72"/>
      <c r="BV76" s="72"/>
      <c r="BW76" s="72"/>
      <c r="BX76" s="72"/>
      <c r="BY76" s="72"/>
      <c r="BZ76" s="72"/>
      <c r="CA76" s="72"/>
      <c r="CB76" s="72"/>
      <c r="CC76" s="72"/>
      <c r="CD76" s="72"/>
      <c r="CE76" s="72"/>
      <c r="CF76" s="72"/>
      <c r="CG76" s="72"/>
      <c r="CH76" s="72"/>
      <c r="CI76" s="72"/>
      <c r="CJ76" s="72"/>
      <c r="CK76" s="72"/>
      <c r="CL76" s="72"/>
      <c r="CM76" s="72"/>
      <c r="CN76" s="72"/>
      <c r="CO76" s="72"/>
      <c r="CP76" s="72"/>
      <c r="CQ76" s="72"/>
      <c r="CR76" s="72"/>
      <c r="CS76" s="72"/>
      <c r="CT76" s="72"/>
      <c r="CU76" s="72"/>
      <c r="CV76" s="72"/>
      <c r="CW76" s="72"/>
      <c r="CX76" s="72"/>
      <c r="CY76" s="72"/>
      <c r="CZ76" s="72"/>
    </row>
    <row r="77" spans="1:104" s="72" customFormat="1" ht="15.75">
      <c r="A77" s="302"/>
      <c r="B77" s="33"/>
      <c r="C77" s="83"/>
      <c r="D77" s="83"/>
      <c r="E77" s="87">
        <v>17</v>
      </c>
      <c r="F77" s="88">
        <v>9</v>
      </c>
      <c r="G77" s="91"/>
      <c r="H77" s="91"/>
      <c r="I77" s="91"/>
      <c r="J77" s="83"/>
      <c r="K77" s="87">
        <v>17</v>
      </c>
      <c r="L77" s="87">
        <v>18</v>
      </c>
      <c r="M77" s="91"/>
      <c r="N77" s="91"/>
      <c r="O77" s="83"/>
      <c r="P77" s="83"/>
      <c r="Q77" s="83"/>
      <c r="R77" s="85"/>
      <c r="S77" s="83"/>
      <c r="T77" s="83"/>
      <c r="U77" s="85"/>
      <c r="V77" s="85"/>
      <c r="W77" s="85"/>
      <c r="X77" s="149"/>
      <c r="Y77" s="70"/>
      <c r="Z77" s="34"/>
      <c r="AA77" s="100"/>
      <c r="AB77" s="100"/>
      <c r="AC77" s="170"/>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row>
    <row r="78" spans="1:104" s="74" customFormat="1" ht="15.75">
      <c r="A78" s="302"/>
      <c r="B78" s="33"/>
      <c r="C78" s="83"/>
      <c r="D78" s="83"/>
      <c r="E78" s="87">
        <v>18</v>
      </c>
      <c r="F78" s="88">
        <v>8</v>
      </c>
      <c r="G78" s="91"/>
      <c r="H78" s="91"/>
      <c r="I78" s="91"/>
      <c r="J78" s="83"/>
      <c r="K78" s="87">
        <v>18</v>
      </c>
      <c r="L78" s="87">
        <v>16</v>
      </c>
      <c r="M78" s="91"/>
      <c r="N78" s="91"/>
      <c r="O78" s="83"/>
      <c r="P78" s="83"/>
      <c r="Q78" s="83"/>
      <c r="R78" s="85"/>
      <c r="S78" s="83"/>
      <c r="T78" s="83"/>
      <c r="U78" s="85"/>
      <c r="V78" s="85"/>
      <c r="W78" s="85"/>
      <c r="X78" s="149"/>
      <c r="Y78" s="70"/>
      <c r="Z78" s="34"/>
      <c r="AA78" s="100"/>
      <c r="AB78" s="100"/>
      <c r="AC78" s="170"/>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2"/>
      <c r="BK78" s="72"/>
      <c r="BL78" s="72"/>
      <c r="BM78" s="72"/>
      <c r="BN78" s="72"/>
      <c r="BO78" s="72"/>
      <c r="BP78" s="72"/>
      <c r="BQ78" s="72"/>
      <c r="BR78" s="72"/>
      <c r="BS78" s="72"/>
      <c r="BT78" s="72"/>
      <c r="BU78" s="72"/>
      <c r="BV78" s="72"/>
      <c r="BW78" s="72"/>
      <c r="BX78" s="72"/>
      <c r="BY78" s="72"/>
      <c r="BZ78" s="72"/>
      <c r="CA78" s="72"/>
      <c r="CB78" s="72"/>
      <c r="CC78" s="72"/>
      <c r="CD78" s="72"/>
      <c r="CE78" s="72"/>
      <c r="CF78" s="72"/>
      <c r="CG78" s="72"/>
      <c r="CH78" s="72"/>
      <c r="CI78" s="72"/>
      <c r="CJ78" s="72"/>
      <c r="CK78" s="72"/>
      <c r="CL78" s="72"/>
      <c r="CM78" s="72"/>
      <c r="CN78" s="72"/>
      <c r="CO78" s="72"/>
      <c r="CP78" s="72"/>
      <c r="CQ78" s="72"/>
      <c r="CR78" s="72"/>
      <c r="CS78" s="72"/>
      <c r="CT78" s="72"/>
      <c r="CU78" s="72"/>
      <c r="CV78" s="72"/>
      <c r="CW78" s="72"/>
      <c r="CX78" s="72"/>
      <c r="CY78" s="72"/>
      <c r="CZ78" s="72"/>
    </row>
    <row r="79" spans="1:104" s="72" customFormat="1" ht="15.75">
      <c r="A79" s="302"/>
      <c r="B79" s="33"/>
      <c r="C79" s="83"/>
      <c r="D79" s="83"/>
      <c r="E79" s="87">
        <v>19</v>
      </c>
      <c r="F79" s="88">
        <v>7</v>
      </c>
      <c r="G79" s="91"/>
      <c r="H79" s="91"/>
      <c r="I79" s="91"/>
      <c r="J79" s="83"/>
      <c r="K79" s="87">
        <v>19</v>
      </c>
      <c r="L79" s="87">
        <v>14</v>
      </c>
      <c r="M79" s="91"/>
      <c r="N79" s="91"/>
      <c r="O79" s="83"/>
      <c r="P79" s="83"/>
      <c r="Q79" s="83"/>
      <c r="R79" s="85"/>
      <c r="S79" s="83"/>
      <c r="T79" s="83"/>
      <c r="U79" s="85"/>
      <c r="V79" s="85"/>
      <c r="W79" s="85"/>
      <c r="X79" s="149"/>
      <c r="Y79" s="70"/>
      <c r="Z79" s="34"/>
      <c r="AA79" s="100"/>
      <c r="AB79" s="100"/>
      <c r="AC79" s="170"/>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row>
    <row r="80" spans="1:104" s="79" customFormat="1">
      <c r="A80" s="302"/>
      <c r="B80" s="33"/>
      <c r="C80" s="83"/>
      <c r="D80" s="83"/>
      <c r="E80" s="86">
        <v>20</v>
      </c>
      <c r="F80" s="85">
        <v>6</v>
      </c>
      <c r="G80" s="85"/>
      <c r="H80" s="85"/>
      <c r="I80" s="83"/>
      <c r="J80" s="83"/>
      <c r="K80" s="83">
        <v>20</v>
      </c>
      <c r="L80" s="83">
        <v>12</v>
      </c>
      <c r="M80" s="83"/>
      <c r="N80" s="83"/>
      <c r="O80" s="83"/>
      <c r="P80" s="83"/>
      <c r="Q80" s="83"/>
      <c r="R80" s="85"/>
      <c r="S80" s="83"/>
      <c r="T80" s="83"/>
      <c r="U80" s="85"/>
      <c r="V80" s="85"/>
      <c r="W80" s="85"/>
      <c r="X80" s="149"/>
      <c r="Y80" s="70"/>
      <c r="Z80" s="34"/>
      <c r="AA80" s="100"/>
      <c r="AB80" s="100"/>
      <c r="AC80" s="170"/>
      <c r="AD80" s="72"/>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c r="BM80" s="75"/>
      <c r="BN80" s="75"/>
      <c r="BO80" s="75"/>
      <c r="BP80" s="75"/>
      <c r="BQ80" s="75"/>
      <c r="BR80" s="75"/>
      <c r="BS80" s="75"/>
      <c r="BT80" s="75"/>
      <c r="BU80" s="75"/>
      <c r="BV80" s="75"/>
      <c r="BW80" s="75"/>
      <c r="BX80" s="75"/>
      <c r="BY80" s="75"/>
      <c r="BZ80" s="75"/>
      <c r="CA80" s="75"/>
      <c r="CB80" s="75"/>
      <c r="CC80" s="75"/>
      <c r="CD80" s="75"/>
      <c r="CE80" s="75"/>
      <c r="CF80" s="75"/>
      <c r="CG80" s="75"/>
      <c r="CH80" s="75"/>
      <c r="CI80" s="75"/>
      <c r="CJ80" s="75"/>
      <c r="CK80" s="75"/>
      <c r="CL80" s="75"/>
      <c r="CM80" s="75"/>
      <c r="CN80" s="75"/>
      <c r="CO80" s="75"/>
      <c r="CP80" s="75"/>
      <c r="CQ80" s="75"/>
      <c r="CR80" s="75"/>
      <c r="CS80" s="75"/>
      <c r="CT80" s="75"/>
      <c r="CU80" s="75"/>
      <c r="CV80" s="75"/>
      <c r="CW80" s="75"/>
      <c r="CX80" s="75"/>
      <c r="CY80" s="75"/>
      <c r="CZ80" s="75"/>
    </row>
    <row r="81" spans="1:104" s="72" customFormat="1">
      <c r="A81" s="302"/>
      <c r="B81" s="33"/>
      <c r="C81" s="83"/>
      <c r="D81" s="83"/>
      <c r="E81" s="86"/>
      <c r="F81" s="85"/>
      <c r="G81" s="85"/>
      <c r="H81" s="85"/>
      <c r="I81" s="83"/>
      <c r="J81" s="83"/>
      <c r="K81" s="83"/>
      <c r="L81" s="83"/>
      <c r="M81" s="83"/>
      <c r="N81" s="83"/>
      <c r="O81" s="83"/>
      <c r="P81" s="83"/>
      <c r="Q81" s="83"/>
      <c r="R81" s="85"/>
      <c r="S81" s="83"/>
      <c r="T81" s="83"/>
      <c r="U81" s="85"/>
      <c r="V81" s="85"/>
      <c r="W81" s="85"/>
      <c r="X81" s="149"/>
      <c r="Y81" s="70"/>
      <c r="Z81" s="34"/>
      <c r="AA81" s="100"/>
      <c r="AB81" s="100"/>
      <c r="AC81" s="170"/>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row>
    <row r="82" spans="1:104" s="74" customFormat="1">
      <c r="A82" s="302"/>
      <c r="B82" s="33"/>
      <c r="C82" s="83"/>
      <c r="D82" s="83"/>
      <c r="E82" s="86"/>
      <c r="F82" s="85"/>
      <c r="G82" s="85"/>
      <c r="H82" s="85"/>
      <c r="I82" s="83"/>
      <c r="J82" s="83"/>
      <c r="K82" s="83"/>
      <c r="L82" s="83"/>
      <c r="M82" s="83"/>
      <c r="N82" s="83"/>
      <c r="O82" s="83"/>
      <c r="P82" s="83"/>
      <c r="Q82" s="83"/>
      <c r="R82" s="85"/>
      <c r="S82" s="83"/>
      <c r="T82" s="83"/>
      <c r="U82" s="85"/>
      <c r="V82" s="85"/>
      <c r="W82" s="85"/>
      <c r="X82" s="149"/>
      <c r="Y82" s="70"/>
      <c r="Z82" s="34"/>
      <c r="AA82" s="100"/>
      <c r="AB82" s="100"/>
      <c r="AC82" s="170"/>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2"/>
      <c r="BK82" s="72"/>
      <c r="BL82" s="72"/>
      <c r="BM82" s="72"/>
      <c r="BN82" s="72"/>
      <c r="BO82" s="72"/>
      <c r="BP82" s="72"/>
      <c r="BQ82" s="72"/>
      <c r="BR82" s="72"/>
      <c r="BS82" s="72"/>
      <c r="BT82" s="72"/>
      <c r="BU82" s="72"/>
      <c r="BV82" s="72"/>
      <c r="BW82" s="72"/>
      <c r="BX82" s="72"/>
      <c r="BY82" s="72"/>
      <c r="BZ82" s="72"/>
      <c r="CA82" s="72"/>
      <c r="CB82" s="72"/>
      <c r="CC82" s="72"/>
      <c r="CD82" s="72"/>
      <c r="CE82" s="72"/>
      <c r="CF82" s="72"/>
      <c r="CG82" s="72"/>
      <c r="CH82" s="72"/>
      <c r="CI82" s="72"/>
      <c r="CJ82" s="72"/>
      <c r="CK82" s="72"/>
      <c r="CL82" s="72"/>
      <c r="CM82" s="72"/>
      <c r="CN82" s="72"/>
      <c r="CO82" s="72"/>
      <c r="CP82" s="72"/>
      <c r="CQ82" s="72"/>
      <c r="CR82" s="72"/>
      <c r="CS82" s="72"/>
      <c r="CT82" s="72"/>
      <c r="CU82" s="72"/>
      <c r="CV82" s="72"/>
      <c r="CW82" s="72"/>
      <c r="CX82" s="72"/>
      <c r="CY82" s="72"/>
      <c r="CZ82" s="72"/>
    </row>
  </sheetData>
  <sortState ref="C83:C133">
    <sortCondition ref="C133"/>
  </sortState>
  <phoneticPr fontId="0" type="noConversion"/>
  <pageMargins left="0.75" right="0.75" top="1" bottom="1" header="0.5" footer="0.5"/>
  <pageSetup paperSize="9"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sheetPr codeName="Blad7"/>
  <dimension ref="A1:Y34"/>
  <sheetViews>
    <sheetView showZeros="0" zoomScale="85" workbookViewId="0">
      <selection activeCell="A11" sqref="A11"/>
    </sheetView>
  </sheetViews>
  <sheetFormatPr defaultColWidth="9.140625" defaultRowHeight="12.75"/>
  <cols>
    <col min="1" max="1" width="12" style="20" customWidth="1"/>
    <col min="2" max="2" width="6" style="18" customWidth="1"/>
    <col min="3" max="3" width="11" style="20" customWidth="1"/>
    <col min="4" max="4" width="10.140625" style="19" customWidth="1"/>
    <col min="5" max="5" width="11.85546875" style="20" customWidth="1"/>
    <col min="6" max="6" width="5.7109375" style="19" customWidth="1"/>
    <col min="7" max="7" width="10.7109375" style="20" customWidth="1"/>
    <col min="8" max="8" width="5.7109375" style="18" customWidth="1"/>
    <col min="9" max="9" width="9.7109375" style="20" customWidth="1"/>
    <col min="10" max="10" width="6.28515625" style="18" customWidth="1"/>
    <col min="11" max="11" width="10.7109375" style="20" customWidth="1"/>
    <col min="12" max="12" width="5.42578125" style="18" customWidth="1"/>
    <col min="13" max="13" width="11" style="21" customWidth="1"/>
    <col min="14" max="14" width="4.85546875" style="18" customWidth="1"/>
    <col min="15" max="15" width="10.42578125" style="20" customWidth="1"/>
    <col min="16" max="16" width="5.7109375" style="18" customWidth="1"/>
    <col min="17" max="17" width="10.7109375" style="20" customWidth="1"/>
    <col min="18" max="18" width="5.5703125" style="18" customWidth="1"/>
    <col min="19" max="19" width="12" style="20" customWidth="1"/>
    <col min="20" max="20" width="6" style="18" customWidth="1"/>
    <col min="21" max="21" width="12" style="20" customWidth="1"/>
    <col min="22" max="22" width="6" style="18" customWidth="1"/>
    <col min="23" max="23" width="10.42578125" style="20" hidden="1" customWidth="1"/>
    <col min="24" max="24" width="5.28515625" style="19" hidden="1" customWidth="1"/>
    <col min="25" max="16384" width="9.140625" style="19"/>
  </cols>
  <sheetData>
    <row r="1" spans="1:24">
      <c r="A1" s="19" t="str">
        <f>TTT!C1</f>
        <v>Tins Tour Toppers</v>
      </c>
      <c r="B1" s="26"/>
      <c r="C1" s="19" t="str">
        <f>Lothar!C1</f>
        <v>Lothar blijft positief</v>
      </c>
      <c r="D1" s="26"/>
      <c r="E1" s="19" t="str">
        <f>Freaky!C1</f>
        <v>Freaky's monstermannnen</v>
      </c>
      <c r="F1" s="26"/>
      <c r="G1" s="19" t="str">
        <f>Selfkant!C1</f>
        <v>Am Selfkant</v>
      </c>
      <c r="H1" s="26"/>
      <c r="I1" s="19" t="str">
        <f>Majella!C1</f>
        <v>Majella sykler på</v>
      </c>
      <c r="J1" s="26"/>
      <c r="K1" s="19" t="str">
        <f>Lange!C1</f>
        <v>De Lange Man</v>
      </c>
      <c r="L1" s="26"/>
      <c r="M1" s="203" t="str">
        <f>Vod!C1</f>
        <v>Onder de vod</v>
      </c>
      <c r="N1" s="26"/>
      <c r="O1" s="19" t="str">
        <f>Britless!C1</f>
        <v>Britless</v>
      </c>
      <c r="P1" s="26"/>
      <c r="Q1" s="19" t="str">
        <f>Bangkok!C1</f>
        <v>Prajak Mahawong</v>
      </c>
      <c r="R1" s="26"/>
      <c r="S1" s="19" t="str">
        <f>Kol!C1</f>
        <v>Kol de la Madeleine</v>
      </c>
      <c r="T1" s="26"/>
      <c r="U1" s="19" t="str">
        <f>Ami!C1</f>
        <v>Equipe l'Ami</v>
      </c>
      <c r="V1" s="26"/>
      <c r="W1" s="19" t="str">
        <f>vrij1!C1</f>
        <v>El Gran</v>
      </c>
      <c r="X1" s="26"/>
    </row>
    <row r="2" spans="1:24">
      <c r="A2" s="19">
        <f>TTT!C2</f>
        <v>0</v>
      </c>
      <c r="B2" s="19"/>
      <c r="C2" s="19">
        <f>Lothar!C2</f>
        <v>0</v>
      </c>
      <c r="E2" s="19">
        <f>Freaky!C2</f>
        <v>0</v>
      </c>
      <c r="G2" s="19">
        <f>Selfkant!C2</f>
        <v>0</v>
      </c>
      <c r="H2" s="19"/>
      <c r="I2" s="57">
        <f>Majella!C2</f>
        <v>0</v>
      </c>
      <c r="J2" s="19"/>
      <c r="K2" s="57">
        <f>Lange!C2</f>
        <v>0</v>
      </c>
      <c r="L2" s="19"/>
      <c r="M2" s="204">
        <f>Vod!C2</f>
        <v>0</v>
      </c>
      <c r="N2" s="19"/>
      <c r="O2" s="19">
        <f>Britless!C2</f>
        <v>0</v>
      </c>
      <c r="P2" s="19"/>
      <c r="Q2" s="19">
        <f>Niet!C2</f>
        <v>0</v>
      </c>
      <c r="R2" s="19"/>
      <c r="S2" s="19">
        <f>Kol!C2</f>
        <v>0</v>
      </c>
      <c r="T2" s="19"/>
      <c r="U2" s="19">
        <f>Ami!C2</f>
        <v>0</v>
      </c>
      <c r="V2" s="19"/>
      <c r="W2" s="57">
        <f>Bangkok!C2</f>
        <v>0</v>
      </c>
    </row>
    <row r="3" spans="1:24" s="23" customFormat="1" ht="39.75" customHeight="1" thickBot="1">
      <c r="A3" s="81" t="str">
        <f>TTT!C3</f>
        <v>Marjon</v>
      </c>
      <c r="C3" s="81" t="str">
        <f>Lothar!C3</f>
        <v>Lothar Matthäus</v>
      </c>
      <c r="E3" s="81" t="str">
        <f>Freaky!C3</f>
        <v>Carin Kruiskamp</v>
      </c>
      <c r="G3" s="81" t="str">
        <f>Selfkant!C3</f>
        <v>Peter K.</v>
      </c>
      <c r="I3" s="81" t="str">
        <f>Majella!C3</f>
        <v>Mariel Damen</v>
      </c>
      <c r="K3" s="81" t="str">
        <f>Lange!C3</f>
        <v>Gerard Brinksma</v>
      </c>
      <c r="M3" s="81" t="str">
        <f>Vod!C3</f>
        <v>Kees</v>
      </c>
      <c r="O3" s="81" t="str">
        <f>Britless!C3</f>
        <v>Bart en Jolanthe</v>
      </c>
      <c r="Q3" s="81" t="str">
        <f>Bangkok!C3</f>
        <v>Jan Appelman</v>
      </c>
      <c r="S3" s="81" t="str">
        <f>Kol!C3</f>
        <v>Ellen &amp; Matthijs</v>
      </c>
      <c r="U3" s="81" t="str">
        <f>Ami!C3</f>
        <v>Willem</v>
      </c>
      <c r="W3" s="81" t="str">
        <f>vrij1!C3</f>
        <v>Leen</v>
      </c>
    </row>
    <row r="4" spans="1:24" s="26" customFormat="1" ht="13.5" thickTop="1">
      <c r="A4" s="184" t="str">
        <f>TTT!C4</f>
        <v>Roglic</v>
      </c>
      <c r="B4" s="181">
        <f ca="1">VLOOKUP(A4,Score!$B$2:$X$78,23,0)</f>
        <v>398.02812813736631</v>
      </c>
      <c r="C4" s="26" t="str">
        <f>Lothar!C4</f>
        <v>Roglic</v>
      </c>
      <c r="D4" s="181">
        <f ca="1">VLOOKUP(C4,Score!$B$2:$X$78,23,0)</f>
        <v>398.02812813736631</v>
      </c>
      <c r="E4" s="184" t="str">
        <f>Freaky!C4</f>
        <v>Roglic</v>
      </c>
      <c r="F4" s="181">
        <f ca="1">VLOOKUP(E4,Score!$B$2:$X$78,23,0)</f>
        <v>398.02812813736631</v>
      </c>
      <c r="G4" s="184" t="str">
        <f>Selfkant!C4</f>
        <v>Carapaz</v>
      </c>
      <c r="H4" s="181">
        <f ca="1">VLOOKUP(G4,Score!$B$2:$X$78,23,0)</f>
        <v>130.07713678876019</v>
      </c>
      <c r="I4" s="184" t="str">
        <f>Majella!C4</f>
        <v>Roglic</v>
      </c>
      <c r="J4" s="181">
        <f ca="1">VLOOKUP(I4,Score!$B$2:$X$78,23,0)</f>
        <v>398.02812813736631</v>
      </c>
      <c r="K4" s="184" t="str">
        <f>Lange!C4</f>
        <v>Roglic</v>
      </c>
      <c r="L4" s="181">
        <f ca="1">VLOOKUP(K4,Score!$B$2:$X$78,23,0)</f>
        <v>398.02812813736631</v>
      </c>
      <c r="M4" s="205" t="str">
        <f>Vod!C4</f>
        <v>Bernal</v>
      </c>
      <c r="N4" s="181">
        <f ca="1">VLOOKUP(M4,Score!$B$2:$X$78,23,0)</f>
        <v>268.06929858254693</v>
      </c>
      <c r="O4" s="184" t="str">
        <f>Britless!C4</f>
        <v>Bernal</v>
      </c>
      <c r="P4" s="181">
        <f ca="1">VLOOKUP(O4,Score!$B$2:$X$78,23,0)</f>
        <v>268.06929858254693</v>
      </c>
      <c r="Q4" s="184" t="str">
        <f>Bangkok!C4</f>
        <v>Sagan</v>
      </c>
      <c r="R4" s="181">
        <f ca="1">VLOOKUP(Q4,Score!$B$2:$X$78,23,0)</f>
        <v>279.00639312098394</v>
      </c>
      <c r="S4" s="184" t="str">
        <f>Kol!C4</f>
        <v>Alaphilippe</v>
      </c>
      <c r="T4" s="181">
        <f ca="1">VLOOKUP(S4,Score!$B$2:$X$78,23,0)</f>
        <v>165.01412087611291</v>
      </c>
      <c r="U4" s="184" t="str">
        <f>Ami!C4</f>
        <v>Roglic</v>
      </c>
      <c r="V4" s="181">
        <f ca="1">VLOOKUP(U4,Score!$B$2:$X$78,23,0)</f>
        <v>398.02812813736631</v>
      </c>
      <c r="W4" s="184">
        <f>vrij1!C4</f>
        <v>0</v>
      </c>
      <c r="X4" s="181" t="e">
        <f>VLOOKUP(W4,Score!$B$2:$X$78,23,0)</f>
        <v>#N/A</v>
      </c>
    </row>
    <row r="5" spans="1:24" s="26" customFormat="1">
      <c r="A5" s="184" t="str">
        <f>TTT!C5</f>
        <v>Dumoulin</v>
      </c>
      <c r="B5" s="181">
        <f ca="1">VLOOKUP(A5,Score!$B$2:$X$78,23,0)</f>
        <v>153.09051541514262</v>
      </c>
      <c r="C5" s="26" t="str">
        <f>Lothar!C5</f>
        <v>Dumoulin</v>
      </c>
      <c r="D5" s="181">
        <f ca="1">VLOOKUP(C5,Score!$B$2:$X$78,23,0)</f>
        <v>153.09051541514262</v>
      </c>
      <c r="E5" s="184" t="str">
        <f>Freaky!C5</f>
        <v>Bernal</v>
      </c>
      <c r="F5" s="181">
        <f ca="1">VLOOKUP(E5,Score!$B$2:$X$78,23,0)</f>
        <v>268.06929858254693</v>
      </c>
      <c r="G5" s="184" t="str">
        <f>Selfkant!C5</f>
        <v>Landa</v>
      </c>
      <c r="H5" s="181">
        <f ca="1">VLOOKUP(G5,Score!$B$2:$X$78,23,0)</f>
        <v>178.03806711430084</v>
      </c>
      <c r="I5" s="184" t="str">
        <f>Majella!C5</f>
        <v>Bernal</v>
      </c>
      <c r="J5" s="181">
        <f ca="1">VLOOKUP(I5,Score!$B$2:$X$78,23,0)</f>
        <v>268.06929858254693</v>
      </c>
      <c r="K5" s="184" t="str">
        <f>Lange!C5</f>
        <v>Dumoulin</v>
      </c>
      <c r="L5" s="181">
        <f ca="1">VLOOKUP(K5,Score!$B$2:$X$78,23,0)</f>
        <v>153.09051541514262</v>
      </c>
      <c r="M5" s="205" t="str">
        <f>Vod!C5</f>
        <v>Roglic</v>
      </c>
      <c r="N5" s="181">
        <f ca="1">VLOOKUP(M5,Score!$B$2:$X$78,23,0)</f>
        <v>398.02812813736631</v>
      </c>
      <c r="O5" s="184" t="str">
        <f>Britless!C5</f>
        <v>Carapaz</v>
      </c>
      <c r="P5" s="181">
        <f ca="1">VLOOKUP(O5,Score!$B$2:$X$78,23,0)</f>
        <v>130.07713678876019</v>
      </c>
      <c r="Q5" s="184" t="str">
        <f>Bangkok!C5</f>
        <v>Ewan</v>
      </c>
      <c r="R5" s="181">
        <f ca="1">VLOOKUP(Q5,Score!$B$2:$X$78,23,0)</f>
        <v>161.02773534561166</v>
      </c>
      <c r="S5" s="184" t="str">
        <f>Kol!C5</f>
        <v>Bardet</v>
      </c>
      <c r="T5" s="181">
        <f ca="1">VLOOKUP(S5,Score!$B$2:$X$78,23,0)</f>
        <v>104.04196336552511</v>
      </c>
      <c r="U5" s="184" t="str">
        <f>Ami!C5</f>
        <v>Dumoulin</v>
      </c>
      <c r="V5" s="181">
        <f ca="1">VLOOKUP(U5,Score!$B$2:$X$78,23,0)</f>
        <v>153.09051541514262</v>
      </c>
      <c r="W5" s="184">
        <f>vrij1!C5</f>
        <v>0</v>
      </c>
      <c r="X5" s="181" t="e">
        <f>VLOOKUP(W5,Score!$B$2:$X$78,23,0)</f>
        <v>#N/A</v>
      </c>
    </row>
    <row r="6" spans="1:24" s="26" customFormat="1">
      <c r="A6" s="184" t="str">
        <f>TTT!C6</f>
        <v>Bernal</v>
      </c>
      <c r="B6" s="181">
        <f ca="1">VLOOKUP(A6,Score!$B$2:$X$78,23,0)</f>
        <v>268.06929858254693</v>
      </c>
      <c r="C6" s="26" t="str">
        <f>Lothar!C6</f>
        <v>Bernal</v>
      </c>
      <c r="D6" s="181">
        <f ca="1">VLOOKUP(C6,Score!$B$2:$X$78,23,0)</f>
        <v>268.06929858254693</v>
      </c>
      <c r="E6" s="184" t="str">
        <f>Freaky!C6</f>
        <v>Dumoulin</v>
      </c>
      <c r="F6" s="181">
        <f ca="1">VLOOKUP(E6,Score!$B$2:$X$78,23,0)</f>
        <v>153.09051541514262</v>
      </c>
      <c r="G6" s="184" t="str">
        <f>Selfkant!C6</f>
        <v>Quintana</v>
      </c>
      <c r="H6" s="181">
        <f ca="1">VLOOKUP(G6,Score!$B$2:$X$78,23,0)</f>
        <v>135.06838466574541</v>
      </c>
      <c r="I6" s="184" t="str">
        <f>Majella!C6</f>
        <v>Dumoulin</v>
      </c>
      <c r="J6" s="181">
        <f ca="1">VLOOKUP(I6,Score!$B$2:$X$78,23,0)</f>
        <v>153.09051541514262</v>
      </c>
      <c r="K6" s="184" t="str">
        <f>Lange!C6</f>
        <v>Alaphilippe</v>
      </c>
      <c r="L6" s="181">
        <f ca="1">VLOOKUP(K6,Score!$B$2:$X$78,23,0)</f>
        <v>165.01412087611291</v>
      </c>
      <c r="M6" s="205" t="str">
        <f>Vod!C6</f>
        <v>Dumoulin</v>
      </c>
      <c r="N6" s="181">
        <f ca="1">VLOOKUP(M6,Score!$B$2:$X$78,23,0)</f>
        <v>153.09051541514262</v>
      </c>
      <c r="O6" s="184" t="str">
        <f>Britless!C6</f>
        <v>Roglic</v>
      </c>
      <c r="P6" s="181">
        <f ca="1">VLOOKUP(O6,Score!$B$2:$X$78,23,0)</f>
        <v>398.02812813736631</v>
      </c>
      <c r="Q6" s="184" t="str">
        <f>Bangkok!C6</f>
        <v>Bennett</v>
      </c>
      <c r="R6" s="181">
        <f ca="1">VLOOKUP(Q6,Score!$B$2:$X$78,23,0)</f>
        <v>298.03098917437455</v>
      </c>
      <c r="S6" s="184" t="str">
        <f>Kol!C6</f>
        <v>G.Bennett</v>
      </c>
      <c r="T6" s="181">
        <f ca="1">VLOOKUP(S6,Score!$B$2:$X$78,23,0)</f>
        <v>5.7275288045816495E-3</v>
      </c>
      <c r="U6" s="184" t="str">
        <f>Ami!C6</f>
        <v>Bernal</v>
      </c>
      <c r="V6" s="181">
        <f ca="1">VLOOKUP(U6,Score!$B$2:$X$78,23,0)</f>
        <v>268.06929858254693</v>
      </c>
      <c r="W6" s="277">
        <f>vrij1!C6</f>
        <v>0</v>
      </c>
      <c r="X6" s="181" t="e">
        <f>VLOOKUP(W6,Score!$B$2:$X$78,23,0)</f>
        <v>#N/A</v>
      </c>
    </row>
    <row r="7" spans="1:24" s="26" customFormat="1">
      <c r="A7" s="184" t="str">
        <f>TTT!C7</f>
        <v>Pinot</v>
      </c>
      <c r="B7" s="181">
        <f ca="1">VLOOKUP(A7,Score!$B$2:$X$78,23,0)</f>
        <v>47.095534077619774</v>
      </c>
      <c r="C7" s="26" t="str">
        <f>Lothar!C7</f>
        <v>Pogacar</v>
      </c>
      <c r="D7" s="181">
        <f ca="1">VLOOKUP(C7,Score!$B$2:$X$78,23,0)</f>
        <v>531.01379209691868</v>
      </c>
      <c r="E7" s="184" t="str">
        <f>Freaky!C7</f>
        <v>Sagan</v>
      </c>
      <c r="F7" s="181">
        <f ca="1">VLOOKUP(E7,Score!$B$2:$X$78,23,0)</f>
        <v>279.00639312098394</v>
      </c>
      <c r="G7" s="184" t="str">
        <f>Selfkant!C7</f>
        <v>Pogacar</v>
      </c>
      <c r="H7" s="181">
        <f ca="1">VLOOKUP(G7,Score!$B$2:$X$78,23,0)</f>
        <v>531.01379209691868</v>
      </c>
      <c r="I7" s="184" t="str">
        <f>Majella!C7</f>
        <v>Quintana</v>
      </c>
      <c r="J7" s="181">
        <f ca="1">VLOOKUP(I7,Score!$B$2:$X$78,23,0)</f>
        <v>135.06838466574541</v>
      </c>
      <c r="K7" s="184" t="str">
        <f>Lange!C7</f>
        <v>Buchmann</v>
      </c>
      <c r="L7" s="181">
        <f ca="1">VLOOKUP(K7,Score!$B$2:$X$78,23,0)</f>
        <v>23.039852377022889</v>
      </c>
      <c r="M7" s="205" t="str">
        <f>Vod!C7</f>
        <v>Van Aert</v>
      </c>
      <c r="N7" s="181">
        <f ca="1">VLOOKUP(M7,Score!$B$2:$X$78,23,0)</f>
        <v>192.02674242672029</v>
      </c>
      <c r="O7" s="184" t="str">
        <f>Britless!C7</f>
        <v>Dumoulin</v>
      </c>
      <c r="P7" s="181">
        <f ca="1">VLOOKUP(O7,Score!$B$2:$X$78,23,0)</f>
        <v>153.09051541514262</v>
      </c>
      <c r="Q7" s="184" t="str">
        <f>Bangkok!C7</f>
        <v>Viviani</v>
      </c>
      <c r="R7" s="181">
        <f ca="1">VLOOKUP(Q7,Score!$B$2:$X$78,23,0)</f>
        <v>80.095956085656127</v>
      </c>
      <c r="S7" s="184" t="str">
        <f>Kol!C7</f>
        <v>Bernal</v>
      </c>
      <c r="T7" s="181">
        <f ca="1">VLOOKUP(S7,Score!$B$2:$X$78,23,0)</f>
        <v>268.06929858254693</v>
      </c>
      <c r="U7" s="184" t="str">
        <f>Ami!C7</f>
        <v>Pinot</v>
      </c>
      <c r="V7" s="181">
        <f ca="1">VLOOKUP(U7,Score!$B$2:$X$78,23,0)</f>
        <v>47.095534077619774</v>
      </c>
      <c r="W7" s="277">
        <f>vrij1!C7</f>
        <v>0</v>
      </c>
      <c r="X7" s="181" t="e">
        <f>VLOOKUP(W7,Score!$B$2:$X$78,23,0)</f>
        <v>#N/A</v>
      </c>
    </row>
    <row r="8" spans="1:24" s="26" customFormat="1">
      <c r="A8" s="184" t="str">
        <f>TTT!C8</f>
        <v>Pogacar</v>
      </c>
      <c r="B8" s="181">
        <f ca="1">VLOOKUP(A8,Score!$B$2:$X$78,23,0)</f>
        <v>531.01379209691868</v>
      </c>
      <c r="C8" s="26" t="str">
        <f>Lothar!C8</f>
        <v>Martinez</v>
      </c>
      <c r="D8" s="181">
        <f ca="1">VLOOKUP(C8,Score!$B$2:$X$78,23,0)</f>
        <v>69.061416673233623</v>
      </c>
      <c r="E8" s="184" t="str">
        <f>Freaky!C8</f>
        <v>Carapaz</v>
      </c>
      <c r="F8" s="181">
        <f ca="1">VLOOKUP(E8,Score!$B$2:$X$78,23,0)</f>
        <v>130.07713678876019</v>
      </c>
      <c r="G8" s="184" t="str">
        <f>Selfkant!C8</f>
        <v>Pinot</v>
      </c>
      <c r="H8" s="181">
        <f ca="1">VLOOKUP(G8,Score!$B$2:$X$78,23,0)</f>
        <v>47.095534077619774</v>
      </c>
      <c r="I8" s="184" t="str">
        <f>Majella!C8</f>
        <v>Pogacar</v>
      </c>
      <c r="J8" s="181">
        <f ca="1">VLOOKUP(I8,Score!$B$2:$X$78,23,0)</f>
        <v>531.01379209691868</v>
      </c>
      <c r="K8" s="184" t="str">
        <f>Lange!C8</f>
        <v>Pinot</v>
      </c>
      <c r="L8" s="181">
        <f ca="1">VLOOKUP(K8,Score!$B$2:$X$78,23,0)</f>
        <v>47.095534077619774</v>
      </c>
      <c r="M8" s="205" t="str">
        <f>Vod!C8</f>
        <v>Sagan</v>
      </c>
      <c r="N8" s="181">
        <f ca="1">VLOOKUP(M8,Score!$B$2:$X$78,23,0)</f>
        <v>279.00639312098394</v>
      </c>
      <c r="O8" s="184" t="str">
        <f>Britless!C8</f>
        <v>Sagan</v>
      </c>
      <c r="P8" s="181">
        <f ca="1">VLOOKUP(O8,Score!$B$2:$X$78,23,0)</f>
        <v>279.00639312098394</v>
      </c>
      <c r="Q8" s="184" t="str">
        <f>Bangkok!C8</f>
        <v>van Aert</v>
      </c>
      <c r="R8" s="181">
        <f ca="1">VLOOKUP(Q8,Score!$B$2:$X$78,23,0)</f>
        <v>192.02674242672029</v>
      </c>
      <c r="S8" s="184" t="str">
        <f>Kol!C8</f>
        <v>Carapaz</v>
      </c>
      <c r="T8" s="181">
        <f ca="1">VLOOKUP(S8,Score!$B$2:$X$78,23,0)</f>
        <v>130.07713678876019</v>
      </c>
      <c r="U8" s="184" t="str">
        <f>Ami!C8</f>
        <v>Pogacar</v>
      </c>
      <c r="V8" s="181">
        <f ca="1">VLOOKUP(U8,Score!$B$2:$X$78,23,0)</f>
        <v>531.01379209691868</v>
      </c>
      <c r="W8" s="277">
        <f>vrij1!C8</f>
        <v>0</v>
      </c>
      <c r="X8" s="181" t="e">
        <f>VLOOKUP(W8,Score!$B$2:$X$78,23,0)</f>
        <v>#N/A</v>
      </c>
    </row>
    <row r="9" spans="1:24" s="26" customFormat="1">
      <c r="A9" s="184" t="str">
        <f>TTT!C9</f>
        <v>Quintana</v>
      </c>
      <c r="B9" s="181">
        <f ca="1">VLOOKUP(A9,Score!$B$2:$X$78,23,0)</f>
        <v>135.06838466574541</v>
      </c>
      <c r="C9" s="26" t="str">
        <f>Lothar!C9</f>
        <v>Pinot</v>
      </c>
      <c r="D9" s="181">
        <f ca="1">VLOOKUP(C9,Score!$B$2:$X$78,23,0)</f>
        <v>47.095534077619774</v>
      </c>
      <c r="E9" s="184" t="str">
        <f>Freaky!C9</f>
        <v>Pinot</v>
      </c>
      <c r="F9" s="181">
        <f ca="1">VLOOKUP(E9,Score!$B$2:$X$78,23,0)</f>
        <v>47.095534077619774</v>
      </c>
      <c r="G9" s="184" t="str">
        <f>Selfkant!C9</f>
        <v>Dumoulin</v>
      </c>
      <c r="H9" s="181">
        <f ca="1">VLOOKUP(G9,Score!$B$2:$X$78,23,0)</f>
        <v>153.09051541514262</v>
      </c>
      <c r="I9" s="184" t="str">
        <f>Majella!C9</f>
        <v>Sagan</v>
      </c>
      <c r="J9" s="181">
        <f ca="1">VLOOKUP(I9,Score!$B$2:$X$78,23,0)</f>
        <v>279.00639312098394</v>
      </c>
      <c r="K9" s="184" t="str">
        <f>Lange!C9</f>
        <v>Bernal</v>
      </c>
      <c r="L9" s="181">
        <f ca="1">VLOOKUP(K9,Score!$B$2:$X$78,23,0)</f>
        <v>268.06929858254693</v>
      </c>
      <c r="M9" s="205" t="str">
        <f>Vod!C9</f>
        <v>Buchmann</v>
      </c>
      <c r="N9" s="181">
        <f ca="1">VLOOKUP(M9,Score!$B$2:$X$78,23,0)</f>
        <v>23.039852377022889</v>
      </c>
      <c r="O9" s="184" t="str">
        <f>Britless!C9</f>
        <v>Alaphilippe</v>
      </c>
      <c r="P9" s="181">
        <f ca="1">VLOOKUP(O9,Score!$B$2:$X$78,23,0)</f>
        <v>165.01412087611291</v>
      </c>
      <c r="Q9" s="184" t="str">
        <f>Bangkok!C9</f>
        <v>Bernal</v>
      </c>
      <c r="R9" s="181">
        <f ca="1">VLOOKUP(Q9,Score!$B$2:$X$78,23,0)</f>
        <v>268.06929858254693</v>
      </c>
      <c r="S9" s="184" t="str">
        <f>Kol!C9</f>
        <v>Colbrelli</v>
      </c>
      <c r="T9" s="181">
        <f ca="1">VLOOKUP(S9,Score!$B$2:$X$78,23,0)</f>
        <v>39.060762209411898</v>
      </c>
      <c r="U9" s="184" t="str">
        <f>Ami!C9</f>
        <v>Landa</v>
      </c>
      <c r="V9" s="181">
        <f ca="1">VLOOKUP(U9,Score!$B$2:$X$78,23,0)</f>
        <v>178.03806711430084</v>
      </c>
      <c r="W9" s="277">
        <f>vrij1!C9</f>
        <v>0</v>
      </c>
      <c r="X9" s="181" t="e">
        <f>VLOOKUP(W9,Score!$B$2:$X$78,23,0)</f>
        <v>#N/A</v>
      </c>
    </row>
    <row r="10" spans="1:24" s="26" customFormat="1">
      <c r="A10" s="184" t="str">
        <f>TTT!C10</f>
        <v>Buchmann</v>
      </c>
      <c r="B10" s="181">
        <f ca="1">VLOOKUP(A10,Score!$B$2:$X$78,23,0)</f>
        <v>23.039852377022889</v>
      </c>
      <c r="C10" s="26" t="str">
        <f>Lothar!C10</f>
        <v>G.Martin</v>
      </c>
      <c r="D10" s="181">
        <f ca="1">VLOOKUP(C10,Score!$B$2:$X$78,23,0)</f>
        <v>179.07165437924934</v>
      </c>
      <c r="E10" s="184" t="str">
        <f>Freaky!C10</f>
        <v>Alaphilippe</v>
      </c>
      <c r="F10" s="181">
        <f ca="1">VLOOKUP(E10,Score!$B$2:$X$78,23,0)</f>
        <v>165.01412087611291</v>
      </c>
      <c r="G10" s="184" t="str">
        <f>Selfkant!C10</f>
        <v>Bernal</v>
      </c>
      <c r="H10" s="181">
        <f ca="1">VLOOKUP(G10,Score!$B$2:$X$78,23,0)</f>
        <v>268.06929858254693</v>
      </c>
      <c r="I10" s="184" t="str">
        <f>Majella!C10</f>
        <v>Alaphilippe</v>
      </c>
      <c r="J10" s="181">
        <f ca="1">VLOOKUP(I10,Score!$B$2:$X$78,23,0)</f>
        <v>165.01412087611291</v>
      </c>
      <c r="K10" s="184" t="str">
        <f>Lange!C10</f>
        <v>Pogacar</v>
      </c>
      <c r="L10" s="181">
        <f ca="1">VLOOKUP(K10,Score!$B$2:$X$78,23,0)</f>
        <v>531.01379209691868</v>
      </c>
      <c r="M10" s="205" t="str">
        <f>Vod!C10</f>
        <v>Alaphilippe</v>
      </c>
      <c r="N10" s="181">
        <f ca="1">VLOOKUP(M10,Score!$B$2:$X$78,23,0)</f>
        <v>165.01412087611291</v>
      </c>
      <c r="O10" s="184" t="str">
        <f>Britless!C10</f>
        <v>Bennett</v>
      </c>
      <c r="P10" s="181">
        <f ca="1">VLOOKUP(O10,Score!$B$2:$X$78,23,0)</f>
        <v>298.03098917437455</v>
      </c>
      <c r="Q10" s="184" t="str">
        <f>Bangkok!C10</f>
        <v>Roglic</v>
      </c>
      <c r="R10" s="181">
        <f ca="1">VLOOKUP(Q10,Score!$B$2:$X$78,23,0)</f>
        <v>398.02812813736631</v>
      </c>
      <c r="S10" s="184" t="str">
        <f>Kol!C10</f>
        <v>Coquard</v>
      </c>
      <c r="T10" s="181">
        <f ca="1">VLOOKUP(S10,Score!$B$2:$X$78,23,0)</f>
        <v>188.09021765919366</v>
      </c>
      <c r="U10" s="184" t="str">
        <f>Ami!C10</f>
        <v>Buchmann</v>
      </c>
      <c r="V10" s="181">
        <f ca="1">VLOOKUP(U10,Score!$B$2:$X$78,23,0)</f>
        <v>23.039852377022889</v>
      </c>
      <c r="W10" s="277">
        <f>vrij1!C10</f>
        <v>0</v>
      </c>
      <c r="X10" s="181" t="e">
        <f>VLOOKUP(W10,Score!$B$2:$X$78,23,0)</f>
        <v>#N/A</v>
      </c>
    </row>
    <row r="11" spans="1:24" s="26" customFormat="1">
      <c r="A11" s="184" t="str">
        <f>TTT!C11</f>
        <v>Lopez</v>
      </c>
      <c r="B11" s="181">
        <f ca="1">VLOOKUP(A11,Score!$B$2:$X$78,23,0)</f>
        <v>235.01180229590673</v>
      </c>
      <c r="C11" s="26" t="str">
        <f>Lothar!C11</f>
        <v>Lopez</v>
      </c>
      <c r="D11" s="181">
        <f ca="1">VLOOKUP(C11,Score!$B$2:$X$78,23,0)</f>
        <v>235.01180229590673</v>
      </c>
      <c r="E11" s="184" t="str">
        <f>Freaky!C11</f>
        <v>Lopez</v>
      </c>
      <c r="F11" s="181">
        <f ca="1">VLOOKUP(E11,Score!$B$2:$X$78,23,0)</f>
        <v>235.01180229590673</v>
      </c>
      <c r="G11" s="184" t="str">
        <f>Selfkant!C11</f>
        <v>Roglic</v>
      </c>
      <c r="H11" s="181">
        <f ca="1">VLOOKUP(G11,Score!$B$2:$X$78,23,0)</f>
        <v>398.02812813736631</v>
      </c>
      <c r="I11" s="184" t="str">
        <f>Majella!C11</f>
        <v>Pinot</v>
      </c>
      <c r="J11" s="181">
        <f ca="1">VLOOKUP(I11,Score!$B$2:$X$78,23,0)</f>
        <v>47.095534077619774</v>
      </c>
      <c r="K11" s="184" t="str">
        <f>Lange!C11</f>
        <v>Landa</v>
      </c>
      <c r="L11" s="181">
        <f ca="1">VLOOKUP(K11,Score!$B$2:$X$78,23,0)</f>
        <v>178.03806711430084</v>
      </c>
      <c r="M11" s="205" t="str">
        <f>Vod!C11</f>
        <v>Bennett</v>
      </c>
      <c r="N11" s="181">
        <f ca="1">VLOOKUP(M11,Score!$B$2:$X$78,23,0)</f>
        <v>298.03098917437455</v>
      </c>
      <c r="O11" s="184" t="str">
        <f>Britless!C11</f>
        <v>Pinot</v>
      </c>
      <c r="P11" s="181">
        <f ca="1">VLOOKUP(O11,Score!$B$2:$X$78,23,0)</f>
        <v>47.095534077619774</v>
      </c>
      <c r="Q11" s="184" t="str">
        <f>Bangkok!C11</f>
        <v>Dumoulin</v>
      </c>
      <c r="R11" s="181">
        <f ca="1">VLOOKUP(Q11,Score!$B$2:$X$78,23,0)</f>
        <v>153.09051541514262</v>
      </c>
      <c r="S11" s="184" t="str">
        <f>Kol!C11</f>
        <v>de Gendt</v>
      </c>
      <c r="T11" s="181">
        <f ca="1">VLOOKUP(S11,Score!$B$2:$X$78,23,0)</f>
        <v>1.3572573696846923E-2</v>
      </c>
      <c r="U11" s="184" t="str">
        <f>Ami!C11</f>
        <v>Lopez</v>
      </c>
      <c r="V11" s="181">
        <f ca="1">VLOOKUP(U11,Score!$B$2:$X$78,23,0)</f>
        <v>235.01180229590673</v>
      </c>
      <c r="W11" s="277">
        <f>vrij1!C11</f>
        <v>0</v>
      </c>
      <c r="X11" s="181" t="e">
        <f>VLOOKUP(W11,Score!$B$2:$X$78,23,0)</f>
        <v>#N/A</v>
      </c>
    </row>
    <row r="12" spans="1:24" s="26" customFormat="1">
      <c r="A12" s="184" t="str">
        <f>TTT!C12</f>
        <v>Landa</v>
      </c>
      <c r="B12" s="181">
        <f ca="1">VLOOKUP(A12,Score!$B$2:$X$78,23,0)</f>
        <v>178.03806711430084</v>
      </c>
      <c r="C12" s="26" t="str">
        <f>Lothar!C12</f>
        <v>Landa</v>
      </c>
      <c r="D12" s="181">
        <f ca="1">VLOOKUP(C12,Score!$B$2:$X$78,23,0)</f>
        <v>178.03806711430084</v>
      </c>
      <c r="E12" s="184" t="str">
        <f>Freaky!C12</f>
        <v>Quintana</v>
      </c>
      <c r="F12" s="181">
        <f ca="1">VLOOKUP(E12,Score!$B$2:$X$78,23,0)</f>
        <v>135.06838466574541</v>
      </c>
      <c r="G12" s="184" t="str">
        <f>Selfkant!C12</f>
        <v>Alaphilippe</v>
      </c>
      <c r="H12" s="181">
        <f ca="1">VLOOKUP(G12,Score!$B$2:$X$78,23,0)</f>
        <v>165.01412087611291</v>
      </c>
      <c r="I12" s="184" t="str">
        <f>Majella!C12</f>
        <v>Bennett</v>
      </c>
      <c r="J12" s="181">
        <f ca="1">VLOOKUP(I12,Score!$B$2:$X$78,23,0)</f>
        <v>298.03098917437455</v>
      </c>
      <c r="K12" s="184" t="str">
        <f>Lange!C12</f>
        <v>Lopez</v>
      </c>
      <c r="L12" s="181">
        <f ca="1">VLOOKUP(K12,Score!$B$2:$X$78,23,0)</f>
        <v>235.01180229590673</v>
      </c>
      <c r="M12" s="205" t="str">
        <f>Vod!C12</f>
        <v>Pinot</v>
      </c>
      <c r="N12" s="181">
        <f ca="1">VLOOKUP(M12,Score!$B$2:$X$78,23,0)</f>
        <v>47.095534077619774</v>
      </c>
      <c r="O12" s="184" t="str">
        <f>Britless!C12</f>
        <v>Landa</v>
      </c>
      <c r="P12" s="181">
        <f ca="1">VLOOKUP(O12,Score!$B$2:$X$78,23,0)</f>
        <v>178.03806711430084</v>
      </c>
      <c r="Q12" s="184" t="str">
        <f>Bangkok!C12</f>
        <v>Colbrelli</v>
      </c>
      <c r="R12" s="181">
        <f ca="1">VLOOKUP(Q12,Score!$B$2:$X$78,23,0)</f>
        <v>39.060762209411898</v>
      </c>
      <c r="S12" s="184" t="str">
        <f>Kol!C12</f>
        <v>Dumoulin</v>
      </c>
      <c r="T12" s="181">
        <f ca="1">VLOOKUP(S12,Score!$B$2:$X$78,23,0)</f>
        <v>153.09051541514262</v>
      </c>
      <c r="U12" s="184" t="str">
        <f>Ami!C12</f>
        <v>Poels</v>
      </c>
      <c r="V12" s="181">
        <f ca="1">VLOOKUP(U12,Score!$B$2:$X$78,23,0)</f>
        <v>9.1890741103038739E-3</v>
      </c>
      <c r="W12" s="277">
        <f>vrij1!C12</f>
        <v>0</v>
      </c>
      <c r="X12" s="181" t="e">
        <f>VLOOKUP(W12,Score!$B$2:$X$78,23,0)</f>
        <v>#N/A</v>
      </c>
    </row>
    <row r="13" spans="1:24" s="26" customFormat="1">
      <c r="A13" s="184" t="str">
        <f>TTT!C13</f>
        <v>Bardet</v>
      </c>
      <c r="B13" s="181">
        <f ca="1">VLOOKUP(A13,Score!$B$2:$X$78,23,0)</f>
        <v>104.04196336552511</v>
      </c>
      <c r="C13" s="26" t="str">
        <f>Lothar!C13</f>
        <v>Bardet</v>
      </c>
      <c r="D13" s="181">
        <f ca="1">VLOOKUP(C13,Score!$B$2:$X$78,23,0)</f>
        <v>104.04196336552511</v>
      </c>
      <c r="E13" s="184" t="str">
        <f>Freaky!C13</f>
        <v>Landa</v>
      </c>
      <c r="F13" s="181">
        <f ca="1">VLOOKUP(E13,Score!$B$2:$X$78,23,0)</f>
        <v>178.03806711430084</v>
      </c>
      <c r="G13" s="184" t="str">
        <f>Selfkant!C13</f>
        <v>Sagan</v>
      </c>
      <c r="H13" s="181">
        <f ca="1">VLOOKUP(G13,Score!$B$2:$X$78,23,0)</f>
        <v>279.00639312098394</v>
      </c>
      <c r="I13" s="184" t="str">
        <f>Majella!C13</f>
        <v>Bol</v>
      </c>
      <c r="J13" s="181">
        <f ca="1">VLOOKUP(I13,Score!$B$2:$X$78,23,0)</f>
        <v>120.02884850300732</v>
      </c>
      <c r="K13" s="184" t="str">
        <f>Lange!C13</f>
        <v>Porte</v>
      </c>
      <c r="L13" s="181">
        <f ca="1">VLOOKUP(K13,Score!$B$2:$X$78,23,0)</f>
        <v>193.01252352265149</v>
      </c>
      <c r="M13" s="205" t="str">
        <f>Vod!C13</f>
        <v>Colbrelli</v>
      </c>
      <c r="N13" s="181">
        <f ca="1">VLOOKUP(M13,Score!$B$2:$X$78,23,0)</f>
        <v>39.060762209411898</v>
      </c>
      <c r="O13" s="184" t="str">
        <f>Britless!C13</f>
        <v>Martinez</v>
      </c>
      <c r="P13" s="181">
        <f ca="1">VLOOKUP(O13,Score!$B$2:$X$78,23,0)</f>
        <v>69.061416673233623</v>
      </c>
      <c r="Q13" s="184" t="str">
        <f>Bangkok!C13</f>
        <v>Alaphilippe</v>
      </c>
      <c r="R13" s="181">
        <f ca="1">VLOOKUP(Q13,Score!$B$2:$X$78,23,0)</f>
        <v>165.01412087611291</v>
      </c>
      <c r="S13" s="184" t="str">
        <f>Kol!C13</f>
        <v>Ewan</v>
      </c>
      <c r="T13" s="181">
        <f ca="1">VLOOKUP(S13,Score!$B$2:$X$78,23,0)</f>
        <v>161.02773534561166</v>
      </c>
      <c r="U13" s="184" t="str">
        <f>Ami!C13</f>
        <v>Bardet</v>
      </c>
      <c r="V13" s="181">
        <f ca="1">VLOOKUP(U13,Score!$B$2:$X$78,23,0)</f>
        <v>104.04196336552511</v>
      </c>
      <c r="W13" s="277">
        <f>vrij1!C13</f>
        <v>0</v>
      </c>
      <c r="X13" s="181" t="e">
        <f>VLOOKUP(W13,Score!$B$2:$X$78,23,0)</f>
        <v>#N/A</v>
      </c>
    </row>
    <row r="14" spans="1:24" s="26" customFormat="1">
      <c r="A14" s="184" t="str">
        <f>TTT!C14</f>
        <v>Mollema</v>
      </c>
      <c r="B14" s="181">
        <f ca="1">VLOOKUP(A14,Score!$B$2:$X$78,23,0)</f>
        <v>79.077841004680081</v>
      </c>
      <c r="C14" s="26" t="str">
        <f>Lothar!C14</f>
        <v>Valverde</v>
      </c>
      <c r="D14" s="181">
        <f ca="1">VLOOKUP(C14,Score!$B$2:$X$78,23,0)</f>
        <v>90.040393119208019</v>
      </c>
      <c r="E14" s="184" t="str">
        <f>Freaky!C14</f>
        <v>Buchmann</v>
      </c>
      <c r="F14" s="181">
        <f ca="1">VLOOKUP(E14,Score!$B$2:$X$78,23,0)</f>
        <v>23.039852377022889</v>
      </c>
      <c r="G14" s="184" t="str">
        <f>Selfkant!C14</f>
        <v>Bennett</v>
      </c>
      <c r="H14" s="181">
        <f ca="1">VLOOKUP(G14,Score!$B$2:$X$78,23,0)</f>
        <v>298.03098917437455</v>
      </c>
      <c r="I14" s="184" t="str">
        <f>Majella!C14</f>
        <v>Nizzolo</v>
      </c>
      <c r="J14" s="181">
        <f ca="1">VLOOKUP(I14,Score!$B$2:$X$78,23,0)</f>
        <v>65.089282364930398</v>
      </c>
      <c r="K14" s="184" t="str">
        <f>Lange!C14</f>
        <v>Sagan</v>
      </c>
      <c r="L14" s="181">
        <f ca="1">VLOOKUP(K14,Score!$B$2:$X$78,23,0)</f>
        <v>279.00639312098394</v>
      </c>
      <c r="M14" s="205" t="str">
        <f>Vod!C14</f>
        <v>Martinez</v>
      </c>
      <c r="N14" s="181">
        <f ca="1">VLOOKUP(M14,Score!$B$2:$X$78,23,0)</f>
        <v>69.061416673233623</v>
      </c>
      <c r="O14" s="184" t="str">
        <f>Britless!C14</f>
        <v>Quintana</v>
      </c>
      <c r="P14" s="181">
        <f ca="1">VLOOKUP(O14,Score!$B$2:$X$78,23,0)</f>
        <v>135.06838466574541</v>
      </c>
      <c r="Q14" s="184" t="str">
        <f>Bangkok!C14</f>
        <v>Pinot</v>
      </c>
      <c r="R14" s="181">
        <f ca="1">VLOOKUP(Q14,Score!$B$2:$X$78,23,0)</f>
        <v>47.095534077619774</v>
      </c>
      <c r="S14" s="184" t="str">
        <f>Kol!C14</f>
        <v>Nizzolo</v>
      </c>
      <c r="T14" s="181">
        <f ca="1">VLOOKUP(S14,Score!$B$2:$X$78,23,0)</f>
        <v>65.089282364930398</v>
      </c>
      <c r="U14" s="184" t="str">
        <f>Ami!C14</f>
        <v>de Gendt</v>
      </c>
      <c r="V14" s="181">
        <f ca="1">VLOOKUP(U14,Score!$B$2:$X$78,23,0)</f>
        <v>1.3572573696846923E-2</v>
      </c>
      <c r="W14" s="184">
        <f>vrij1!C14</f>
        <v>0</v>
      </c>
      <c r="X14" s="181" t="e">
        <f>VLOOKUP(W14,Score!$B$2:$X$78,23,0)</f>
        <v>#N/A</v>
      </c>
    </row>
    <row r="15" spans="1:24" s="26" customFormat="1">
      <c r="A15" s="184" t="str">
        <f>TTT!C15</f>
        <v>Sagan</v>
      </c>
      <c r="B15" s="181">
        <f ca="1">VLOOKUP(A15,Score!$B$2:$X$78,23,0)</f>
        <v>279.00639312098394</v>
      </c>
      <c r="C15" s="26" t="str">
        <f>Lothar!C15</f>
        <v>Alaphilippe</v>
      </c>
      <c r="D15" s="181">
        <f ca="1">VLOOKUP(C15,Score!$B$2:$X$78,23,0)</f>
        <v>165.01412087611291</v>
      </c>
      <c r="E15" s="184" t="str">
        <f>Freaky!C15</f>
        <v>Coquard</v>
      </c>
      <c r="F15" s="181">
        <f ca="1">VLOOKUP(E15,Score!$B$2:$X$78,23,0)</f>
        <v>188.09021765919366</v>
      </c>
      <c r="G15" s="184" t="str">
        <f>Selfkant!C15</f>
        <v>van Aert</v>
      </c>
      <c r="H15" s="181">
        <f ca="1">VLOOKUP(G15,Score!$B$2:$X$78,23,0)</f>
        <v>192.02674242672029</v>
      </c>
      <c r="I15" s="184" t="str">
        <f>Majella!C15</f>
        <v>Hirschi</v>
      </c>
      <c r="J15" s="181">
        <f ca="1">VLOOKUP(I15,Score!$B$2:$X$78,23,0)</f>
        <v>175.03405056575056</v>
      </c>
      <c r="K15" s="184" t="str">
        <f>Lange!C15</f>
        <v>Ewan</v>
      </c>
      <c r="L15" s="181">
        <f ca="1">VLOOKUP(K15,Score!$B$2:$X$78,23,0)</f>
        <v>161.02773534561166</v>
      </c>
      <c r="M15" s="205" t="str">
        <f>Vod!C15</f>
        <v>Mollema</v>
      </c>
      <c r="N15" s="181">
        <f ca="1">VLOOKUP(M15,Score!$B$2:$X$78,23,0)</f>
        <v>79.077841004680081</v>
      </c>
      <c r="O15" s="184" t="str">
        <f>Britless!C15</f>
        <v>Stuyven</v>
      </c>
      <c r="P15" s="181">
        <f ca="1">VLOOKUP(O15,Score!$B$2:$X$78,23,0)</f>
        <v>149.07721842452361</v>
      </c>
      <c r="Q15" s="184" t="str">
        <f>Bangkok!C15</f>
        <v>Mas</v>
      </c>
      <c r="R15" s="181">
        <f ca="1">VLOOKUP(Q15,Score!$B$2:$X$78,23,0)</f>
        <v>198.05065112609282</v>
      </c>
      <c r="S15" s="184" t="str">
        <f>Kol!C15</f>
        <v>Pinot</v>
      </c>
      <c r="T15" s="181">
        <f ca="1">VLOOKUP(S15,Score!$B$2:$X$78,23,0)</f>
        <v>47.095534077619774</v>
      </c>
      <c r="U15" s="184" t="str">
        <f>Ami!C15</f>
        <v>Kristoff</v>
      </c>
      <c r="V15" s="181">
        <f ca="1">VLOOKUP(U15,Score!$B$2:$X$78,23,0)</f>
        <v>142.08189094839477</v>
      </c>
      <c r="W15" s="279">
        <f>vrij1!C15</f>
        <v>0</v>
      </c>
      <c r="X15" s="181" t="e">
        <f>VLOOKUP(W15,Score!$B$2:$X$78,23,0)</f>
        <v>#N/A</v>
      </c>
    </row>
    <row r="16" spans="1:24" s="26" customFormat="1">
      <c r="A16" s="184" t="str">
        <f>TTT!C16</f>
        <v>Bennett</v>
      </c>
      <c r="B16" s="181">
        <f ca="1">VLOOKUP(A16,Score!$B$2:$X$78,23,0)</f>
        <v>298.03098917437455</v>
      </c>
      <c r="C16" s="26" t="str">
        <f>Lothar!C16</f>
        <v>van Aert</v>
      </c>
      <c r="D16" s="181">
        <f ca="1">VLOOKUP(C16,Score!$B$2:$X$78,23,0)</f>
        <v>192.02674242672029</v>
      </c>
      <c r="E16" s="184" t="str">
        <f>Freaky!C16</f>
        <v>Pogacar</v>
      </c>
      <c r="F16" s="181">
        <f ca="1">VLOOKUP(E16,Score!$B$2:$X$78,23,0)</f>
        <v>531.01379209691868</v>
      </c>
      <c r="G16" s="184" t="str">
        <f>Selfkant!C16</f>
        <v>Nizzolo</v>
      </c>
      <c r="H16" s="181">
        <f ca="1">VLOOKUP(G16,Score!$B$2:$X$78,23,0)</f>
        <v>65.089282364930398</v>
      </c>
      <c r="I16" s="184" t="str">
        <f>Majella!C16</f>
        <v>Mollema</v>
      </c>
      <c r="J16" s="181">
        <f ca="1">VLOOKUP(I16,Score!$B$2:$X$78,23,0)</f>
        <v>79.077841004680081</v>
      </c>
      <c r="K16" s="184" t="str">
        <f>Lange!C16</f>
        <v>Viviani</v>
      </c>
      <c r="L16" s="181">
        <f ca="1">VLOOKUP(K16,Score!$B$2:$X$78,23,0)</f>
        <v>80.095956085656127</v>
      </c>
      <c r="M16" s="205" t="str">
        <f>Vod!C16</f>
        <v>Van Avermaet</v>
      </c>
      <c r="N16" s="181">
        <f ca="1">VLOOKUP(M16,Score!$B$2:$X$78,23,0)</f>
        <v>92.01964497871991</v>
      </c>
      <c r="O16" s="184" t="str">
        <f>Britless!C16</f>
        <v>Trentin</v>
      </c>
      <c r="P16" s="181">
        <f ca="1">VLOOKUP(O16,Score!$B$2:$X$78,23,0)</f>
        <v>138.06287475043627</v>
      </c>
      <c r="Q16" s="184" t="str">
        <f>Bangkok!C16</f>
        <v>Uran</v>
      </c>
      <c r="R16" s="181">
        <f ca="1">VLOOKUP(Q16,Score!$B$2:$X$78,23,0)</f>
        <v>170.00968564002864</v>
      </c>
      <c r="S16" s="184" t="str">
        <f>Kol!C16</f>
        <v>Pogacar</v>
      </c>
      <c r="T16" s="181">
        <f ca="1">VLOOKUP(S16,Score!$B$2:$X$78,23,0)</f>
        <v>531.01379209691868</v>
      </c>
      <c r="U16" s="184" t="str">
        <f>Ami!C16</f>
        <v>Sagan</v>
      </c>
      <c r="V16" s="181">
        <f ca="1">VLOOKUP(U16,Score!$B$2:$X$78,23,0)</f>
        <v>279.00639312098394</v>
      </c>
      <c r="W16" s="279">
        <f>vrij1!C16</f>
        <v>0</v>
      </c>
      <c r="X16" s="181" t="e">
        <f>VLOOKUP(W16,Score!$B$2:$X$78,23,0)</f>
        <v>#N/A</v>
      </c>
    </row>
    <row r="17" spans="1:25" s="26" customFormat="1">
      <c r="A17" s="184" t="str">
        <f>TTT!C17</f>
        <v>Viviani</v>
      </c>
      <c r="B17" s="181">
        <f ca="1">VLOOKUP(A17,Score!$B$2:$X$78,23,0)</f>
        <v>80.095956085656127</v>
      </c>
      <c r="C17" s="26" t="str">
        <f>Lothar!C17</f>
        <v>Nizzolo</v>
      </c>
      <c r="D17" s="181">
        <f ca="1">VLOOKUP(C17,Score!$B$2:$X$78,23,0)</f>
        <v>65.089282364930398</v>
      </c>
      <c r="E17" s="184" t="str">
        <f>Freaky!C17</f>
        <v>Sivakov</v>
      </c>
      <c r="F17" s="181">
        <f ca="1">VLOOKUP(E17,Score!$B$2:$X$78,23,0)</f>
        <v>24.035201472053451</v>
      </c>
      <c r="G17" s="184" t="str">
        <f>Selfkant!C17</f>
        <v>Lopez</v>
      </c>
      <c r="H17" s="181">
        <f ca="1">VLOOKUP(G17,Score!$B$2:$X$78,23,0)</f>
        <v>235.01180229590673</v>
      </c>
      <c r="I17" s="184" t="str">
        <f>Majella!C17</f>
        <v>Martinez</v>
      </c>
      <c r="J17" s="181">
        <f ca="1">VLOOKUP(I17,Score!$B$2:$X$78,23,0)</f>
        <v>69.061416673233623</v>
      </c>
      <c r="K17" s="184" t="str">
        <f>Lange!C17</f>
        <v>van Aert</v>
      </c>
      <c r="L17" s="181">
        <f ca="1">VLOOKUP(K17,Score!$B$2:$X$78,23,0)</f>
        <v>192.02674242672029</v>
      </c>
      <c r="M17" s="205" t="str">
        <f>Vod!C17</f>
        <v>Viviani</v>
      </c>
      <c r="N17" s="181">
        <f ca="1">VLOOKUP(M17,Score!$B$2:$X$78,23,0)</f>
        <v>80.095956085656127</v>
      </c>
      <c r="O17" s="184" t="str">
        <f>Britless!C17</f>
        <v>Viviani</v>
      </c>
      <c r="P17" s="181">
        <f ca="1">VLOOKUP(O17,Score!$B$2:$X$78,23,0)</f>
        <v>80.095956085656127</v>
      </c>
      <c r="Q17" s="184" t="str">
        <f>Bangkok!C17</f>
        <v>Landa</v>
      </c>
      <c r="R17" s="181">
        <f ca="1">VLOOKUP(Q17,Score!$B$2:$X$78,23,0)</f>
        <v>178.03806711430084</v>
      </c>
      <c r="S17" s="184" t="str">
        <f>Kol!C17</f>
        <v>Roglic</v>
      </c>
      <c r="T17" s="181">
        <f ca="1">VLOOKUP(S17,Score!$B$2:$X$78,23,0)</f>
        <v>398.02812813736631</v>
      </c>
      <c r="U17" s="184" t="str">
        <f>Ami!C17</f>
        <v>van Aert</v>
      </c>
      <c r="V17" s="181">
        <f ca="1">VLOOKUP(U17,Score!$B$2:$X$78,23,0)</f>
        <v>192.02674242672029</v>
      </c>
      <c r="W17" s="279">
        <f>vrij1!C17</f>
        <v>0</v>
      </c>
      <c r="X17" s="181" t="e">
        <f>VLOOKUP(W17,Score!$B$2:$X$78,23,0)</f>
        <v>#N/A</v>
      </c>
    </row>
    <row r="18" spans="1:25" s="26" customFormat="1">
      <c r="A18" s="184" t="str">
        <f>TTT!C18</f>
        <v>Nizzolo</v>
      </c>
      <c r="B18" s="181">
        <f ca="1">VLOOKUP(A18,Score!$B$2:$X$78,23,0)</f>
        <v>65.089282364930398</v>
      </c>
      <c r="C18" s="26" t="str">
        <f>Lothar!C18</f>
        <v>Bennett</v>
      </c>
      <c r="D18" s="181">
        <f ca="1">VLOOKUP(C18,Score!$B$2:$X$78,23,0)</f>
        <v>298.03098917437455</v>
      </c>
      <c r="E18" s="184" t="str">
        <f>Freaky!C18</f>
        <v>Martinez</v>
      </c>
      <c r="F18" s="181">
        <f ca="1">VLOOKUP(E18,Score!$B$2:$X$78,23,0)</f>
        <v>69.061416673233623</v>
      </c>
      <c r="G18" s="184" t="str">
        <f>Selfkant!C18</f>
        <v>Higuita</v>
      </c>
      <c r="H18" s="181">
        <f ca="1">VLOOKUP(G18,Score!$B$2:$X$78,23,0)</f>
        <v>89.073675316627188</v>
      </c>
      <c r="I18" s="184" t="str">
        <f>Majella!C18</f>
        <v>Buchmann</v>
      </c>
      <c r="J18" s="181">
        <f ca="1">VLOOKUP(I18,Score!$B$2:$X$78,23,0)</f>
        <v>23.039852377022889</v>
      </c>
      <c r="K18" s="184" t="str">
        <f>Lange!C18</f>
        <v>Nizzolo</v>
      </c>
      <c r="L18" s="181">
        <f ca="1">VLOOKUP(K18,Score!$B$2:$X$78,23,0)</f>
        <v>65.089282364930398</v>
      </c>
      <c r="M18" s="205" t="str">
        <f>Vod!C18</f>
        <v>Pogacar</v>
      </c>
      <c r="N18" s="181">
        <f ca="1">VLOOKUP(M18,Score!$B$2:$X$78,23,0)</f>
        <v>531.01379209691868</v>
      </c>
      <c r="O18" s="184" t="str">
        <f>Britless!C18</f>
        <v>Pogacar</v>
      </c>
      <c r="P18" s="181">
        <f ca="1">VLOOKUP(O18,Score!$B$2:$X$78,23,0)</f>
        <v>531.01379209691868</v>
      </c>
      <c r="Q18" s="184" t="str">
        <f>Bangkok!C18</f>
        <v>Buchmann</v>
      </c>
      <c r="R18" s="181">
        <f ca="1">VLOOKUP(Q18,Score!$B$2:$X$78,23,0)</f>
        <v>23.039852377022889</v>
      </c>
      <c r="S18" s="184" t="str">
        <f>Kol!C18</f>
        <v>Sagan</v>
      </c>
      <c r="T18" s="181">
        <f ca="1">VLOOKUP(S18,Score!$B$2:$X$78,23,0)</f>
        <v>279.00639312098394</v>
      </c>
      <c r="U18" s="184" t="str">
        <f>Ami!C18</f>
        <v>Ewan</v>
      </c>
      <c r="V18" s="181">
        <f ca="1">VLOOKUP(U18,Score!$B$2:$X$78,23,0)</f>
        <v>161.02773534561166</v>
      </c>
      <c r="W18" s="279">
        <f>vrij1!C18</f>
        <v>0</v>
      </c>
      <c r="X18" s="181" t="e">
        <f>VLOOKUP(W18,Score!$B$2:$X$78,23,0)</f>
        <v>#N/A</v>
      </c>
    </row>
    <row r="19" spans="1:25" s="26" customFormat="1">
      <c r="A19" s="184" t="str">
        <f>TTT!C19</f>
        <v>Ewan</v>
      </c>
      <c r="B19" s="181">
        <f ca="1">VLOOKUP(A19,Score!$B$2:$X$78,23,0)</f>
        <v>161.02773534561166</v>
      </c>
      <c r="C19" s="26" t="str">
        <f>Lothar!C19</f>
        <v>Ewan</v>
      </c>
      <c r="D19" s="181">
        <f ca="1">VLOOKUP(C19,Score!$B$2:$X$78,23,0)</f>
        <v>161.02773534561166</v>
      </c>
      <c r="E19" s="184" t="str">
        <f>Freaky!C19</f>
        <v>van Aert</v>
      </c>
      <c r="F19" s="181">
        <f ca="1">VLOOKUP(E19,Score!$B$2:$X$78,23,0)</f>
        <v>192.02674242672029</v>
      </c>
      <c r="G19" s="184" t="str">
        <f>Selfkant!C19</f>
        <v>Coquard</v>
      </c>
      <c r="H19" s="181">
        <f ca="1">VLOOKUP(G19,Score!$B$2:$X$78,23,0)</f>
        <v>188.09021765919366</v>
      </c>
      <c r="I19" s="184" t="str">
        <f>Majella!C19</f>
        <v>G.Martin</v>
      </c>
      <c r="J19" s="181">
        <f ca="1">VLOOKUP(I19,Score!$B$2:$X$78,23,0)</f>
        <v>179.07165437924934</v>
      </c>
      <c r="K19" s="184" t="str">
        <f>Lange!C19</f>
        <v>Higuita</v>
      </c>
      <c r="L19" s="181">
        <f ca="1">VLOOKUP(K19,Score!$B$2:$X$78,23,0)</f>
        <v>89.073675316627188</v>
      </c>
      <c r="M19" s="205" t="str">
        <f>Vod!C19</f>
        <v>Ewan</v>
      </c>
      <c r="N19" s="181">
        <f ca="1">VLOOKUP(M19,Score!$B$2:$X$78,23,0)</f>
        <v>161.02773534561166</v>
      </c>
      <c r="O19" s="184" t="str">
        <f>Britless!C19</f>
        <v>Ewan</v>
      </c>
      <c r="P19" s="181">
        <f ca="1">VLOOKUP(O19,Score!$B$2:$X$78,23,0)</f>
        <v>161.02773534561166</v>
      </c>
      <c r="Q19" s="184" t="str">
        <f>Bangkok!C19</f>
        <v>van Avermaet</v>
      </c>
      <c r="R19" s="181">
        <f ca="1">VLOOKUP(Q19,Score!$B$2:$X$78,23,0)</f>
        <v>92.01964497871991</v>
      </c>
      <c r="S19" s="184" t="str">
        <f>Kol!C19</f>
        <v>van Aert</v>
      </c>
      <c r="T19" s="181">
        <f ca="1">VLOOKUP(S19,Score!$B$2:$X$78,23,0)</f>
        <v>192.02674242672029</v>
      </c>
      <c r="U19" s="184" t="str">
        <f>Ami!C19</f>
        <v>Alaphilippe</v>
      </c>
      <c r="V19" s="181">
        <f ca="1">VLOOKUP(U19,Score!$B$2:$X$78,23,0)</f>
        <v>165.01412087611291</v>
      </c>
      <c r="W19" s="279">
        <f>vrij1!C19</f>
        <v>0</v>
      </c>
      <c r="X19" s="181" t="e">
        <f>VLOOKUP(W19,Score!$B$2:$X$78,23,0)</f>
        <v>#N/A</v>
      </c>
    </row>
    <row r="20" spans="1:25" s="26" customFormat="1">
      <c r="A20" s="184" t="str">
        <f>TTT!C20</f>
        <v>Alaphilippe</v>
      </c>
      <c r="B20" s="181">
        <f ca="1">VLOOKUP(A20,Score!$B$2:$X$78,23,0)</f>
        <v>165.01412087611291</v>
      </c>
      <c r="C20" s="26" t="str">
        <f>Lothar!C20</f>
        <v>Sagan</v>
      </c>
      <c r="D20" s="181">
        <f ca="1">VLOOKUP(C20,Score!$B$2:$X$78,23,0)</f>
        <v>279.00639312098394</v>
      </c>
      <c r="E20" s="184" t="str">
        <f>Freaky!C20</f>
        <v>Ewan</v>
      </c>
      <c r="F20" s="181">
        <f ca="1">VLOOKUP(E20,Score!$B$2:$X$78,23,0)</f>
        <v>161.02773534561166</v>
      </c>
      <c r="G20" s="184" t="str">
        <f>Selfkant!C20</f>
        <v>Sivakov</v>
      </c>
      <c r="H20" s="181">
        <f ca="1">VLOOKUP(G20,Score!$B$2:$X$78,23,0)</f>
        <v>24.035201472053451</v>
      </c>
      <c r="I20" s="184" t="str">
        <f>Majella!C20</f>
        <v>Kämna</v>
      </c>
      <c r="J20" s="181">
        <f ca="1">VLOOKUP(I20,Score!$B$2:$X$78,23,0)</f>
        <v>70.022776523247785</v>
      </c>
      <c r="K20" s="184" t="str">
        <f>Lange!C20</f>
        <v>G.Martin</v>
      </c>
      <c r="L20" s="181">
        <f ca="1">VLOOKUP(K20,Score!$B$2:$X$78,23,0)</f>
        <v>179.07165437924934</v>
      </c>
      <c r="M20" s="205" t="str">
        <f>Vod!C20</f>
        <v>Nizzolo</v>
      </c>
      <c r="N20" s="181">
        <f ca="1">VLOOKUP(M20,Score!$B$2:$X$78,23,0)</f>
        <v>65.089282364930398</v>
      </c>
      <c r="O20" s="184" t="str">
        <f>Britless!C20</f>
        <v>Nizzolo</v>
      </c>
      <c r="P20" s="181">
        <f ca="1">VLOOKUP(O20,Score!$B$2:$X$78,23,0)</f>
        <v>65.089282364930398</v>
      </c>
      <c r="Q20" s="184" t="str">
        <f>Bangkok!C20</f>
        <v>Pogacar</v>
      </c>
      <c r="R20" s="181">
        <f ca="1">VLOOKUP(Q20,Score!$B$2:$X$78,23,0)</f>
        <v>531.01379209691868</v>
      </c>
      <c r="S20" s="184" t="str">
        <f>Kol!C20</f>
        <v>Viviani</v>
      </c>
      <c r="T20" s="181">
        <f ca="1">VLOOKUP(S20,Score!$B$2:$X$78,23,0)</f>
        <v>80.095956085656127</v>
      </c>
      <c r="U20" s="184" t="str">
        <f>Ami!C20</f>
        <v>Bennett</v>
      </c>
      <c r="V20" s="181">
        <f ca="1">VLOOKUP(U20,Score!$B$2:$X$78,23,0)</f>
        <v>298.03098917437455</v>
      </c>
      <c r="W20" s="279">
        <f>vrij1!C20</f>
        <v>0</v>
      </c>
      <c r="X20" s="181" t="e">
        <f>VLOOKUP(W20,Score!$B$2:$X$78,23,0)</f>
        <v>#N/A</v>
      </c>
    </row>
    <row r="21" spans="1:25">
      <c r="A21" s="185">
        <f>TTT!C21</f>
        <v>0</v>
      </c>
      <c r="B21" s="181"/>
      <c r="C21" s="28">
        <f>Lothar!C21</f>
        <v>0</v>
      </c>
      <c r="D21" s="181"/>
      <c r="E21" s="185">
        <f>Freaky!C21</f>
        <v>0</v>
      </c>
      <c r="F21" s="181"/>
      <c r="G21" s="185">
        <f>Selfkant!C21</f>
        <v>0</v>
      </c>
      <c r="H21" s="181"/>
      <c r="I21" s="184">
        <f>Majella!C21</f>
        <v>0</v>
      </c>
      <c r="J21" s="181"/>
      <c r="K21" s="184">
        <f>Lange!C21</f>
        <v>0</v>
      </c>
      <c r="L21" s="181"/>
      <c r="M21" s="205">
        <f>Vod!C21</f>
        <v>0</v>
      </c>
      <c r="N21" s="181"/>
      <c r="O21" s="184">
        <f>Britless!C21</f>
        <v>0</v>
      </c>
      <c r="P21" s="181"/>
      <c r="Q21" s="185">
        <f>Bangkok!C21</f>
        <v>0</v>
      </c>
      <c r="R21" s="181"/>
      <c r="S21" s="185">
        <f>Kol!C21</f>
        <v>0</v>
      </c>
      <c r="T21" s="181"/>
      <c r="U21" s="185">
        <f>Ami!C21</f>
        <v>0</v>
      </c>
      <c r="V21" s="181"/>
      <c r="W21" s="184">
        <f>vrij1!C21</f>
        <v>0</v>
      </c>
      <c r="X21" s="181"/>
    </row>
    <row r="22" spans="1:25" s="57" customFormat="1">
      <c r="A22" s="186">
        <f>TTT!C22</f>
        <v>0</v>
      </c>
      <c r="B22" s="182">
        <f ca="1">SUM(B4:B21)</f>
        <v>3199.8396561004456</v>
      </c>
      <c r="C22" s="180">
        <f>Lothar!C22</f>
        <v>0</v>
      </c>
      <c r="D22" s="182">
        <f ca="1">SUM(D4:D21)</f>
        <v>3412.7578285657523</v>
      </c>
      <c r="E22" s="186">
        <f>Freaky!C22</f>
        <v>0</v>
      </c>
      <c r="F22" s="182">
        <f ca="1">SUM(F4:F21)</f>
        <v>3176.7943391252397</v>
      </c>
      <c r="G22" s="186">
        <f>Selfkant!C22</f>
        <v>0</v>
      </c>
      <c r="H22" s="182">
        <f ca="1">SUM(H4:H21)</f>
        <v>3375.859281585304</v>
      </c>
      <c r="I22" s="207">
        <f>Majella!C22</f>
        <v>0</v>
      </c>
      <c r="J22" s="182">
        <f ca="1">SUM(J4:J21)</f>
        <v>3054.8428785379328</v>
      </c>
      <c r="K22" s="207">
        <f>Lange!C22</f>
        <v>0</v>
      </c>
      <c r="L22" s="182">
        <f ca="1">SUM(L4:L21)</f>
        <v>3236.8050735353686</v>
      </c>
      <c r="M22" s="206">
        <f>Vod!C22</f>
        <v>0</v>
      </c>
      <c r="N22" s="182">
        <f ca="1">SUM(N4:N21)</f>
        <v>2939.8480049470531</v>
      </c>
      <c r="O22" s="184">
        <f>Britless!C22</f>
        <v>0</v>
      </c>
      <c r="P22" s="182">
        <f ca="1">SUM(P4:P21)</f>
        <v>3244.9468436942639</v>
      </c>
      <c r="Q22" s="186">
        <f>Bangkok!C22</f>
        <v>0</v>
      </c>
      <c r="R22" s="182">
        <f ca="1">SUM(R4:R21)</f>
        <v>3272.7178687846308</v>
      </c>
      <c r="S22" s="186">
        <f>Kol!C22</f>
        <v>0</v>
      </c>
      <c r="T22" s="182">
        <f ca="1">SUM(T4:T21)</f>
        <v>2800.846878655002</v>
      </c>
      <c r="U22" s="186">
        <f>Ami!C22</f>
        <v>0</v>
      </c>
      <c r="V22" s="182">
        <f ca="1">SUM(V4:V21)</f>
        <v>3174.6395870023553</v>
      </c>
      <c r="W22" s="184">
        <f>vrij1!C22</f>
        <v>0</v>
      </c>
      <c r="X22" s="182" t="e">
        <f>SUM(X4:X21)</f>
        <v>#N/A</v>
      </c>
    </row>
    <row r="23" spans="1:25" s="22" customFormat="1">
      <c r="A23" s="185">
        <f>TTT!C23</f>
        <v>0</v>
      </c>
      <c r="B23" s="183"/>
      <c r="C23" s="28">
        <f>Lothar!C23</f>
        <v>0</v>
      </c>
      <c r="D23" s="183"/>
      <c r="E23" s="185">
        <f>Freaky!C23</f>
        <v>0</v>
      </c>
      <c r="F23" s="183"/>
      <c r="G23" s="185">
        <f>Selfkant!C23</f>
        <v>0</v>
      </c>
      <c r="H23" s="183"/>
      <c r="I23" s="184">
        <f>Majella!C23</f>
        <v>0</v>
      </c>
      <c r="J23" s="183"/>
      <c r="K23" s="184">
        <f>Lange!C23</f>
        <v>0</v>
      </c>
      <c r="L23" s="183"/>
      <c r="M23" s="205">
        <f>Vod!C23</f>
        <v>0</v>
      </c>
      <c r="N23" s="183"/>
      <c r="O23" s="184">
        <f>Britless!C23</f>
        <v>0</v>
      </c>
      <c r="P23" s="183"/>
      <c r="Q23" s="185">
        <f>Bangkok!C23</f>
        <v>0</v>
      </c>
      <c r="R23" s="183"/>
      <c r="S23" s="185">
        <f>Kol!C23</f>
        <v>0</v>
      </c>
      <c r="T23" s="183"/>
      <c r="U23" s="185">
        <f>Ami!C23</f>
        <v>0</v>
      </c>
      <c r="V23" s="183"/>
      <c r="W23" s="184">
        <f>vrij1!C23</f>
        <v>0</v>
      </c>
      <c r="X23" s="183"/>
    </row>
    <row r="24" spans="1:25" s="263" customFormat="1">
      <c r="A24" s="266" t="str">
        <f>TTT!C24</f>
        <v>Carapaz</v>
      </c>
      <c r="B24" s="264">
        <f ca="1">VLOOKUP(A24,Score!$B$2:$X$78,23,0)</f>
        <v>130.07713678876019</v>
      </c>
      <c r="C24" s="263" t="str">
        <f>Lothar!C24</f>
        <v>Higuita</v>
      </c>
      <c r="D24" s="264">
        <f ca="1">VLOOKUP(C24,Score!$B$2:$X$78,23,0)</f>
        <v>89.073675316627188</v>
      </c>
      <c r="E24" s="266" t="str">
        <f>Freaky!C24</f>
        <v>Bennett</v>
      </c>
      <c r="F24" s="264">
        <f ca="1">VLOOKUP(E24,Score!$B$2:$X$78,23,0)</f>
        <v>298.03098917437455</v>
      </c>
      <c r="G24" s="266" t="str">
        <f>Selfkant!C24</f>
        <v>Buchmann</v>
      </c>
      <c r="H24" s="264">
        <f ca="1">VLOOKUP(G24,Score!$B$2:$X$78,23,0)</f>
        <v>23.039852377022889</v>
      </c>
      <c r="I24" s="266" t="str">
        <f>Majella!C24</f>
        <v>Uran</v>
      </c>
      <c r="J24" s="264">
        <f ca="1">VLOOKUP(I24,Score!$B$2:$X$78,23,0)</f>
        <v>170.00968564002864</v>
      </c>
      <c r="K24" s="266" t="str">
        <f>Lange!C24</f>
        <v>Mas</v>
      </c>
      <c r="L24" s="264">
        <f ca="1">VLOOKUP(K24,Score!$B$2:$X$78,23,0)</f>
        <v>198.05065112609282</v>
      </c>
      <c r="M24" s="265" t="str">
        <f>Vod!C24</f>
        <v>Sivakov</v>
      </c>
      <c r="N24" s="264">
        <f ca="1">VLOOKUP(M24,Score!$B$2:$X$78,23,0)</f>
        <v>24.035201472053451</v>
      </c>
      <c r="O24" s="267" t="str">
        <f>Britless!C24</f>
        <v>Mas</v>
      </c>
      <c r="P24" s="264">
        <f ca="1">VLOOKUP(O24,Score!$B$2:$X$78,23,0)</f>
        <v>198.05065112609282</v>
      </c>
      <c r="Q24" s="266" t="str">
        <f>Bangkok!C24</f>
        <v>Bardet</v>
      </c>
      <c r="R24" s="264">
        <f ca="1">VLOOKUP(Q24,Score!$B$2:$X$78,23,0)</f>
        <v>104.04196336552511</v>
      </c>
      <c r="S24" s="266" t="str">
        <f>Kol!C24</f>
        <v>Barguil</v>
      </c>
      <c r="T24" s="264">
        <f ca="1">VLOOKUP(S24,Score!$B$2:$X$78,23,0)</f>
        <v>66.074849696441248</v>
      </c>
      <c r="U24" s="266" t="str">
        <f>Ami!C24</f>
        <v>van Avermaet</v>
      </c>
      <c r="V24" s="264">
        <f ca="1">VLOOKUP(U24,Score!$B$2:$X$78,23,0)</f>
        <v>92.01964497871991</v>
      </c>
      <c r="W24" s="267">
        <f>vrij1!C24</f>
        <v>0</v>
      </c>
      <c r="X24" s="264" t="e">
        <f>VLOOKUP(W24,Score!$B$2:$X$78,23,0)</f>
        <v>#N/A</v>
      </c>
    </row>
    <row r="25" spans="1:25" s="263" customFormat="1">
      <c r="A25" s="266" t="str">
        <f>TTT!C25</f>
        <v>Colbrelli</v>
      </c>
      <c r="B25" s="264">
        <f ca="1">VLOOKUP(A25,Score!$B$2:$X$78,23,0)</f>
        <v>39.060762209411898</v>
      </c>
      <c r="C25" s="263" t="str">
        <f>Lothar!C25</f>
        <v>Carapaz</v>
      </c>
      <c r="D25" s="264">
        <f ca="1">VLOOKUP(C25,Score!$B$2:$X$78,23,0)</f>
        <v>130.07713678876019</v>
      </c>
      <c r="E25" s="266" t="str">
        <f>Freaky!C25</f>
        <v>Mas</v>
      </c>
      <c r="F25" s="264">
        <f ca="1">VLOOKUP(E25,Score!$B$2:$X$78,23,0)</f>
        <v>198.05065112609282</v>
      </c>
      <c r="G25" s="266" t="str">
        <f>Selfkant!C25</f>
        <v>Bardet</v>
      </c>
      <c r="H25" s="264">
        <f ca="1">VLOOKUP(G25,Score!$B$2:$X$78,23,0)</f>
        <v>104.04196336552511</v>
      </c>
      <c r="I25" s="266" t="str">
        <f>Majella!C25</f>
        <v>Trentin</v>
      </c>
      <c r="J25" s="264">
        <f ca="1">VLOOKUP(I25,Score!$B$2:$X$78,23,0)</f>
        <v>138.06287475043627</v>
      </c>
      <c r="K25" s="266" t="str">
        <f>Lange!C25</f>
        <v>Colbrelli</v>
      </c>
      <c r="L25" s="264">
        <f ca="1">VLOOKUP(K25,Score!$B$2:$X$78,23,0)</f>
        <v>39.060762209411898</v>
      </c>
      <c r="M25" s="265" t="str">
        <f>Vod!C25</f>
        <v>G.Bennett</v>
      </c>
      <c r="N25" s="264">
        <f ca="1">VLOOKUP(M25,Score!$B$2:$X$78,23,0)</f>
        <v>5.7275288045816495E-3</v>
      </c>
      <c r="O25" s="267" t="str">
        <f>Britless!C25</f>
        <v>G.Martin</v>
      </c>
      <c r="P25" s="264">
        <f ca="1">VLOOKUP(O25,Score!$B$2:$X$78,23,0)</f>
        <v>179.07165437924934</v>
      </c>
      <c r="Q25" s="266" t="str">
        <f>Bangkok!C25</f>
        <v>Nizzolo</v>
      </c>
      <c r="R25" s="264">
        <f ca="1">VLOOKUP(Q25,Score!$B$2:$X$78,23,0)</f>
        <v>65.089282364930398</v>
      </c>
      <c r="S25" s="266" t="str">
        <f>Kol!C25</f>
        <v>Lopez</v>
      </c>
      <c r="T25" s="264">
        <f ca="1">VLOOKUP(S25,Score!$B$2:$X$78,23,0)</f>
        <v>235.01180229590673</v>
      </c>
      <c r="U25" s="266" t="str">
        <f>Ami!C25</f>
        <v>Poels</v>
      </c>
      <c r="V25" s="264">
        <f ca="1">VLOOKUP(U25,Score!$B$2:$X$78,23,0)</f>
        <v>9.1890741103038739E-3</v>
      </c>
      <c r="W25" s="267">
        <f>vrij1!C25</f>
        <v>0</v>
      </c>
      <c r="X25" s="264" t="e">
        <f>VLOOKUP(W25,Score!$B$2:$X$78,23,0)</f>
        <v>#N/A</v>
      </c>
    </row>
    <row r="26" spans="1:25" s="263" customFormat="1">
      <c r="A26" s="266" t="str">
        <f>TTT!C26</f>
        <v>G.Martin</v>
      </c>
      <c r="B26" s="264">
        <f ca="1">VLOOKUP(A26,Score!$B$2:$X$78,23,0)</f>
        <v>179.07165437924934</v>
      </c>
      <c r="C26" s="263" t="str">
        <f>Lothar!C26</f>
        <v>Barguil</v>
      </c>
      <c r="D26" s="264">
        <f ca="1">VLOOKUP(C26,Score!$B$2:$X$78,23,0)</f>
        <v>66.074849696441248</v>
      </c>
      <c r="E26" s="266" t="str">
        <f>Freaky!C26</f>
        <v>Kristoff</v>
      </c>
      <c r="F26" s="264">
        <f ca="1">VLOOKUP(E26,Score!$B$2:$X$78,23,0)</f>
        <v>142.08189094839477</v>
      </c>
      <c r="G26" s="266" t="str">
        <f>Selfkant!C26</f>
        <v>Kämna</v>
      </c>
      <c r="H26" s="264">
        <f ca="1">VLOOKUP(G26,Score!$B$2:$X$78,23,0)</f>
        <v>70.022776523247785</v>
      </c>
      <c r="I26" s="266" t="str">
        <f>Majella!C26</f>
        <v>Higuita</v>
      </c>
      <c r="J26" s="264">
        <f ca="1">VLOOKUP(I26,Score!$B$2:$X$78,23,0)</f>
        <v>89.073675316627188</v>
      </c>
      <c r="K26" s="266" t="str">
        <f>Lange!C26</f>
        <v>Carapaz</v>
      </c>
      <c r="L26" s="264">
        <f ca="1">VLOOKUP(K26,Score!$B$2:$X$78,23,0)</f>
        <v>130.07713678876019</v>
      </c>
      <c r="M26" s="265" t="str">
        <f>Vod!C26</f>
        <v>Landa</v>
      </c>
      <c r="N26" s="264">
        <f ca="1">VLOOKUP(M26,Score!$B$2:$X$78,23,0)</f>
        <v>178.03806711430084</v>
      </c>
      <c r="O26" s="267" t="str">
        <f>Britless!C26</f>
        <v>Lopez</v>
      </c>
      <c r="P26" s="264">
        <f ca="1">VLOOKUP(O26,Score!$B$2:$X$78,23,0)</f>
        <v>235.01180229590673</v>
      </c>
      <c r="Q26" s="266" t="str">
        <f>Bangkok!C26</f>
        <v>Quintana</v>
      </c>
      <c r="R26" s="264">
        <f ca="1">VLOOKUP(Q26,Score!$B$2:$X$78,23,0)</f>
        <v>135.06838466574541</v>
      </c>
      <c r="S26" s="266" t="str">
        <f>Kol!C26</f>
        <v>Mas</v>
      </c>
      <c r="T26" s="264">
        <f ca="1">VLOOKUP(S26,Score!$B$2:$X$78,23,0)</f>
        <v>198.05065112609282</v>
      </c>
      <c r="U26" s="266" t="str">
        <f>Ami!C26</f>
        <v>Kwiatkowski</v>
      </c>
      <c r="V26" s="264">
        <f ca="1">VLOOKUP(U26,Score!$B$2:$X$78,23,0)</f>
        <v>35.005541049287807</v>
      </c>
      <c r="W26" s="267">
        <f>vrij1!C26</f>
        <v>0</v>
      </c>
      <c r="X26" s="264" t="e">
        <f>VLOOKUP(W26,Score!$B$2:$X$78,23,0)</f>
        <v>#N/A</v>
      </c>
    </row>
    <row r="27" spans="1:25" s="26" customFormat="1">
      <c r="A27" s="211"/>
      <c r="B27" s="20"/>
      <c r="C27" s="263">
        <f>Lothar!C27</f>
        <v>0</v>
      </c>
      <c r="E27" s="208"/>
      <c r="G27" s="211"/>
      <c r="H27" s="20"/>
      <c r="I27" s="210"/>
      <c r="J27" s="20"/>
      <c r="K27" s="212"/>
      <c r="L27" s="20"/>
      <c r="M27" s="209"/>
      <c r="N27" s="20"/>
      <c r="O27" s="210"/>
      <c r="P27" s="20"/>
      <c r="Q27" s="210"/>
      <c r="R27" s="20"/>
      <c r="S27" s="266">
        <f>Kol!C27</f>
        <v>0</v>
      </c>
      <c r="T27" s="20"/>
      <c r="U27" s="211"/>
      <c r="V27" s="20"/>
      <c r="W27" s="213"/>
    </row>
    <row r="28" spans="1:25" s="63" customFormat="1">
      <c r="A28" s="24" t="s">
        <v>163</v>
      </c>
      <c r="B28" s="277">
        <f>TTT!D28</f>
        <v>0</v>
      </c>
      <c r="D28" s="280">
        <f>Lothar!D28</f>
        <v>11</v>
      </c>
      <c r="E28" s="283"/>
      <c r="F28" s="277">
        <f>Freaky!D28</f>
        <v>12</v>
      </c>
      <c r="G28" s="284"/>
      <c r="H28" s="277">
        <f>Selfkant!D28</f>
        <v>0</v>
      </c>
      <c r="I28" s="284"/>
      <c r="J28" s="277">
        <f>Majella!D28</f>
        <v>0</v>
      </c>
      <c r="K28" s="283"/>
      <c r="L28" s="277">
        <f>Lange!D28</f>
        <v>0</v>
      </c>
      <c r="M28" s="285"/>
      <c r="N28" s="276">
        <f>Vod!D28</f>
        <v>0</v>
      </c>
      <c r="O28" s="283"/>
      <c r="P28" s="277">
        <f>Britless!D28</f>
        <v>0</v>
      </c>
      <c r="Q28" s="286"/>
      <c r="R28" s="277">
        <f>Bangkok!D28</f>
        <v>8</v>
      </c>
      <c r="T28" s="277">
        <f>Kol!D28</f>
        <v>8</v>
      </c>
      <c r="U28" s="283"/>
      <c r="V28" s="277">
        <f>Ami!D28</f>
        <v>0</v>
      </c>
      <c r="X28" s="277">
        <f>vrij1!D28</f>
        <v>0</v>
      </c>
      <c r="Y28" s="266" t="str">
        <f>Kol!C28</f>
        <v>klassement</v>
      </c>
    </row>
    <row r="29" spans="1:25" s="26" customFormat="1">
      <c r="A29" s="311" t="s">
        <v>10</v>
      </c>
      <c r="B29" s="279">
        <f>TTT!D29</f>
        <v>5</v>
      </c>
      <c r="D29" s="281">
        <f>Lothar!D29</f>
        <v>4</v>
      </c>
      <c r="E29" s="208"/>
      <c r="F29" s="279">
        <f>Freaky!D29</f>
        <v>4</v>
      </c>
      <c r="G29" s="208"/>
      <c r="H29" s="279">
        <f>Selfkant!D29</f>
        <v>4</v>
      </c>
      <c r="I29" s="210"/>
      <c r="J29" s="279">
        <f>Majella!D29</f>
        <v>3</v>
      </c>
      <c r="K29" s="211"/>
      <c r="L29" s="279">
        <f>Lange!D29</f>
        <v>0</v>
      </c>
      <c r="M29" s="20"/>
      <c r="N29" s="278">
        <f>Vod!D29</f>
        <v>7</v>
      </c>
      <c r="O29" s="208"/>
      <c r="P29" s="279">
        <f>Britless!D29</f>
        <v>0</v>
      </c>
      <c r="Q29" s="287"/>
      <c r="R29" s="279">
        <f>Bangkok!D29</f>
        <v>6</v>
      </c>
      <c r="T29" s="279">
        <f>Kol!D29</f>
        <v>3</v>
      </c>
      <c r="U29" s="208"/>
      <c r="V29" s="279">
        <f>Ami!D29</f>
        <v>3</v>
      </c>
      <c r="W29" s="208"/>
      <c r="X29" s="279">
        <f>vrij1!D29</f>
        <v>0</v>
      </c>
      <c r="Y29" s="266" t="str">
        <f>Kol!C29</f>
        <v>sprinter</v>
      </c>
    </row>
    <row r="30" spans="1:25" ht="13.5" thickBot="1">
      <c r="A30" s="25" t="s">
        <v>109</v>
      </c>
      <c r="B30" s="184">
        <f>TTT!D30</f>
        <v>1</v>
      </c>
      <c r="D30" s="26">
        <f>Lothar!D30</f>
        <v>2</v>
      </c>
      <c r="E30" s="26"/>
      <c r="F30" s="184">
        <f>Freaky!D30</f>
        <v>1</v>
      </c>
      <c r="G30" s="214"/>
      <c r="H30" s="184">
        <f>Selfkant!D30</f>
        <v>3</v>
      </c>
      <c r="J30" s="184">
        <f>Majella!D30</f>
        <v>4</v>
      </c>
      <c r="K30" s="215"/>
      <c r="L30" s="184">
        <f>Lange!D30</f>
        <v>0</v>
      </c>
      <c r="M30" s="18"/>
      <c r="N30" s="205">
        <f>Vod!D30</f>
        <v>2</v>
      </c>
      <c r="O30" s="209"/>
      <c r="P30" s="184">
        <f>Britless!D30</f>
        <v>0</v>
      </c>
      <c r="R30" s="184">
        <f>Bangkok!D30</f>
        <v>3</v>
      </c>
      <c r="T30" s="184">
        <f>Kol!D30</f>
        <v>6</v>
      </c>
      <c r="V30" s="184">
        <f>Ami!D30</f>
        <v>4</v>
      </c>
      <c r="W30" s="26"/>
      <c r="X30" s="184">
        <f>vrij1!D30</f>
        <v>0</v>
      </c>
      <c r="Y30" s="266" t="str">
        <f>Kol!C30</f>
        <v>aanvaller/tijdrijder</v>
      </c>
    </row>
    <row r="31" spans="1:25">
      <c r="C31" s="19"/>
      <c r="D31" s="18"/>
      <c r="E31" s="26"/>
      <c r="G31" s="214"/>
      <c r="K31" s="216"/>
      <c r="L31" s="20"/>
      <c r="M31" s="18"/>
      <c r="O31" s="209"/>
      <c r="W31" s="26"/>
    </row>
    <row r="32" spans="1:25">
      <c r="C32" s="19"/>
      <c r="D32" s="18"/>
      <c r="E32" s="26"/>
      <c r="G32" s="214"/>
      <c r="K32" s="216"/>
      <c r="L32" s="20"/>
      <c r="M32" s="18"/>
      <c r="O32" s="209"/>
      <c r="W32" s="26"/>
    </row>
    <row r="34" spans="3:3">
      <c r="C34" s="19"/>
    </row>
  </sheetData>
  <phoneticPr fontId="0" type="noConversion"/>
  <pageMargins left="0.75" right="0.75" top="1" bottom="1" header="0.5" footer="0.5"/>
  <pageSetup paperSize="9" orientation="portrait" r:id="rId1"/>
  <headerFooter alignWithMargins="0"/>
  <ignoredErrors>
    <ignoredError sqref="G4:G20 E4:E20 K4:K20 O4:O20 Q4:Q20" formula="1"/>
  </ignoredErrors>
  <drawing r:id="rId2"/>
</worksheet>
</file>

<file path=xl/worksheets/sheet5.xml><?xml version="1.0" encoding="utf-8"?>
<worksheet xmlns="http://schemas.openxmlformats.org/spreadsheetml/2006/main" xmlns:r="http://schemas.openxmlformats.org/officeDocument/2006/relationships">
  <sheetPr codeName="Blad11">
    <tabColor indexed="12"/>
  </sheetPr>
  <dimension ref="A1:AB30"/>
  <sheetViews>
    <sheetView showZeros="0" workbookViewId="0">
      <selection activeCell="AA21" sqref="AA21"/>
    </sheetView>
  </sheetViews>
  <sheetFormatPr defaultColWidth="9.140625" defaultRowHeight="12.75"/>
  <cols>
    <col min="1" max="1" width="2.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B1" s="163"/>
      <c r="C1" s="294" t="s">
        <v>202</v>
      </c>
      <c r="D1" s="256"/>
    </row>
    <row r="2" spans="2:28">
      <c r="B2" s="163"/>
      <c r="C2" s="295"/>
      <c r="D2" s="164"/>
      <c r="H2" s="128"/>
    </row>
    <row r="3" spans="2:28" s="126" customFormat="1" ht="13.5" thickBot="1">
      <c r="B3" s="296"/>
      <c r="C3" s="297" t="s">
        <v>131</v>
      </c>
      <c r="D3" s="257"/>
      <c r="E3" s="111">
        <v>1</v>
      </c>
      <c r="F3" s="111">
        <v>2</v>
      </c>
      <c r="G3" s="111">
        <v>3</v>
      </c>
      <c r="H3" s="111">
        <v>4</v>
      </c>
      <c r="I3" s="111">
        <v>5</v>
      </c>
      <c r="J3" s="111">
        <v>6</v>
      </c>
      <c r="K3" s="111">
        <v>7</v>
      </c>
      <c r="L3" s="111">
        <v>8</v>
      </c>
      <c r="M3" s="111">
        <v>9</v>
      </c>
      <c r="N3" s="111">
        <v>10</v>
      </c>
      <c r="O3" s="111">
        <v>11</v>
      </c>
      <c r="P3" s="111">
        <v>12</v>
      </c>
      <c r="Q3" s="111">
        <v>13</v>
      </c>
      <c r="R3" s="111">
        <v>14</v>
      </c>
      <c r="S3" s="111">
        <v>15</v>
      </c>
      <c r="T3" s="111">
        <v>16</v>
      </c>
      <c r="U3" s="111">
        <v>17</v>
      </c>
      <c r="V3" s="111">
        <v>18</v>
      </c>
      <c r="W3" s="111">
        <v>19</v>
      </c>
      <c r="X3" s="111">
        <v>20</v>
      </c>
      <c r="Y3" s="111">
        <v>21</v>
      </c>
      <c r="Z3" s="111" t="s">
        <v>1</v>
      </c>
      <c r="AA3" s="146"/>
    </row>
    <row r="4" spans="2:28">
      <c r="B4" s="322" t="s">
        <v>143</v>
      </c>
      <c r="C4" s="323" t="s">
        <v>136</v>
      </c>
      <c r="D4" s="259"/>
      <c r="E4" s="109">
        <f t="shared" ref="E4:N10" si="0">INDEX(scorematrix,MATCH($C4,renners,0),MATCH(E$3,etappes,0))</f>
        <v>0</v>
      </c>
      <c r="F4" s="109">
        <f t="shared" si="0"/>
        <v>14</v>
      </c>
      <c r="G4" s="109">
        <f t="shared" si="0"/>
        <v>8</v>
      </c>
      <c r="H4" s="109">
        <f t="shared" si="0"/>
        <v>28</v>
      </c>
      <c r="I4" s="109">
        <f t="shared" si="0"/>
        <v>18</v>
      </c>
      <c r="J4" s="109">
        <f t="shared" si="0"/>
        <v>28</v>
      </c>
      <c r="K4" s="109">
        <f t="shared" si="0"/>
        <v>30</v>
      </c>
      <c r="L4" s="109">
        <f t="shared" si="0"/>
        <v>24</v>
      </c>
      <c r="M4" s="109">
        <f t="shared" si="0"/>
        <v>38</v>
      </c>
      <c r="N4" s="109">
        <f t="shared" si="0"/>
        <v>14</v>
      </c>
      <c r="O4" s="109">
        <f t="shared" ref="O4:Z10" si="1">INDEX(scorematrix,MATCH($C4,renners,0),MATCH(O$3,etappes,0))</f>
        <v>14</v>
      </c>
      <c r="P4" s="109">
        <f t="shared" si="1"/>
        <v>14</v>
      </c>
      <c r="Q4" s="109">
        <f t="shared" si="1"/>
        <v>20</v>
      </c>
      <c r="R4" s="109">
        <f t="shared" si="1"/>
        <v>12</v>
      </c>
      <c r="S4" s="109">
        <f t="shared" si="1"/>
        <v>3</v>
      </c>
      <c r="T4" s="109">
        <f t="shared" si="1"/>
        <v>3</v>
      </c>
      <c r="U4" s="109">
        <f t="shared" si="1"/>
        <v>0</v>
      </c>
      <c r="V4" s="109">
        <f t="shared" si="1"/>
        <v>0</v>
      </c>
      <c r="W4" s="109">
        <f t="shared" si="1"/>
        <v>0</v>
      </c>
      <c r="X4" s="109">
        <f t="shared" si="1"/>
        <v>0</v>
      </c>
      <c r="Y4" s="109">
        <f t="shared" si="1"/>
        <v>0</v>
      </c>
      <c r="Z4" s="109">
        <f t="shared" si="1"/>
        <v>0</v>
      </c>
      <c r="AA4" s="172">
        <f t="shared" ref="AA4:AA20" si="2">SUM(E4:Z4)</f>
        <v>268</v>
      </c>
      <c r="AB4" s="108" t="str">
        <f t="shared" ref="AB4:AB20" si="3">C4</f>
        <v>Bernal</v>
      </c>
    </row>
    <row r="5" spans="2:28">
      <c r="B5" s="322" t="s">
        <v>186</v>
      </c>
      <c r="C5" s="324" t="s">
        <v>187</v>
      </c>
      <c r="D5" s="259"/>
      <c r="E5" s="109">
        <f t="shared" si="0"/>
        <v>0</v>
      </c>
      <c r="F5" s="109">
        <f t="shared" si="0"/>
        <v>8</v>
      </c>
      <c r="G5" s="109">
        <f t="shared" si="0"/>
        <v>0</v>
      </c>
      <c r="H5" s="109">
        <f t="shared" si="0"/>
        <v>0</v>
      </c>
      <c r="I5" s="109">
        <f t="shared" si="0"/>
        <v>0</v>
      </c>
      <c r="J5" s="109">
        <f t="shared" si="0"/>
        <v>17</v>
      </c>
      <c r="K5" s="109">
        <f t="shared" si="0"/>
        <v>0</v>
      </c>
      <c r="L5" s="109">
        <f t="shared" si="0"/>
        <v>0</v>
      </c>
      <c r="M5" s="109">
        <f t="shared" si="0"/>
        <v>12</v>
      </c>
      <c r="N5" s="109">
        <f t="shared" si="0"/>
        <v>0</v>
      </c>
      <c r="O5" s="109">
        <f t="shared" si="1"/>
        <v>0</v>
      </c>
      <c r="P5" s="109">
        <f t="shared" si="1"/>
        <v>0</v>
      </c>
      <c r="Q5" s="109">
        <f t="shared" si="1"/>
        <v>0</v>
      </c>
      <c r="R5" s="109">
        <f t="shared" si="1"/>
        <v>0</v>
      </c>
      <c r="S5" s="109">
        <f t="shared" si="1"/>
        <v>0</v>
      </c>
      <c r="T5" s="109">
        <f t="shared" si="1"/>
        <v>30</v>
      </c>
      <c r="U5" s="109">
        <f t="shared" si="1"/>
        <v>15</v>
      </c>
      <c r="V5" s="109">
        <f t="shared" si="1"/>
        <v>35</v>
      </c>
      <c r="W5" s="109">
        <f t="shared" si="1"/>
        <v>5</v>
      </c>
      <c r="X5" s="109">
        <f t="shared" si="1"/>
        <v>4</v>
      </c>
      <c r="Y5" s="109">
        <f t="shared" si="1"/>
        <v>4</v>
      </c>
      <c r="Z5" s="109">
        <f t="shared" si="1"/>
        <v>33</v>
      </c>
      <c r="AA5" s="172">
        <f t="shared" si="2"/>
        <v>163</v>
      </c>
      <c r="AB5" s="108" t="str">
        <f t="shared" si="3"/>
        <v>Carapaz</v>
      </c>
    </row>
    <row r="6" spans="2:28">
      <c r="B6" s="322" t="s">
        <v>188</v>
      </c>
      <c r="C6" s="324" t="s">
        <v>134</v>
      </c>
      <c r="D6" s="259"/>
      <c r="E6" s="109">
        <f t="shared" si="0"/>
        <v>0</v>
      </c>
      <c r="F6" s="109">
        <f t="shared" si="0"/>
        <v>0</v>
      </c>
      <c r="G6" s="109">
        <f t="shared" si="0"/>
        <v>0</v>
      </c>
      <c r="H6" s="109">
        <f t="shared" si="0"/>
        <v>46</v>
      </c>
      <c r="I6" s="109">
        <f t="shared" si="0"/>
        <v>12</v>
      </c>
      <c r="J6" s="109">
        <f t="shared" si="0"/>
        <v>11</v>
      </c>
      <c r="K6" s="109">
        <f t="shared" si="0"/>
        <v>11</v>
      </c>
      <c r="L6" s="109">
        <f t="shared" si="0"/>
        <v>19</v>
      </c>
      <c r="M6" s="109">
        <f t="shared" si="0"/>
        <v>40</v>
      </c>
      <c r="N6" s="109">
        <f t="shared" si="0"/>
        <v>10</v>
      </c>
      <c r="O6" s="109">
        <f t="shared" si="1"/>
        <v>10</v>
      </c>
      <c r="P6" s="109">
        <f t="shared" si="1"/>
        <v>10</v>
      </c>
      <c r="Q6" s="109">
        <f t="shared" si="1"/>
        <v>24</v>
      </c>
      <c r="R6" s="109">
        <f t="shared" si="1"/>
        <v>10</v>
      </c>
      <c r="S6" s="109">
        <f t="shared" si="1"/>
        <v>43</v>
      </c>
      <c r="T6" s="109">
        <f t="shared" si="1"/>
        <v>12</v>
      </c>
      <c r="U6" s="109">
        <f t="shared" si="1"/>
        <v>44</v>
      </c>
      <c r="V6" s="109">
        <f t="shared" si="1"/>
        <v>37</v>
      </c>
      <c r="W6" s="109">
        <f t="shared" si="1"/>
        <v>13</v>
      </c>
      <c r="X6" s="109">
        <f t="shared" si="1"/>
        <v>34</v>
      </c>
      <c r="Y6" s="109">
        <f t="shared" si="1"/>
        <v>12</v>
      </c>
      <c r="Z6" s="109">
        <f t="shared" si="1"/>
        <v>65</v>
      </c>
      <c r="AA6" s="172">
        <f t="shared" si="2"/>
        <v>463</v>
      </c>
      <c r="AB6" s="108" t="str">
        <f t="shared" si="3"/>
        <v>Roglic</v>
      </c>
    </row>
    <row r="7" spans="2:28">
      <c r="B7" s="322" t="s">
        <v>189</v>
      </c>
      <c r="C7" s="324" t="s">
        <v>106</v>
      </c>
      <c r="D7" s="259"/>
      <c r="E7" s="109">
        <f t="shared" si="0"/>
        <v>0</v>
      </c>
      <c r="F7" s="109">
        <f t="shared" si="0"/>
        <v>1</v>
      </c>
      <c r="G7" s="109">
        <f t="shared" si="0"/>
        <v>4</v>
      </c>
      <c r="H7" s="109">
        <f t="shared" si="0"/>
        <v>19</v>
      </c>
      <c r="I7" s="109">
        <f t="shared" si="0"/>
        <v>5</v>
      </c>
      <c r="J7" s="109">
        <f t="shared" si="0"/>
        <v>16</v>
      </c>
      <c r="K7" s="109">
        <f t="shared" si="0"/>
        <v>6</v>
      </c>
      <c r="L7" s="109">
        <f t="shared" si="0"/>
        <v>0</v>
      </c>
      <c r="M7" s="109">
        <f t="shared" si="0"/>
        <v>9</v>
      </c>
      <c r="N7" s="109">
        <f t="shared" si="0"/>
        <v>0</v>
      </c>
      <c r="O7" s="109">
        <f t="shared" si="1"/>
        <v>0</v>
      </c>
      <c r="P7" s="109">
        <f t="shared" si="1"/>
        <v>0</v>
      </c>
      <c r="Q7" s="109">
        <f t="shared" si="1"/>
        <v>0</v>
      </c>
      <c r="R7" s="109">
        <f t="shared" si="1"/>
        <v>0</v>
      </c>
      <c r="S7" s="109">
        <f t="shared" si="1"/>
        <v>15</v>
      </c>
      <c r="T7" s="109">
        <f t="shared" si="1"/>
        <v>2</v>
      </c>
      <c r="U7" s="109">
        <f t="shared" si="1"/>
        <v>18</v>
      </c>
      <c r="V7" s="109">
        <f t="shared" si="1"/>
        <v>18</v>
      </c>
      <c r="W7" s="109">
        <f t="shared" si="1"/>
        <v>2</v>
      </c>
      <c r="X7" s="109">
        <f t="shared" si="1"/>
        <v>34</v>
      </c>
      <c r="Y7" s="109">
        <f t="shared" si="1"/>
        <v>4</v>
      </c>
      <c r="Z7" s="109">
        <f t="shared" si="1"/>
        <v>38</v>
      </c>
      <c r="AA7" s="172">
        <f t="shared" si="2"/>
        <v>191</v>
      </c>
      <c r="AB7" s="108" t="str">
        <f t="shared" si="3"/>
        <v>Dumoulin</v>
      </c>
    </row>
    <row r="8" spans="2:28">
      <c r="B8" s="322" t="s">
        <v>140</v>
      </c>
      <c r="C8" s="324" t="s">
        <v>72</v>
      </c>
      <c r="D8" s="259"/>
      <c r="E8" s="109">
        <f t="shared" si="0"/>
        <v>31</v>
      </c>
      <c r="F8" s="109">
        <f t="shared" si="0"/>
        <v>4</v>
      </c>
      <c r="G8" s="109">
        <f t="shared" si="0"/>
        <v>25</v>
      </c>
      <c r="H8" s="109">
        <f t="shared" si="0"/>
        <v>5</v>
      </c>
      <c r="I8" s="109">
        <f t="shared" si="0"/>
        <v>28</v>
      </c>
      <c r="J8" s="109">
        <f t="shared" si="0"/>
        <v>4</v>
      </c>
      <c r="K8" s="109">
        <f t="shared" si="0"/>
        <v>18</v>
      </c>
      <c r="L8" s="109">
        <f t="shared" si="0"/>
        <v>5</v>
      </c>
      <c r="M8" s="109">
        <f t="shared" si="0"/>
        <v>5</v>
      </c>
      <c r="N8" s="109">
        <f t="shared" si="0"/>
        <v>30</v>
      </c>
      <c r="O8" s="109">
        <f t="shared" si="1"/>
        <v>4</v>
      </c>
      <c r="P8" s="109">
        <f t="shared" si="1"/>
        <v>17</v>
      </c>
      <c r="Q8" s="109">
        <f t="shared" si="1"/>
        <v>4</v>
      </c>
      <c r="R8" s="109">
        <f t="shared" si="1"/>
        <v>28</v>
      </c>
      <c r="S8" s="109">
        <f t="shared" si="1"/>
        <v>4</v>
      </c>
      <c r="T8" s="109">
        <f t="shared" si="1"/>
        <v>4</v>
      </c>
      <c r="U8" s="109">
        <f t="shared" si="1"/>
        <v>4</v>
      </c>
      <c r="V8" s="109">
        <f t="shared" si="1"/>
        <v>4</v>
      </c>
      <c r="W8" s="109">
        <f t="shared" si="1"/>
        <v>21</v>
      </c>
      <c r="X8" s="109">
        <f t="shared" si="1"/>
        <v>4</v>
      </c>
      <c r="Y8" s="109">
        <f t="shared" si="1"/>
        <v>30</v>
      </c>
      <c r="Z8" s="109">
        <f t="shared" si="1"/>
        <v>7</v>
      </c>
      <c r="AA8" s="172">
        <f t="shared" si="2"/>
        <v>286</v>
      </c>
      <c r="AB8" s="108" t="str">
        <f t="shared" si="3"/>
        <v>Sagan</v>
      </c>
    </row>
    <row r="9" spans="2:28">
      <c r="B9" s="322" t="s">
        <v>153</v>
      </c>
      <c r="C9" s="324" t="s">
        <v>154</v>
      </c>
      <c r="D9" s="259"/>
      <c r="E9" s="109">
        <f t="shared" si="0"/>
        <v>0</v>
      </c>
      <c r="F9" s="109">
        <f t="shared" si="0"/>
        <v>46</v>
      </c>
      <c r="G9" s="109">
        <f t="shared" si="0"/>
        <v>10</v>
      </c>
      <c r="H9" s="109">
        <f t="shared" si="0"/>
        <v>32</v>
      </c>
      <c r="I9" s="109">
        <f t="shared" si="0"/>
        <v>10</v>
      </c>
      <c r="J9" s="109">
        <f t="shared" si="0"/>
        <v>22</v>
      </c>
      <c r="K9" s="109">
        <f t="shared" si="0"/>
        <v>14</v>
      </c>
      <c r="L9" s="109">
        <f t="shared" si="0"/>
        <v>0</v>
      </c>
      <c r="M9" s="109">
        <f t="shared" si="0"/>
        <v>0</v>
      </c>
      <c r="N9" s="109">
        <f t="shared" si="0"/>
        <v>0</v>
      </c>
      <c r="O9" s="109">
        <f t="shared" si="1"/>
        <v>0</v>
      </c>
      <c r="P9" s="109">
        <f t="shared" si="1"/>
        <v>15</v>
      </c>
      <c r="Q9" s="109">
        <f t="shared" si="1"/>
        <v>0</v>
      </c>
      <c r="R9" s="109">
        <f t="shared" si="1"/>
        <v>0</v>
      </c>
      <c r="S9" s="109">
        <f t="shared" si="1"/>
        <v>0</v>
      </c>
      <c r="T9" s="109">
        <f t="shared" si="1"/>
        <v>16</v>
      </c>
      <c r="U9" s="109">
        <f t="shared" si="1"/>
        <v>0</v>
      </c>
      <c r="V9" s="109">
        <f t="shared" si="1"/>
        <v>0</v>
      </c>
      <c r="W9" s="109">
        <f t="shared" si="1"/>
        <v>0</v>
      </c>
      <c r="X9" s="109">
        <f t="shared" si="1"/>
        <v>0</v>
      </c>
      <c r="Y9" s="109">
        <f t="shared" si="1"/>
        <v>0</v>
      </c>
      <c r="Z9" s="109">
        <f t="shared" si="1"/>
        <v>0</v>
      </c>
      <c r="AA9" s="172">
        <f t="shared" si="2"/>
        <v>165</v>
      </c>
      <c r="AB9" s="108" t="str">
        <f t="shared" si="3"/>
        <v>Alaphilippe</v>
      </c>
    </row>
    <row r="10" spans="2:28">
      <c r="B10" s="322" t="s">
        <v>190</v>
      </c>
      <c r="C10" s="324" t="s">
        <v>191</v>
      </c>
      <c r="D10" s="259"/>
      <c r="E10" s="109">
        <f t="shared" si="0"/>
        <v>33</v>
      </c>
      <c r="F10" s="109">
        <f t="shared" si="0"/>
        <v>2</v>
      </c>
      <c r="G10" s="109">
        <f t="shared" si="0"/>
        <v>33</v>
      </c>
      <c r="H10" s="109">
        <f t="shared" si="0"/>
        <v>4</v>
      </c>
      <c r="I10" s="109">
        <f t="shared" si="0"/>
        <v>31</v>
      </c>
      <c r="J10" s="109">
        <f t="shared" si="0"/>
        <v>5</v>
      </c>
      <c r="K10" s="109">
        <f t="shared" si="0"/>
        <v>4</v>
      </c>
      <c r="L10" s="109">
        <f t="shared" si="0"/>
        <v>4</v>
      </c>
      <c r="M10" s="109">
        <f t="shared" si="0"/>
        <v>4</v>
      </c>
      <c r="N10" s="109">
        <f t="shared" si="0"/>
        <v>40</v>
      </c>
      <c r="O10" s="109">
        <f t="shared" si="1"/>
        <v>35</v>
      </c>
      <c r="P10" s="109">
        <f t="shared" si="1"/>
        <v>5</v>
      </c>
      <c r="Q10" s="109">
        <f t="shared" si="1"/>
        <v>5</v>
      </c>
      <c r="R10" s="109">
        <f t="shared" si="1"/>
        <v>5</v>
      </c>
      <c r="S10" s="109">
        <f t="shared" si="1"/>
        <v>5</v>
      </c>
      <c r="T10" s="109">
        <f t="shared" si="1"/>
        <v>5</v>
      </c>
      <c r="U10" s="109">
        <f t="shared" si="1"/>
        <v>5</v>
      </c>
      <c r="V10" s="109">
        <f t="shared" si="1"/>
        <v>5</v>
      </c>
      <c r="W10" s="109">
        <f t="shared" si="1"/>
        <v>23</v>
      </c>
      <c r="X10" s="109">
        <f t="shared" si="1"/>
        <v>5</v>
      </c>
      <c r="Y10" s="109">
        <f t="shared" si="1"/>
        <v>40</v>
      </c>
      <c r="Z10" s="109">
        <f t="shared" si="1"/>
        <v>10</v>
      </c>
      <c r="AA10" s="172">
        <f t="shared" si="2"/>
        <v>308</v>
      </c>
      <c r="AB10" s="108" t="str">
        <f t="shared" si="3"/>
        <v>Bennett</v>
      </c>
    </row>
    <row r="11" spans="2:28">
      <c r="B11" s="322" t="s">
        <v>170</v>
      </c>
      <c r="C11" s="324" t="s">
        <v>86</v>
      </c>
      <c r="D11" s="259"/>
      <c r="E11" s="109">
        <f t="shared" ref="E11:L12" si="4">INDEX(scorematrix,MATCH($C11,renners,0),MATCH(E$3,etappes,0))</f>
        <v>0</v>
      </c>
      <c r="F11" s="109">
        <f t="shared" si="4"/>
        <v>0</v>
      </c>
      <c r="G11" s="109">
        <f t="shared" si="4"/>
        <v>0</v>
      </c>
      <c r="H11" s="109">
        <f t="shared" si="4"/>
        <v>18</v>
      </c>
      <c r="I11" s="109">
        <f t="shared" si="4"/>
        <v>0</v>
      </c>
      <c r="J11" s="109">
        <f t="shared" si="4"/>
        <v>12</v>
      </c>
      <c r="K11" s="109">
        <f t="shared" si="4"/>
        <v>10</v>
      </c>
      <c r="L11" s="109">
        <f t="shared" si="4"/>
        <v>0</v>
      </c>
      <c r="M11" s="352"/>
      <c r="N11" s="352"/>
      <c r="O11" s="352"/>
      <c r="P11" s="352"/>
      <c r="Q11" s="352"/>
      <c r="R11" s="352"/>
      <c r="S11" s="352"/>
      <c r="T11" s="352"/>
      <c r="U11" s="352"/>
      <c r="V11" s="352"/>
      <c r="W11" s="352"/>
      <c r="X11" s="352"/>
      <c r="Y11" s="352"/>
      <c r="Z11" s="352"/>
      <c r="AA11" s="172">
        <f t="shared" si="2"/>
        <v>40</v>
      </c>
      <c r="AB11" s="108" t="str">
        <f t="shared" si="3"/>
        <v>Pinot</v>
      </c>
    </row>
    <row r="12" spans="2:28">
      <c r="B12" s="322" t="s">
        <v>139</v>
      </c>
      <c r="C12" s="324" t="s">
        <v>133</v>
      </c>
      <c r="D12" s="259"/>
      <c r="E12" s="109">
        <f t="shared" si="4"/>
        <v>0</v>
      </c>
      <c r="F12" s="109">
        <f t="shared" si="4"/>
        <v>0</v>
      </c>
      <c r="G12" s="109">
        <f t="shared" si="4"/>
        <v>0</v>
      </c>
      <c r="H12" s="109">
        <f t="shared" si="4"/>
        <v>17</v>
      </c>
      <c r="I12" s="109">
        <f t="shared" si="4"/>
        <v>0</v>
      </c>
      <c r="J12" s="109">
        <f t="shared" si="4"/>
        <v>0</v>
      </c>
      <c r="K12" s="109">
        <f t="shared" si="4"/>
        <v>0</v>
      </c>
      <c r="L12" s="109">
        <f t="shared" si="4"/>
        <v>12</v>
      </c>
      <c r="M12" s="109">
        <f t="shared" ref="M12:Z12" si="5">INDEX(scorematrix,MATCH($C12,renners,0),MATCH(M$3,etappes,0))</f>
        <v>23</v>
      </c>
      <c r="N12" s="109">
        <f t="shared" si="5"/>
        <v>1</v>
      </c>
      <c r="O12" s="109">
        <f t="shared" si="5"/>
        <v>1</v>
      </c>
      <c r="P12" s="109">
        <f t="shared" si="5"/>
        <v>1</v>
      </c>
      <c r="Q12" s="109">
        <f t="shared" si="5"/>
        <v>14</v>
      </c>
      <c r="R12" s="109">
        <f t="shared" si="5"/>
        <v>3</v>
      </c>
      <c r="S12" s="109">
        <f t="shared" si="5"/>
        <v>23</v>
      </c>
      <c r="T12" s="109">
        <f t="shared" si="5"/>
        <v>4</v>
      </c>
      <c r="U12" s="109">
        <f t="shared" si="5"/>
        <v>23</v>
      </c>
      <c r="V12" s="109">
        <f t="shared" si="5"/>
        <v>24</v>
      </c>
      <c r="W12" s="109">
        <f t="shared" si="5"/>
        <v>6</v>
      </c>
      <c r="X12" s="109">
        <f t="shared" si="5"/>
        <v>19</v>
      </c>
      <c r="Y12" s="109">
        <f t="shared" si="5"/>
        <v>7</v>
      </c>
      <c r="Z12" s="109">
        <f t="shared" si="5"/>
        <v>48</v>
      </c>
      <c r="AA12" s="172">
        <f t="shared" si="2"/>
        <v>226</v>
      </c>
      <c r="AB12" s="108" t="str">
        <f t="shared" si="3"/>
        <v>Landa</v>
      </c>
    </row>
    <row r="13" spans="2:28">
      <c r="B13" s="322" t="s">
        <v>192</v>
      </c>
      <c r="C13" s="324" t="s">
        <v>193</v>
      </c>
      <c r="D13" s="259"/>
      <c r="E13" s="109">
        <f t="shared" ref="E13:J20" si="6">INDEX(scorematrix,MATCH($C13,renners,0),MATCH(E$3,etappes,0))</f>
        <v>0</v>
      </c>
      <c r="F13" s="109">
        <f t="shared" si="6"/>
        <v>0</v>
      </c>
      <c r="G13" s="109">
        <f t="shared" si="6"/>
        <v>0</v>
      </c>
      <c r="H13" s="109">
        <f t="shared" si="6"/>
        <v>0</v>
      </c>
      <c r="I13" s="109">
        <f t="shared" si="6"/>
        <v>0</v>
      </c>
      <c r="J13" s="109">
        <f t="shared" si="6"/>
        <v>1</v>
      </c>
      <c r="K13" s="350"/>
      <c r="L13" s="350"/>
      <c r="M13" s="350"/>
      <c r="N13" s="350"/>
      <c r="O13" s="350"/>
      <c r="P13" s="350"/>
      <c r="Q13" s="350"/>
      <c r="R13" s="350"/>
      <c r="S13" s="350"/>
      <c r="T13" s="350"/>
      <c r="U13" s="350"/>
      <c r="V13" s="350"/>
      <c r="W13" s="350"/>
      <c r="X13" s="350"/>
      <c r="Y13" s="350"/>
      <c r="Z13" s="350"/>
      <c r="AA13" s="172">
        <f t="shared" si="2"/>
        <v>1</v>
      </c>
      <c r="AB13" s="108" t="str">
        <f t="shared" si="3"/>
        <v>Martinez</v>
      </c>
    </row>
    <row r="14" spans="2:28">
      <c r="B14" s="322" t="s">
        <v>137</v>
      </c>
      <c r="C14" s="324" t="s">
        <v>132</v>
      </c>
      <c r="D14" s="259"/>
      <c r="E14" s="109">
        <f t="shared" si="6"/>
        <v>0</v>
      </c>
      <c r="F14" s="109">
        <f t="shared" si="6"/>
        <v>8</v>
      </c>
      <c r="G14" s="109">
        <f t="shared" si="6"/>
        <v>0</v>
      </c>
      <c r="H14" s="109">
        <f t="shared" si="6"/>
        <v>26</v>
      </c>
      <c r="I14" s="109">
        <f t="shared" si="6"/>
        <v>4</v>
      </c>
      <c r="J14" s="109">
        <f t="shared" si="6"/>
        <v>16</v>
      </c>
      <c r="K14" s="109">
        <f t="shared" ref="K14:Z19" si="7">INDEX(scorematrix,MATCH($C14,renners,0),MATCH(K$3,etappes,0))</f>
        <v>5</v>
      </c>
      <c r="L14" s="109">
        <f t="shared" si="7"/>
        <v>14</v>
      </c>
      <c r="M14" s="109">
        <f t="shared" si="7"/>
        <v>21</v>
      </c>
      <c r="N14" s="109">
        <f t="shared" si="7"/>
        <v>6</v>
      </c>
      <c r="O14" s="109">
        <f t="shared" si="7"/>
        <v>6</v>
      </c>
      <c r="P14" s="109">
        <f t="shared" si="7"/>
        <v>6</v>
      </c>
      <c r="Q14" s="109">
        <f t="shared" si="7"/>
        <v>6</v>
      </c>
      <c r="R14" s="109">
        <f t="shared" si="7"/>
        <v>6</v>
      </c>
      <c r="S14" s="109">
        <f t="shared" si="7"/>
        <v>10</v>
      </c>
      <c r="T14" s="109">
        <f t="shared" si="7"/>
        <v>1</v>
      </c>
      <c r="U14" s="109">
        <f t="shared" si="7"/>
        <v>0</v>
      </c>
      <c r="V14" s="109">
        <f t="shared" si="7"/>
        <v>0</v>
      </c>
      <c r="W14" s="109">
        <f t="shared" si="7"/>
        <v>0</v>
      </c>
      <c r="X14" s="109">
        <f t="shared" si="7"/>
        <v>0</v>
      </c>
      <c r="Y14" s="109">
        <f t="shared" si="7"/>
        <v>0</v>
      </c>
      <c r="Z14" s="109">
        <f t="shared" si="7"/>
        <v>18</v>
      </c>
      <c r="AA14" s="172">
        <f t="shared" si="2"/>
        <v>153</v>
      </c>
      <c r="AB14" s="108" t="str">
        <f t="shared" si="3"/>
        <v>Quintana</v>
      </c>
    </row>
    <row r="15" spans="2:28">
      <c r="B15" s="322" t="s">
        <v>194</v>
      </c>
      <c r="C15" s="324" t="s">
        <v>195</v>
      </c>
      <c r="D15" s="259"/>
      <c r="E15" s="109">
        <f t="shared" si="6"/>
        <v>17</v>
      </c>
      <c r="F15" s="109">
        <f t="shared" si="6"/>
        <v>0</v>
      </c>
      <c r="G15" s="109">
        <f t="shared" si="6"/>
        <v>7</v>
      </c>
      <c r="H15" s="109">
        <f t="shared" si="6"/>
        <v>0</v>
      </c>
      <c r="I15" s="109">
        <f t="shared" si="6"/>
        <v>22</v>
      </c>
      <c r="J15" s="109">
        <f t="shared" si="6"/>
        <v>0</v>
      </c>
      <c r="K15" s="109">
        <f t="shared" si="7"/>
        <v>22</v>
      </c>
      <c r="L15" s="109">
        <f t="shared" si="7"/>
        <v>0</v>
      </c>
      <c r="M15" s="109">
        <f t="shared" si="7"/>
        <v>0</v>
      </c>
      <c r="N15" s="109">
        <f t="shared" si="7"/>
        <v>17</v>
      </c>
      <c r="O15" s="109">
        <f t="shared" si="7"/>
        <v>0</v>
      </c>
      <c r="P15" s="109">
        <f t="shared" si="7"/>
        <v>11</v>
      </c>
      <c r="Q15" s="109">
        <f t="shared" si="7"/>
        <v>0</v>
      </c>
      <c r="R15" s="109">
        <f t="shared" si="7"/>
        <v>20</v>
      </c>
      <c r="S15" s="109">
        <f t="shared" si="7"/>
        <v>0</v>
      </c>
      <c r="T15" s="109">
        <f t="shared" si="7"/>
        <v>0</v>
      </c>
      <c r="U15" s="109">
        <f t="shared" si="7"/>
        <v>0</v>
      </c>
      <c r="V15" s="109">
        <f t="shared" si="7"/>
        <v>0</v>
      </c>
      <c r="W15" s="109">
        <f t="shared" si="7"/>
        <v>26</v>
      </c>
      <c r="X15" s="109">
        <f t="shared" si="7"/>
        <v>0</v>
      </c>
      <c r="Y15" s="109">
        <f t="shared" si="7"/>
        <v>7</v>
      </c>
      <c r="Z15" s="109">
        <f t="shared" si="7"/>
        <v>0</v>
      </c>
      <c r="AA15" s="172">
        <f t="shared" si="2"/>
        <v>149</v>
      </c>
      <c r="AB15" s="108" t="str">
        <f t="shared" si="3"/>
        <v>Stuyven</v>
      </c>
    </row>
    <row r="16" spans="2:28">
      <c r="B16" s="322" t="s">
        <v>196</v>
      </c>
      <c r="C16" s="324" t="s">
        <v>197</v>
      </c>
      <c r="D16" s="259"/>
      <c r="E16" s="109">
        <f t="shared" si="6"/>
        <v>14</v>
      </c>
      <c r="F16" s="109">
        <f t="shared" si="6"/>
        <v>3</v>
      </c>
      <c r="G16" s="109">
        <f t="shared" si="6"/>
        <v>2</v>
      </c>
      <c r="H16" s="109">
        <f t="shared" si="6"/>
        <v>2</v>
      </c>
      <c r="I16" s="109">
        <f t="shared" si="6"/>
        <v>1</v>
      </c>
      <c r="J16" s="109">
        <f t="shared" si="6"/>
        <v>1</v>
      </c>
      <c r="K16" s="109">
        <f t="shared" si="7"/>
        <v>0</v>
      </c>
      <c r="L16" s="109">
        <f t="shared" si="7"/>
        <v>0</v>
      </c>
      <c r="M16" s="109">
        <f t="shared" si="7"/>
        <v>1</v>
      </c>
      <c r="N16" s="109">
        <f t="shared" si="7"/>
        <v>16</v>
      </c>
      <c r="O16" s="109">
        <f t="shared" si="7"/>
        <v>16</v>
      </c>
      <c r="P16" s="109">
        <f t="shared" si="7"/>
        <v>1</v>
      </c>
      <c r="Q16" s="109">
        <f t="shared" si="7"/>
        <v>1</v>
      </c>
      <c r="R16" s="109">
        <f t="shared" si="7"/>
        <v>22</v>
      </c>
      <c r="S16" s="109">
        <f t="shared" si="7"/>
        <v>3</v>
      </c>
      <c r="T16" s="109">
        <f t="shared" si="7"/>
        <v>15</v>
      </c>
      <c r="U16" s="109">
        <f t="shared" si="7"/>
        <v>3</v>
      </c>
      <c r="V16" s="109">
        <f t="shared" si="7"/>
        <v>3</v>
      </c>
      <c r="W16" s="109">
        <f t="shared" si="7"/>
        <v>19</v>
      </c>
      <c r="X16" s="109">
        <f t="shared" si="7"/>
        <v>3</v>
      </c>
      <c r="Y16" s="109">
        <f t="shared" si="7"/>
        <v>12</v>
      </c>
      <c r="Z16" s="109">
        <f t="shared" si="7"/>
        <v>5</v>
      </c>
      <c r="AA16" s="172">
        <f t="shared" si="2"/>
        <v>143</v>
      </c>
      <c r="AB16" s="108" t="str">
        <f t="shared" si="3"/>
        <v>Trentin</v>
      </c>
    </row>
    <row r="17" spans="1:28">
      <c r="B17" s="322" t="s">
        <v>166</v>
      </c>
      <c r="C17" s="324" t="s">
        <v>167</v>
      </c>
      <c r="D17" s="259"/>
      <c r="E17" s="109">
        <f t="shared" si="6"/>
        <v>25</v>
      </c>
      <c r="F17" s="109">
        <f t="shared" si="6"/>
        <v>0</v>
      </c>
      <c r="G17" s="109">
        <f t="shared" si="6"/>
        <v>0</v>
      </c>
      <c r="H17" s="109">
        <f t="shared" si="6"/>
        <v>0</v>
      </c>
      <c r="I17" s="109">
        <f t="shared" si="6"/>
        <v>0</v>
      </c>
      <c r="J17" s="109">
        <f t="shared" si="6"/>
        <v>0</v>
      </c>
      <c r="K17" s="109">
        <f t="shared" si="7"/>
        <v>0</v>
      </c>
      <c r="L17" s="109">
        <f t="shared" si="7"/>
        <v>0</v>
      </c>
      <c r="M17" s="109">
        <f t="shared" si="7"/>
        <v>0</v>
      </c>
      <c r="N17" s="109">
        <f t="shared" si="7"/>
        <v>24</v>
      </c>
      <c r="O17" s="109">
        <f t="shared" si="7"/>
        <v>9</v>
      </c>
      <c r="P17" s="109">
        <f t="shared" si="7"/>
        <v>0</v>
      </c>
      <c r="Q17" s="109">
        <f t="shared" si="7"/>
        <v>0</v>
      </c>
      <c r="R17" s="109">
        <f t="shared" si="7"/>
        <v>0</v>
      </c>
      <c r="S17" s="109">
        <f t="shared" si="7"/>
        <v>0</v>
      </c>
      <c r="T17" s="109">
        <f t="shared" si="7"/>
        <v>0</v>
      </c>
      <c r="U17" s="109">
        <f t="shared" si="7"/>
        <v>0</v>
      </c>
      <c r="V17" s="109">
        <f t="shared" si="7"/>
        <v>0</v>
      </c>
      <c r="W17" s="109">
        <f t="shared" si="7"/>
        <v>0</v>
      </c>
      <c r="X17" s="109">
        <f t="shared" si="7"/>
        <v>0</v>
      </c>
      <c r="Y17" s="109">
        <f t="shared" si="7"/>
        <v>22</v>
      </c>
      <c r="Z17" s="109">
        <f t="shared" si="7"/>
        <v>0</v>
      </c>
      <c r="AA17" s="172">
        <f t="shared" si="2"/>
        <v>80</v>
      </c>
      <c r="AB17" s="108" t="str">
        <f t="shared" si="3"/>
        <v>Viviani</v>
      </c>
    </row>
    <row r="18" spans="1:28">
      <c r="B18" s="322" t="s">
        <v>198</v>
      </c>
      <c r="C18" s="324" t="s">
        <v>199</v>
      </c>
      <c r="D18" s="259"/>
      <c r="E18" s="109">
        <f t="shared" si="6"/>
        <v>11</v>
      </c>
      <c r="F18" s="109">
        <f t="shared" si="6"/>
        <v>27</v>
      </c>
      <c r="G18" s="109">
        <f t="shared" si="6"/>
        <v>11</v>
      </c>
      <c r="H18" s="109">
        <f t="shared" si="6"/>
        <v>44</v>
      </c>
      <c r="I18" s="109">
        <f t="shared" si="6"/>
        <v>15</v>
      </c>
      <c r="J18" s="109">
        <f t="shared" si="6"/>
        <v>28</v>
      </c>
      <c r="K18" s="109">
        <f t="shared" si="7"/>
        <v>2</v>
      </c>
      <c r="L18" s="109">
        <f t="shared" si="7"/>
        <v>23</v>
      </c>
      <c r="M18" s="109">
        <f t="shared" si="7"/>
        <v>43</v>
      </c>
      <c r="N18" s="109">
        <f t="shared" si="7"/>
        <v>8</v>
      </c>
      <c r="O18" s="109">
        <f t="shared" si="7"/>
        <v>8</v>
      </c>
      <c r="P18" s="109">
        <f t="shared" si="7"/>
        <v>8</v>
      </c>
      <c r="Q18" s="109">
        <f t="shared" si="7"/>
        <v>27</v>
      </c>
      <c r="R18" s="109">
        <f t="shared" si="7"/>
        <v>28</v>
      </c>
      <c r="S18" s="109">
        <f t="shared" si="7"/>
        <v>53</v>
      </c>
      <c r="T18" s="109">
        <f t="shared" si="7"/>
        <v>17</v>
      </c>
      <c r="U18" s="109">
        <f t="shared" si="7"/>
        <v>45</v>
      </c>
      <c r="V18" s="109">
        <f t="shared" si="7"/>
        <v>40</v>
      </c>
      <c r="W18" s="109">
        <f t="shared" si="7"/>
        <v>18</v>
      </c>
      <c r="X18" s="109">
        <f t="shared" si="7"/>
        <v>55</v>
      </c>
      <c r="Y18" s="109">
        <f t="shared" si="7"/>
        <v>20</v>
      </c>
      <c r="Z18" s="109">
        <f t="shared" si="7"/>
        <v>90</v>
      </c>
      <c r="AA18" s="172">
        <f t="shared" si="2"/>
        <v>621</v>
      </c>
      <c r="AB18" s="108" t="str">
        <f t="shared" si="3"/>
        <v>Pogacar</v>
      </c>
    </row>
    <row r="19" spans="1:28">
      <c r="B19" s="322" t="s">
        <v>164</v>
      </c>
      <c r="C19" s="324" t="s">
        <v>165</v>
      </c>
      <c r="D19" s="259"/>
      <c r="E19" s="109">
        <f t="shared" si="6"/>
        <v>7</v>
      </c>
      <c r="F19" s="109">
        <f t="shared" si="6"/>
        <v>0</v>
      </c>
      <c r="G19" s="109">
        <f t="shared" si="6"/>
        <v>36</v>
      </c>
      <c r="H19" s="109">
        <f t="shared" si="6"/>
        <v>0</v>
      </c>
      <c r="I19" s="109">
        <f t="shared" si="6"/>
        <v>20</v>
      </c>
      <c r="J19" s="109">
        <f t="shared" si="6"/>
        <v>2</v>
      </c>
      <c r="K19" s="109">
        <f t="shared" si="7"/>
        <v>0</v>
      </c>
      <c r="L19" s="109">
        <f t="shared" si="7"/>
        <v>0</v>
      </c>
      <c r="M19" s="109">
        <f t="shared" si="7"/>
        <v>0</v>
      </c>
      <c r="N19" s="109">
        <f t="shared" si="7"/>
        <v>30</v>
      </c>
      <c r="O19" s="109">
        <f t="shared" si="7"/>
        <v>37</v>
      </c>
      <c r="P19" s="109">
        <f t="shared" si="7"/>
        <v>2</v>
      </c>
      <c r="Q19" s="109">
        <f t="shared" si="7"/>
        <v>2</v>
      </c>
      <c r="R19" s="109">
        <f t="shared" si="7"/>
        <v>1</v>
      </c>
      <c r="S19" s="109">
        <f t="shared" si="7"/>
        <v>1</v>
      </c>
      <c r="T19" s="109">
        <f t="shared" si="7"/>
        <v>1</v>
      </c>
      <c r="U19" s="109">
        <f t="shared" si="7"/>
        <v>1</v>
      </c>
      <c r="V19" s="109">
        <f t="shared" si="7"/>
        <v>1</v>
      </c>
      <c r="W19" s="109">
        <f t="shared" si="7"/>
        <v>1</v>
      </c>
      <c r="X19" s="109">
        <f t="shared" si="7"/>
        <v>0</v>
      </c>
      <c r="Y19" s="109">
        <f t="shared" si="7"/>
        <v>19</v>
      </c>
      <c r="Z19" s="109">
        <f t="shared" si="7"/>
        <v>0</v>
      </c>
      <c r="AA19" s="172">
        <f t="shared" si="2"/>
        <v>161</v>
      </c>
      <c r="AB19" s="108" t="str">
        <f t="shared" si="3"/>
        <v>Ewan</v>
      </c>
    </row>
    <row r="20" spans="1:28" s="157" customFormat="1">
      <c r="B20" s="322" t="s">
        <v>200</v>
      </c>
      <c r="C20" s="324" t="s">
        <v>201</v>
      </c>
      <c r="D20" s="259"/>
      <c r="E20" s="109">
        <f t="shared" si="6"/>
        <v>23</v>
      </c>
      <c r="F20" s="109">
        <f t="shared" si="6"/>
        <v>0</v>
      </c>
      <c r="G20" s="109">
        <f t="shared" si="6"/>
        <v>26</v>
      </c>
      <c r="H20" s="109">
        <f t="shared" si="6"/>
        <v>1</v>
      </c>
      <c r="I20" s="109">
        <f t="shared" si="6"/>
        <v>15</v>
      </c>
      <c r="J20" s="109">
        <f t="shared" si="6"/>
        <v>0</v>
      </c>
      <c r="K20" s="109">
        <f>INDEX(scorematrix,MATCH($C20,renners,0),MATCH(K$3,etappes,0))</f>
        <v>0</v>
      </c>
      <c r="L20" s="109">
        <f>INDEX(scorematrix,MATCH($C20,renners,0),MATCH(L$3,etappes,0))</f>
        <v>0</v>
      </c>
      <c r="M20" s="354"/>
      <c r="N20" s="354"/>
      <c r="O20" s="354"/>
      <c r="P20" s="354"/>
      <c r="Q20" s="354"/>
      <c r="R20" s="354"/>
      <c r="S20" s="354"/>
      <c r="T20" s="354"/>
      <c r="U20" s="354"/>
      <c r="V20" s="354"/>
      <c r="W20" s="354"/>
      <c r="X20" s="354"/>
      <c r="Y20" s="354"/>
      <c r="Z20" s="354"/>
      <c r="AA20" s="172">
        <f t="shared" si="2"/>
        <v>65</v>
      </c>
      <c r="AB20" s="108" t="str">
        <f t="shared" si="3"/>
        <v>Nizzolo</v>
      </c>
    </row>
    <row r="21" spans="1:28" s="158" customFormat="1">
      <c r="B21" s="325"/>
      <c r="C21" s="326"/>
      <c r="D21" s="165"/>
      <c r="E21" s="167"/>
      <c r="F21" s="167"/>
      <c r="G21" s="167"/>
      <c r="H21" s="167"/>
      <c r="I21" s="167"/>
      <c r="J21" s="167"/>
      <c r="K21" s="167">
        <f>K25</f>
        <v>14</v>
      </c>
      <c r="L21" s="167">
        <f t="shared" ref="L21" si="8">L25</f>
        <v>19</v>
      </c>
      <c r="M21" s="167">
        <f>M25+M24+M26</f>
        <v>50</v>
      </c>
      <c r="N21" s="167">
        <f t="shared" ref="N21:Z21" si="9">N25+N24+N26</f>
        <v>13</v>
      </c>
      <c r="O21" s="167">
        <f t="shared" si="9"/>
        <v>13</v>
      </c>
      <c r="P21" s="167">
        <f t="shared" si="9"/>
        <v>13</v>
      </c>
      <c r="Q21" s="167">
        <f t="shared" si="9"/>
        <v>19</v>
      </c>
      <c r="R21" s="167">
        <f t="shared" si="9"/>
        <v>9</v>
      </c>
      <c r="S21" s="167">
        <f t="shared" si="9"/>
        <v>72</v>
      </c>
      <c r="T21" s="167">
        <f t="shared" si="9"/>
        <v>20</v>
      </c>
      <c r="U21" s="167">
        <f t="shared" si="9"/>
        <v>85</v>
      </c>
      <c r="V21" s="167">
        <f t="shared" si="9"/>
        <v>59</v>
      </c>
      <c r="W21" s="167">
        <f t="shared" si="9"/>
        <v>18</v>
      </c>
      <c r="X21" s="167">
        <f t="shared" si="9"/>
        <v>33</v>
      </c>
      <c r="Y21" s="167">
        <f t="shared" si="9"/>
        <v>16</v>
      </c>
      <c r="Z21" s="167">
        <f t="shared" si="9"/>
        <v>122</v>
      </c>
      <c r="AA21" s="225">
        <f t="shared" ref="AA21" si="10">SUM(E21:Z21)</f>
        <v>575</v>
      </c>
    </row>
    <row r="22" spans="1:28" s="112" customFormat="1">
      <c r="B22" s="327"/>
      <c r="C22" s="328"/>
      <c r="D22" s="166"/>
      <c r="E22" s="159">
        <f t="shared" ref="E22:AA22" si="11">SUM(E4:E21)</f>
        <v>161</v>
      </c>
      <c r="F22" s="159">
        <f t="shared" ref="F22" si="12">SUM(F4:F21)</f>
        <v>113</v>
      </c>
      <c r="G22" s="159">
        <f>SUM(G4:G21)</f>
        <v>162</v>
      </c>
      <c r="H22" s="159">
        <f t="shared" si="11"/>
        <v>242</v>
      </c>
      <c r="I22" s="159">
        <f t="shared" si="11"/>
        <v>181</v>
      </c>
      <c r="J22" s="159">
        <f t="shared" si="11"/>
        <v>163</v>
      </c>
      <c r="K22" s="159">
        <f t="shared" si="11"/>
        <v>136</v>
      </c>
      <c r="L22" s="159">
        <f t="shared" si="11"/>
        <v>120</v>
      </c>
      <c r="M22" s="159">
        <f t="shared" si="11"/>
        <v>246</v>
      </c>
      <c r="N22" s="159">
        <f t="shared" si="11"/>
        <v>209</v>
      </c>
      <c r="O22" s="159">
        <f t="shared" si="11"/>
        <v>153</v>
      </c>
      <c r="P22" s="159">
        <f t="shared" si="11"/>
        <v>103</v>
      </c>
      <c r="Q22" s="159">
        <f t="shared" si="11"/>
        <v>122</v>
      </c>
      <c r="R22" s="159">
        <f t="shared" si="11"/>
        <v>144</v>
      </c>
      <c r="S22" s="159">
        <f t="shared" si="11"/>
        <v>232</v>
      </c>
      <c r="T22" s="159">
        <f t="shared" si="11"/>
        <v>130</v>
      </c>
      <c r="U22" s="159">
        <f t="shared" si="11"/>
        <v>243</v>
      </c>
      <c r="V22" s="159">
        <f t="shared" si="11"/>
        <v>226</v>
      </c>
      <c r="W22" s="159">
        <f t="shared" si="11"/>
        <v>152</v>
      </c>
      <c r="X22" s="159">
        <f t="shared" si="11"/>
        <v>191</v>
      </c>
      <c r="Y22" s="159">
        <f t="shared" si="11"/>
        <v>193</v>
      </c>
      <c r="Z22" s="159">
        <f t="shared" si="11"/>
        <v>436</v>
      </c>
      <c r="AA22" s="222">
        <f t="shared" si="11"/>
        <v>4058</v>
      </c>
    </row>
    <row r="23" spans="1:28" s="160" customFormat="1">
      <c r="A23" s="330" t="s">
        <v>206</v>
      </c>
      <c r="B23" s="329"/>
      <c r="C23" s="330"/>
      <c r="D23" s="16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1:28" s="162" customFormat="1">
      <c r="B24" s="196" t="s">
        <v>168</v>
      </c>
      <c r="C24" s="194" t="s">
        <v>169</v>
      </c>
      <c r="D24" s="262"/>
      <c r="E24" s="179">
        <f t="shared" ref="E24:Z26" si="13">INDEX(scorematrix,MATCH($C24,renners,0),MATCH(E$3,etappes,0))</f>
        <v>0</v>
      </c>
      <c r="F24" s="179">
        <f t="shared" si="13"/>
        <v>1</v>
      </c>
      <c r="G24" s="179">
        <f t="shared" si="13"/>
        <v>1</v>
      </c>
      <c r="H24" s="179">
        <f t="shared" si="13"/>
        <v>11</v>
      </c>
      <c r="I24" s="179">
        <f t="shared" si="13"/>
        <v>3</v>
      </c>
      <c r="J24" s="179">
        <f t="shared" si="13"/>
        <v>3</v>
      </c>
      <c r="K24" s="179">
        <f t="shared" si="13"/>
        <v>4</v>
      </c>
      <c r="L24" s="179">
        <f t="shared" si="13"/>
        <v>10</v>
      </c>
      <c r="M24" s="353">
        <f t="shared" si="13"/>
        <v>11</v>
      </c>
      <c r="N24" s="353">
        <f t="shared" si="13"/>
        <v>3</v>
      </c>
      <c r="O24" s="353">
        <f t="shared" si="13"/>
        <v>3</v>
      </c>
      <c r="P24" s="353">
        <f t="shared" si="13"/>
        <v>3</v>
      </c>
      <c r="Q24" s="353">
        <f t="shared" si="13"/>
        <v>4</v>
      </c>
      <c r="R24" s="353">
        <f t="shared" si="13"/>
        <v>4</v>
      </c>
      <c r="S24" s="353">
        <f t="shared" si="13"/>
        <v>29</v>
      </c>
      <c r="T24" s="353">
        <f t="shared" si="13"/>
        <v>7</v>
      </c>
      <c r="U24" s="353">
        <f t="shared" si="13"/>
        <v>27</v>
      </c>
      <c r="V24" s="353">
        <f t="shared" si="13"/>
        <v>28</v>
      </c>
      <c r="W24" s="353">
        <f t="shared" si="13"/>
        <v>9</v>
      </c>
      <c r="X24" s="353">
        <f t="shared" si="13"/>
        <v>27</v>
      </c>
      <c r="Y24" s="353">
        <f t="shared" si="13"/>
        <v>10</v>
      </c>
      <c r="Z24" s="353">
        <f t="shared" si="13"/>
        <v>51</v>
      </c>
      <c r="AA24" s="290">
        <f>SUM(E24:Z24)</f>
        <v>249</v>
      </c>
    </row>
    <row r="25" spans="1:28" s="162" customFormat="1">
      <c r="B25" s="196" t="s">
        <v>157</v>
      </c>
      <c r="C25" s="194" t="s">
        <v>159</v>
      </c>
      <c r="D25" s="262"/>
      <c r="E25" s="179">
        <f t="shared" si="13"/>
        <v>0</v>
      </c>
      <c r="F25" s="179">
        <f t="shared" si="13"/>
        <v>15</v>
      </c>
      <c r="G25" s="179">
        <f t="shared" si="13"/>
        <v>2</v>
      </c>
      <c r="H25" s="179">
        <f t="shared" si="13"/>
        <v>32</v>
      </c>
      <c r="I25" s="179">
        <f t="shared" si="13"/>
        <v>7</v>
      </c>
      <c r="J25" s="179">
        <f t="shared" si="13"/>
        <v>7</v>
      </c>
      <c r="K25" s="349">
        <f t="shared" si="13"/>
        <v>14</v>
      </c>
      <c r="L25" s="349">
        <f t="shared" si="13"/>
        <v>19</v>
      </c>
      <c r="M25" s="349">
        <f t="shared" si="13"/>
        <v>27</v>
      </c>
      <c r="N25" s="349">
        <f t="shared" si="13"/>
        <v>8</v>
      </c>
      <c r="O25" s="349">
        <f t="shared" si="13"/>
        <v>8</v>
      </c>
      <c r="P25" s="349">
        <f t="shared" si="13"/>
        <v>8</v>
      </c>
      <c r="Q25" s="349">
        <f t="shared" si="13"/>
        <v>0</v>
      </c>
      <c r="R25" s="349">
        <f t="shared" si="13"/>
        <v>0</v>
      </c>
      <c r="S25" s="349">
        <f t="shared" si="13"/>
        <v>12</v>
      </c>
      <c r="T25" s="349">
        <f t="shared" si="13"/>
        <v>0</v>
      </c>
      <c r="U25" s="349">
        <f t="shared" si="13"/>
        <v>12</v>
      </c>
      <c r="V25" s="349">
        <f t="shared" si="13"/>
        <v>8</v>
      </c>
      <c r="W25" s="349">
        <f t="shared" si="13"/>
        <v>0</v>
      </c>
      <c r="X25" s="349">
        <f t="shared" si="13"/>
        <v>0</v>
      </c>
      <c r="Y25" s="349">
        <f t="shared" si="13"/>
        <v>0</v>
      </c>
      <c r="Z25" s="349">
        <f t="shared" si="13"/>
        <v>30</v>
      </c>
      <c r="AA25" s="290">
        <f>SUM(E25:Z25)</f>
        <v>209</v>
      </c>
    </row>
    <row r="26" spans="1:28" s="162" customFormat="1">
      <c r="B26" s="196" t="s">
        <v>203</v>
      </c>
      <c r="C26" s="194" t="s">
        <v>204</v>
      </c>
      <c r="D26" s="262"/>
      <c r="E26" s="179">
        <f t="shared" si="13"/>
        <v>0</v>
      </c>
      <c r="F26" s="179">
        <f t="shared" si="13"/>
        <v>10</v>
      </c>
      <c r="G26" s="179">
        <f t="shared" si="13"/>
        <v>0</v>
      </c>
      <c r="H26" s="179">
        <f t="shared" si="13"/>
        <v>21</v>
      </c>
      <c r="I26" s="179">
        <f t="shared" si="13"/>
        <v>9</v>
      </c>
      <c r="J26" s="179">
        <f t="shared" si="13"/>
        <v>1</v>
      </c>
      <c r="K26" s="179">
        <f t="shared" si="13"/>
        <v>3</v>
      </c>
      <c r="L26" s="179">
        <f t="shared" si="13"/>
        <v>19</v>
      </c>
      <c r="M26" s="351">
        <f t="shared" si="13"/>
        <v>12</v>
      </c>
      <c r="N26" s="351">
        <f t="shared" si="13"/>
        <v>2</v>
      </c>
      <c r="O26" s="351">
        <f t="shared" si="13"/>
        <v>2</v>
      </c>
      <c r="P26" s="351">
        <f t="shared" si="13"/>
        <v>2</v>
      </c>
      <c r="Q26" s="351">
        <f t="shared" si="13"/>
        <v>15</v>
      </c>
      <c r="R26" s="351">
        <f t="shared" si="13"/>
        <v>5</v>
      </c>
      <c r="S26" s="351">
        <f t="shared" si="13"/>
        <v>31</v>
      </c>
      <c r="T26" s="351">
        <f t="shared" si="13"/>
        <v>13</v>
      </c>
      <c r="U26" s="351">
        <f t="shared" si="13"/>
        <v>46</v>
      </c>
      <c r="V26" s="351">
        <f t="shared" si="13"/>
        <v>23</v>
      </c>
      <c r="W26" s="351">
        <f t="shared" si="13"/>
        <v>9</v>
      </c>
      <c r="X26" s="351">
        <f t="shared" si="13"/>
        <v>6</v>
      </c>
      <c r="Y26" s="351">
        <f t="shared" si="13"/>
        <v>6</v>
      </c>
      <c r="Z26" s="351">
        <f t="shared" si="13"/>
        <v>41</v>
      </c>
      <c r="AA26" s="290">
        <f>SUM(E26:Z26)</f>
        <v>276</v>
      </c>
    </row>
    <row r="28" spans="1:28">
      <c r="C28" s="291" t="s">
        <v>163</v>
      </c>
      <c r="D28" s="292">
        <f>COUNTIF($D$4:$D$21,C28)</f>
        <v>0</v>
      </c>
    </row>
    <row r="29" spans="1:28">
      <c r="C29" s="293" t="s">
        <v>10</v>
      </c>
      <c r="D29" s="292">
        <f>COUNTIF($D$4:$D$21,C29)</f>
        <v>0</v>
      </c>
    </row>
    <row r="30" spans="1:28">
      <c r="C30" s="293" t="s">
        <v>109</v>
      </c>
      <c r="D30" s="292">
        <f>COUNTIF($D$4:$D$21,C30)</f>
        <v>0</v>
      </c>
    </row>
  </sheetData>
  <sortState ref="A4:AB20">
    <sortCondition ref="D4:D20"/>
    <sortCondition ref="C4:C20"/>
  </sortState>
  <phoneticPr fontId="0" type="noConversion"/>
  <dataValidations count="1">
    <dataValidation type="list" allowBlank="1" showInputMessage="1" showErrorMessage="1" prompt="selecteer type renner:" sqref="D4:D5 D14:D17 D19:D20">
      <formula1>type_renner</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sheetPr codeName="Blad23">
    <tabColor indexed="12"/>
  </sheetPr>
  <dimension ref="A1:AB30"/>
  <sheetViews>
    <sheetView showZeros="0" workbookViewId="0">
      <selection activeCell="AA4" sqref="AA4"/>
    </sheetView>
  </sheetViews>
  <sheetFormatPr defaultColWidth="9.140625" defaultRowHeight="12.75"/>
  <cols>
    <col min="1" max="1" width="2.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B1" s="163"/>
      <c r="C1" s="294" t="s">
        <v>213</v>
      </c>
      <c r="D1" s="256"/>
    </row>
    <row r="2" spans="2:28">
      <c r="B2" s="163"/>
      <c r="C2" s="295"/>
      <c r="D2" s="164"/>
      <c r="H2" s="128"/>
    </row>
    <row r="3" spans="2:28" s="126" customFormat="1" ht="13.5" thickBot="1">
      <c r="B3" s="296"/>
      <c r="C3" s="297" t="s">
        <v>100</v>
      </c>
      <c r="D3" s="257"/>
      <c r="E3" s="111">
        <v>1</v>
      </c>
      <c r="F3" s="111">
        <v>2</v>
      </c>
      <c r="G3" s="111">
        <v>3</v>
      </c>
      <c r="H3" s="111">
        <v>4</v>
      </c>
      <c r="I3" s="111">
        <v>5</v>
      </c>
      <c r="J3" s="111">
        <v>6</v>
      </c>
      <c r="K3" s="111">
        <v>7</v>
      </c>
      <c r="L3" s="111">
        <v>8</v>
      </c>
      <c r="M3" s="111">
        <v>9</v>
      </c>
      <c r="N3" s="111">
        <v>10</v>
      </c>
      <c r="O3" s="111">
        <v>11</v>
      </c>
      <c r="P3" s="111">
        <v>12</v>
      </c>
      <c r="Q3" s="111">
        <v>13</v>
      </c>
      <c r="R3" s="111">
        <v>14</v>
      </c>
      <c r="S3" s="111">
        <v>15</v>
      </c>
      <c r="T3" s="111">
        <v>16</v>
      </c>
      <c r="U3" s="111">
        <v>17</v>
      </c>
      <c r="V3" s="111">
        <v>18</v>
      </c>
      <c r="W3" s="111">
        <v>19</v>
      </c>
      <c r="X3" s="111">
        <v>20</v>
      </c>
      <c r="Y3" s="111">
        <v>21</v>
      </c>
      <c r="Z3" s="111" t="s">
        <v>1</v>
      </c>
      <c r="AA3" s="146"/>
    </row>
    <row r="4" spans="2:28">
      <c r="B4" s="322"/>
      <c r="C4" s="323" t="s">
        <v>134</v>
      </c>
      <c r="D4" s="259" t="s">
        <v>163</v>
      </c>
      <c r="E4" s="109">
        <f t="shared" ref="E4:N12" si="0">INDEX(scorematrix,MATCH($C4,renners,0),MATCH(E$3,etappes,0))</f>
        <v>0</v>
      </c>
      <c r="F4" s="109">
        <f t="shared" si="0"/>
        <v>0</v>
      </c>
      <c r="G4" s="109">
        <f t="shared" si="0"/>
        <v>0</v>
      </c>
      <c r="H4" s="109">
        <f t="shared" si="0"/>
        <v>46</v>
      </c>
      <c r="I4" s="109">
        <f t="shared" si="0"/>
        <v>12</v>
      </c>
      <c r="J4" s="109">
        <f t="shared" si="0"/>
        <v>11</v>
      </c>
      <c r="K4" s="109">
        <f t="shared" si="0"/>
        <v>11</v>
      </c>
      <c r="L4" s="109">
        <f t="shared" si="0"/>
        <v>19</v>
      </c>
      <c r="M4" s="109">
        <f t="shared" si="0"/>
        <v>40</v>
      </c>
      <c r="N4" s="109">
        <f t="shared" si="0"/>
        <v>10</v>
      </c>
      <c r="O4" s="109">
        <f t="shared" ref="O4:Z12" si="1">INDEX(scorematrix,MATCH($C4,renners,0),MATCH(O$3,etappes,0))</f>
        <v>10</v>
      </c>
      <c r="P4" s="109">
        <f t="shared" si="1"/>
        <v>10</v>
      </c>
      <c r="Q4" s="109">
        <f t="shared" si="1"/>
        <v>24</v>
      </c>
      <c r="R4" s="109">
        <f t="shared" si="1"/>
        <v>10</v>
      </c>
      <c r="S4" s="109">
        <f t="shared" si="1"/>
        <v>43</v>
      </c>
      <c r="T4" s="109">
        <f t="shared" si="1"/>
        <v>12</v>
      </c>
      <c r="U4" s="109">
        <f t="shared" si="1"/>
        <v>44</v>
      </c>
      <c r="V4" s="109">
        <f t="shared" si="1"/>
        <v>37</v>
      </c>
      <c r="W4" s="109">
        <f t="shared" si="1"/>
        <v>13</v>
      </c>
      <c r="X4" s="109">
        <f t="shared" si="1"/>
        <v>34</v>
      </c>
      <c r="Y4" s="109">
        <f t="shared" si="1"/>
        <v>12</v>
      </c>
      <c r="Z4" s="109">
        <f t="shared" si="1"/>
        <v>65</v>
      </c>
      <c r="AA4" s="172">
        <f t="shared" ref="AA4:AA21" si="2">SUM(E4:Z4)</f>
        <v>463</v>
      </c>
      <c r="AB4" s="108" t="str">
        <f t="shared" ref="AB4:AB19" si="3">C4</f>
        <v>Roglic</v>
      </c>
    </row>
    <row r="5" spans="2:28">
      <c r="B5" s="322"/>
      <c r="C5" s="324" t="s">
        <v>106</v>
      </c>
      <c r="D5" s="259" t="s">
        <v>163</v>
      </c>
      <c r="E5" s="109">
        <f t="shared" si="0"/>
        <v>0</v>
      </c>
      <c r="F5" s="109">
        <f t="shared" si="0"/>
        <v>1</v>
      </c>
      <c r="G5" s="109">
        <f t="shared" si="0"/>
        <v>4</v>
      </c>
      <c r="H5" s="109">
        <f t="shared" si="0"/>
        <v>19</v>
      </c>
      <c r="I5" s="109">
        <f t="shared" si="0"/>
        <v>5</v>
      </c>
      <c r="J5" s="109">
        <f t="shared" si="0"/>
        <v>16</v>
      </c>
      <c r="K5" s="109">
        <f t="shared" si="0"/>
        <v>6</v>
      </c>
      <c r="L5" s="109">
        <f t="shared" si="0"/>
        <v>0</v>
      </c>
      <c r="M5" s="109">
        <f t="shared" si="0"/>
        <v>9</v>
      </c>
      <c r="N5" s="109">
        <f t="shared" si="0"/>
        <v>0</v>
      </c>
      <c r="O5" s="109">
        <f t="shared" si="1"/>
        <v>0</v>
      </c>
      <c r="P5" s="109">
        <f t="shared" si="1"/>
        <v>0</v>
      </c>
      <c r="Q5" s="109">
        <f t="shared" si="1"/>
        <v>0</v>
      </c>
      <c r="R5" s="109">
        <f t="shared" si="1"/>
        <v>0</v>
      </c>
      <c r="S5" s="109">
        <f t="shared" si="1"/>
        <v>15</v>
      </c>
      <c r="T5" s="109">
        <f t="shared" si="1"/>
        <v>2</v>
      </c>
      <c r="U5" s="109">
        <f t="shared" si="1"/>
        <v>18</v>
      </c>
      <c r="V5" s="109">
        <f t="shared" si="1"/>
        <v>18</v>
      </c>
      <c r="W5" s="109">
        <f t="shared" si="1"/>
        <v>2</v>
      </c>
      <c r="X5" s="109">
        <f t="shared" si="1"/>
        <v>34</v>
      </c>
      <c r="Y5" s="109">
        <f t="shared" si="1"/>
        <v>4</v>
      </c>
      <c r="Z5" s="109">
        <f t="shared" si="1"/>
        <v>38</v>
      </c>
      <c r="AA5" s="172">
        <f t="shared" si="2"/>
        <v>191</v>
      </c>
      <c r="AB5" s="108" t="str">
        <f t="shared" si="3"/>
        <v>Dumoulin</v>
      </c>
    </row>
    <row r="6" spans="2:28">
      <c r="B6" s="322"/>
      <c r="C6" s="324" t="s">
        <v>136</v>
      </c>
      <c r="D6" s="259" t="s">
        <v>163</v>
      </c>
      <c r="E6" s="109">
        <f t="shared" si="0"/>
        <v>0</v>
      </c>
      <c r="F6" s="109">
        <f t="shared" si="0"/>
        <v>14</v>
      </c>
      <c r="G6" s="109">
        <f t="shared" si="0"/>
        <v>8</v>
      </c>
      <c r="H6" s="109">
        <f t="shared" si="0"/>
        <v>28</v>
      </c>
      <c r="I6" s="109">
        <f t="shared" si="0"/>
        <v>18</v>
      </c>
      <c r="J6" s="109">
        <f t="shared" si="0"/>
        <v>28</v>
      </c>
      <c r="K6" s="109">
        <f t="shared" si="0"/>
        <v>30</v>
      </c>
      <c r="L6" s="109">
        <f t="shared" si="0"/>
        <v>24</v>
      </c>
      <c r="M6" s="109">
        <f t="shared" si="0"/>
        <v>38</v>
      </c>
      <c r="N6" s="109">
        <f t="shared" si="0"/>
        <v>14</v>
      </c>
      <c r="O6" s="109">
        <f t="shared" si="1"/>
        <v>14</v>
      </c>
      <c r="P6" s="109">
        <f t="shared" si="1"/>
        <v>14</v>
      </c>
      <c r="Q6" s="109">
        <f t="shared" si="1"/>
        <v>20</v>
      </c>
      <c r="R6" s="109">
        <f t="shared" si="1"/>
        <v>12</v>
      </c>
      <c r="S6" s="109">
        <f t="shared" si="1"/>
        <v>3</v>
      </c>
      <c r="T6" s="109">
        <f t="shared" si="1"/>
        <v>3</v>
      </c>
      <c r="U6" s="109">
        <f t="shared" si="1"/>
        <v>0</v>
      </c>
      <c r="V6" s="109">
        <f t="shared" si="1"/>
        <v>0</v>
      </c>
      <c r="W6" s="109">
        <f t="shared" si="1"/>
        <v>0</v>
      </c>
      <c r="X6" s="109">
        <f t="shared" si="1"/>
        <v>0</v>
      </c>
      <c r="Y6" s="109">
        <f t="shared" si="1"/>
        <v>0</v>
      </c>
      <c r="Z6" s="109">
        <f t="shared" si="1"/>
        <v>0</v>
      </c>
      <c r="AA6" s="172">
        <f t="shared" si="2"/>
        <v>268</v>
      </c>
      <c r="AB6" s="108" t="str">
        <f t="shared" si="3"/>
        <v>Bernal</v>
      </c>
    </row>
    <row r="7" spans="2:28">
      <c r="B7" s="322"/>
      <c r="C7" s="324" t="s">
        <v>199</v>
      </c>
      <c r="D7" s="259" t="s">
        <v>163</v>
      </c>
      <c r="E7" s="109">
        <f t="shared" si="0"/>
        <v>11</v>
      </c>
      <c r="F7" s="109">
        <f t="shared" si="0"/>
        <v>27</v>
      </c>
      <c r="G7" s="109">
        <f t="shared" si="0"/>
        <v>11</v>
      </c>
      <c r="H7" s="109">
        <f t="shared" si="0"/>
        <v>44</v>
      </c>
      <c r="I7" s="109">
        <f t="shared" si="0"/>
        <v>15</v>
      </c>
      <c r="J7" s="109">
        <f t="shared" si="0"/>
        <v>28</v>
      </c>
      <c r="K7" s="109">
        <f t="shared" si="0"/>
        <v>2</v>
      </c>
      <c r="L7" s="109">
        <f t="shared" si="0"/>
        <v>23</v>
      </c>
      <c r="M7" s="109">
        <f t="shared" si="0"/>
        <v>43</v>
      </c>
      <c r="N7" s="109">
        <f t="shared" si="0"/>
        <v>8</v>
      </c>
      <c r="O7" s="109">
        <f t="shared" si="1"/>
        <v>8</v>
      </c>
      <c r="P7" s="109">
        <f t="shared" si="1"/>
        <v>8</v>
      </c>
      <c r="Q7" s="109">
        <f t="shared" si="1"/>
        <v>27</v>
      </c>
      <c r="R7" s="109">
        <f t="shared" si="1"/>
        <v>28</v>
      </c>
      <c r="S7" s="109">
        <f t="shared" si="1"/>
        <v>53</v>
      </c>
      <c r="T7" s="109">
        <f t="shared" si="1"/>
        <v>17</v>
      </c>
      <c r="U7" s="109">
        <f t="shared" si="1"/>
        <v>45</v>
      </c>
      <c r="V7" s="109">
        <f t="shared" si="1"/>
        <v>40</v>
      </c>
      <c r="W7" s="109">
        <f t="shared" si="1"/>
        <v>18</v>
      </c>
      <c r="X7" s="109">
        <f t="shared" si="1"/>
        <v>55</v>
      </c>
      <c r="Y7" s="109">
        <f t="shared" si="1"/>
        <v>20</v>
      </c>
      <c r="Z7" s="109">
        <f t="shared" si="1"/>
        <v>90</v>
      </c>
      <c r="AA7" s="172">
        <f t="shared" si="2"/>
        <v>621</v>
      </c>
      <c r="AB7" s="108" t="str">
        <f t="shared" si="3"/>
        <v>Pogacar</v>
      </c>
    </row>
    <row r="8" spans="2:28">
      <c r="B8" s="322" t="s">
        <v>148</v>
      </c>
      <c r="C8" s="324" t="s">
        <v>193</v>
      </c>
      <c r="D8" s="259" t="s">
        <v>163</v>
      </c>
      <c r="E8" s="109">
        <f t="shared" si="0"/>
        <v>0</v>
      </c>
      <c r="F8" s="109">
        <f t="shared" si="0"/>
        <v>0</v>
      </c>
      <c r="G8" s="109">
        <f t="shared" si="0"/>
        <v>0</v>
      </c>
      <c r="H8" s="109">
        <f t="shared" si="0"/>
        <v>0</v>
      </c>
      <c r="I8" s="109">
        <f t="shared" si="0"/>
        <v>0</v>
      </c>
      <c r="J8" s="109">
        <f t="shared" si="0"/>
        <v>1</v>
      </c>
      <c r="K8" s="109">
        <f t="shared" si="0"/>
        <v>1</v>
      </c>
      <c r="L8" s="109">
        <f t="shared" si="0"/>
        <v>0</v>
      </c>
      <c r="M8" s="109">
        <f t="shared" si="0"/>
        <v>0</v>
      </c>
      <c r="N8" s="109">
        <f t="shared" si="0"/>
        <v>0</v>
      </c>
      <c r="O8" s="109">
        <f t="shared" si="1"/>
        <v>1</v>
      </c>
      <c r="P8" s="109">
        <f t="shared" si="1"/>
        <v>1</v>
      </c>
      <c r="Q8" s="109">
        <f t="shared" si="1"/>
        <v>36</v>
      </c>
      <c r="R8" s="109">
        <f t="shared" si="1"/>
        <v>1</v>
      </c>
      <c r="S8" s="109">
        <f t="shared" si="1"/>
        <v>2</v>
      </c>
      <c r="T8" s="109">
        <f t="shared" si="1"/>
        <v>1</v>
      </c>
      <c r="U8" s="109">
        <f t="shared" si="1"/>
        <v>2</v>
      </c>
      <c r="V8" s="109">
        <f t="shared" si="1"/>
        <v>2</v>
      </c>
      <c r="W8" s="109">
        <f t="shared" si="1"/>
        <v>2</v>
      </c>
      <c r="X8" s="109">
        <f t="shared" si="1"/>
        <v>17</v>
      </c>
      <c r="Y8" s="109">
        <f t="shared" si="1"/>
        <v>2</v>
      </c>
      <c r="Z8" s="109">
        <f t="shared" si="1"/>
        <v>3</v>
      </c>
      <c r="AA8" s="172">
        <f t="shared" si="2"/>
        <v>72</v>
      </c>
      <c r="AB8" s="108" t="str">
        <f t="shared" si="3"/>
        <v>Martinez</v>
      </c>
    </row>
    <row r="9" spans="2:28">
      <c r="B9" s="322"/>
      <c r="C9" s="324" t="s">
        <v>86</v>
      </c>
      <c r="D9" s="259" t="s">
        <v>163</v>
      </c>
      <c r="E9" s="109">
        <f t="shared" si="0"/>
        <v>0</v>
      </c>
      <c r="F9" s="109">
        <f t="shared" si="0"/>
        <v>0</v>
      </c>
      <c r="G9" s="109">
        <f t="shared" si="0"/>
        <v>0</v>
      </c>
      <c r="H9" s="109">
        <f t="shared" si="0"/>
        <v>18</v>
      </c>
      <c r="I9" s="109">
        <f t="shared" si="0"/>
        <v>0</v>
      </c>
      <c r="J9" s="109">
        <f t="shared" si="0"/>
        <v>12</v>
      </c>
      <c r="K9" s="109">
        <f t="shared" si="0"/>
        <v>10</v>
      </c>
      <c r="L9" s="109">
        <f t="shared" si="0"/>
        <v>0</v>
      </c>
      <c r="M9" s="109">
        <f t="shared" si="0"/>
        <v>0</v>
      </c>
      <c r="N9" s="109">
        <f t="shared" si="0"/>
        <v>0</v>
      </c>
      <c r="O9" s="109">
        <f t="shared" si="1"/>
        <v>0</v>
      </c>
      <c r="P9" s="109">
        <f t="shared" si="1"/>
        <v>0</v>
      </c>
      <c r="Q9" s="109">
        <f t="shared" si="1"/>
        <v>0</v>
      </c>
      <c r="R9" s="109">
        <f t="shared" si="1"/>
        <v>0</v>
      </c>
      <c r="S9" s="109">
        <f t="shared" si="1"/>
        <v>0</v>
      </c>
      <c r="T9" s="109">
        <f t="shared" si="1"/>
        <v>0</v>
      </c>
      <c r="U9" s="109">
        <f t="shared" si="1"/>
        <v>0</v>
      </c>
      <c r="V9" s="109">
        <f t="shared" si="1"/>
        <v>0</v>
      </c>
      <c r="W9" s="109">
        <f t="shared" si="1"/>
        <v>0</v>
      </c>
      <c r="X9" s="109">
        <f t="shared" si="1"/>
        <v>7</v>
      </c>
      <c r="Y9" s="109">
        <f t="shared" si="1"/>
        <v>0</v>
      </c>
      <c r="Z9" s="109">
        <f t="shared" si="1"/>
        <v>0</v>
      </c>
      <c r="AA9" s="172">
        <f t="shared" si="2"/>
        <v>47</v>
      </c>
      <c r="AB9" s="108" t="str">
        <f t="shared" si="3"/>
        <v>Pinot</v>
      </c>
    </row>
    <row r="10" spans="2:28">
      <c r="B10" s="322" t="s">
        <v>157</v>
      </c>
      <c r="C10" s="324" t="s">
        <v>159</v>
      </c>
      <c r="D10" s="259" t="s">
        <v>163</v>
      </c>
      <c r="E10" s="109">
        <f t="shared" si="0"/>
        <v>0</v>
      </c>
      <c r="F10" s="109">
        <f t="shared" si="0"/>
        <v>15</v>
      </c>
      <c r="G10" s="109">
        <f t="shared" si="0"/>
        <v>2</v>
      </c>
      <c r="H10" s="109">
        <f t="shared" si="0"/>
        <v>32</v>
      </c>
      <c r="I10" s="109">
        <f t="shared" si="0"/>
        <v>7</v>
      </c>
      <c r="J10" s="109">
        <f t="shared" si="0"/>
        <v>7</v>
      </c>
      <c r="K10" s="109">
        <f t="shared" si="0"/>
        <v>14</v>
      </c>
      <c r="L10" s="109">
        <f t="shared" si="0"/>
        <v>19</v>
      </c>
      <c r="M10" s="109">
        <f t="shared" si="0"/>
        <v>27</v>
      </c>
      <c r="N10" s="109">
        <f t="shared" si="0"/>
        <v>8</v>
      </c>
      <c r="O10" s="109">
        <f t="shared" si="1"/>
        <v>8</v>
      </c>
      <c r="P10" s="109">
        <f t="shared" si="1"/>
        <v>8</v>
      </c>
      <c r="Q10" s="109">
        <f t="shared" si="1"/>
        <v>0</v>
      </c>
      <c r="R10" s="109">
        <f t="shared" si="1"/>
        <v>0</v>
      </c>
      <c r="S10" s="109">
        <f t="shared" si="1"/>
        <v>12</v>
      </c>
      <c r="T10" s="109">
        <f t="shared" si="1"/>
        <v>0</v>
      </c>
      <c r="U10" s="109">
        <f t="shared" si="1"/>
        <v>12</v>
      </c>
      <c r="V10" s="109">
        <f t="shared" si="1"/>
        <v>8</v>
      </c>
      <c r="W10" s="109">
        <f t="shared" si="1"/>
        <v>0</v>
      </c>
      <c r="X10" s="109">
        <f t="shared" si="1"/>
        <v>0</v>
      </c>
      <c r="Y10" s="109">
        <f t="shared" si="1"/>
        <v>0</v>
      </c>
      <c r="Z10" s="109">
        <f t="shared" si="1"/>
        <v>30</v>
      </c>
      <c r="AA10" s="172">
        <f t="shared" si="2"/>
        <v>209</v>
      </c>
      <c r="AB10" s="108" t="str">
        <f t="shared" si="3"/>
        <v>G.Martin</v>
      </c>
    </row>
    <row r="11" spans="2:28">
      <c r="B11" s="322" t="s">
        <v>208</v>
      </c>
      <c r="C11" s="324" t="s">
        <v>204</v>
      </c>
      <c r="D11" s="259" t="s">
        <v>163</v>
      </c>
      <c r="E11" s="109">
        <f t="shared" si="0"/>
        <v>0</v>
      </c>
      <c r="F11" s="109">
        <f t="shared" si="0"/>
        <v>10</v>
      </c>
      <c r="G11" s="109">
        <f t="shared" si="0"/>
        <v>0</v>
      </c>
      <c r="H11" s="109">
        <f t="shared" si="0"/>
        <v>21</v>
      </c>
      <c r="I11" s="109">
        <f t="shared" si="0"/>
        <v>9</v>
      </c>
      <c r="J11" s="109">
        <f t="shared" si="0"/>
        <v>1</v>
      </c>
      <c r="K11" s="109">
        <f t="shared" si="0"/>
        <v>3</v>
      </c>
      <c r="L11" s="109">
        <f t="shared" si="0"/>
        <v>19</v>
      </c>
      <c r="M11" s="109">
        <f t="shared" si="0"/>
        <v>12</v>
      </c>
      <c r="N11" s="109">
        <f t="shared" si="0"/>
        <v>2</v>
      </c>
      <c r="O11" s="109">
        <f t="shared" si="1"/>
        <v>2</v>
      </c>
      <c r="P11" s="109">
        <f t="shared" si="1"/>
        <v>2</v>
      </c>
      <c r="Q11" s="109">
        <f t="shared" si="1"/>
        <v>15</v>
      </c>
      <c r="R11" s="109">
        <f t="shared" si="1"/>
        <v>5</v>
      </c>
      <c r="S11" s="109">
        <f t="shared" si="1"/>
        <v>31</v>
      </c>
      <c r="T11" s="109">
        <f t="shared" si="1"/>
        <v>13</v>
      </c>
      <c r="U11" s="109">
        <f t="shared" si="1"/>
        <v>46</v>
      </c>
      <c r="V11" s="109">
        <f t="shared" si="1"/>
        <v>23</v>
      </c>
      <c r="W11" s="109">
        <f t="shared" si="1"/>
        <v>9</v>
      </c>
      <c r="X11" s="109">
        <f t="shared" si="1"/>
        <v>6</v>
      </c>
      <c r="Y11" s="109">
        <f t="shared" si="1"/>
        <v>6</v>
      </c>
      <c r="Z11" s="109">
        <f t="shared" si="1"/>
        <v>41</v>
      </c>
      <c r="AA11" s="172">
        <f t="shared" si="2"/>
        <v>276</v>
      </c>
      <c r="AB11" s="108" t="str">
        <f t="shared" si="3"/>
        <v>Lopez</v>
      </c>
    </row>
    <row r="12" spans="2:28">
      <c r="B12" s="322"/>
      <c r="C12" s="324" t="s">
        <v>133</v>
      </c>
      <c r="D12" s="259" t="s">
        <v>163</v>
      </c>
      <c r="E12" s="109">
        <f t="shared" si="0"/>
        <v>0</v>
      </c>
      <c r="F12" s="109">
        <f t="shared" si="0"/>
        <v>0</v>
      </c>
      <c r="G12" s="109">
        <f t="shared" si="0"/>
        <v>0</v>
      </c>
      <c r="H12" s="109">
        <f t="shared" si="0"/>
        <v>17</v>
      </c>
      <c r="I12" s="109">
        <f t="shared" si="0"/>
        <v>0</v>
      </c>
      <c r="J12" s="109">
        <f t="shared" si="0"/>
        <v>0</v>
      </c>
      <c r="K12" s="109">
        <f t="shared" si="0"/>
        <v>0</v>
      </c>
      <c r="L12" s="109">
        <f t="shared" si="0"/>
        <v>12</v>
      </c>
      <c r="M12" s="109">
        <f t="shared" si="0"/>
        <v>23</v>
      </c>
      <c r="N12" s="109">
        <f t="shared" si="0"/>
        <v>1</v>
      </c>
      <c r="O12" s="109">
        <f t="shared" si="1"/>
        <v>1</v>
      </c>
      <c r="P12" s="109">
        <f t="shared" si="1"/>
        <v>1</v>
      </c>
      <c r="Q12" s="109">
        <f t="shared" si="1"/>
        <v>14</v>
      </c>
      <c r="R12" s="109">
        <f t="shared" si="1"/>
        <v>3</v>
      </c>
      <c r="S12" s="109">
        <f t="shared" si="1"/>
        <v>23</v>
      </c>
      <c r="T12" s="109">
        <f t="shared" si="1"/>
        <v>4</v>
      </c>
      <c r="U12" s="109">
        <f t="shared" si="1"/>
        <v>23</v>
      </c>
      <c r="V12" s="109">
        <f t="shared" si="1"/>
        <v>24</v>
      </c>
      <c r="W12" s="109">
        <f t="shared" si="1"/>
        <v>6</v>
      </c>
      <c r="X12" s="109">
        <f t="shared" si="1"/>
        <v>19</v>
      </c>
      <c r="Y12" s="109">
        <f t="shared" si="1"/>
        <v>7</v>
      </c>
      <c r="Z12" s="109">
        <f t="shared" si="1"/>
        <v>48</v>
      </c>
      <c r="AA12" s="172">
        <f t="shared" si="2"/>
        <v>226</v>
      </c>
      <c r="AB12" s="108" t="str">
        <f t="shared" si="3"/>
        <v>Landa</v>
      </c>
    </row>
    <row r="13" spans="2:28">
      <c r="B13" s="322"/>
      <c r="C13" s="324" t="s">
        <v>108</v>
      </c>
      <c r="D13" s="259" t="s">
        <v>163</v>
      </c>
      <c r="E13" s="109">
        <f t="shared" ref="E13:Q13" si="4">INDEX(scorematrix,MATCH($C13,renners,0),MATCH(E$3,etappes,0))</f>
        <v>0</v>
      </c>
      <c r="F13" s="109">
        <f t="shared" si="4"/>
        <v>0</v>
      </c>
      <c r="G13" s="109">
        <f t="shared" si="4"/>
        <v>0</v>
      </c>
      <c r="H13" s="109">
        <f t="shared" si="4"/>
        <v>10</v>
      </c>
      <c r="I13" s="109">
        <f t="shared" si="4"/>
        <v>1</v>
      </c>
      <c r="J13" s="109">
        <f t="shared" si="4"/>
        <v>10</v>
      </c>
      <c r="K13" s="109">
        <f t="shared" si="4"/>
        <v>14</v>
      </c>
      <c r="L13" s="109">
        <f t="shared" si="4"/>
        <v>23</v>
      </c>
      <c r="M13" s="109">
        <f t="shared" si="4"/>
        <v>25</v>
      </c>
      <c r="N13" s="109">
        <f t="shared" si="4"/>
        <v>7</v>
      </c>
      <c r="O13" s="109">
        <f t="shared" si="4"/>
        <v>7</v>
      </c>
      <c r="P13" s="109">
        <f t="shared" si="4"/>
        <v>7</v>
      </c>
      <c r="Q13" s="109">
        <f t="shared" si="4"/>
        <v>0</v>
      </c>
      <c r="R13" s="352"/>
      <c r="S13" s="352"/>
      <c r="T13" s="352"/>
      <c r="U13" s="352"/>
      <c r="V13" s="352"/>
      <c r="W13" s="352"/>
      <c r="X13" s="352"/>
      <c r="Y13" s="352"/>
      <c r="Z13" s="352"/>
      <c r="AA13" s="172">
        <f>SUM(E13:Z13)</f>
        <v>104</v>
      </c>
      <c r="AB13" s="108" t="str">
        <f>C13</f>
        <v>Bardet</v>
      </c>
    </row>
    <row r="14" spans="2:28">
      <c r="B14" s="322"/>
      <c r="C14" s="324" t="s">
        <v>74</v>
      </c>
      <c r="D14" s="259" t="s">
        <v>163</v>
      </c>
      <c r="E14" s="109">
        <f t="shared" ref="E14:N20" si="5">INDEX(scorematrix,MATCH($C14,renners,0),MATCH(E$3,etappes,0))</f>
        <v>0</v>
      </c>
      <c r="F14" s="109">
        <f t="shared" si="5"/>
        <v>12</v>
      </c>
      <c r="G14" s="109">
        <f t="shared" si="5"/>
        <v>0</v>
      </c>
      <c r="H14" s="109">
        <f t="shared" si="5"/>
        <v>0</v>
      </c>
      <c r="I14" s="109">
        <f t="shared" si="5"/>
        <v>0</v>
      </c>
      <c r="J14" s="109">
        <f t="shared" si="5"/>
        <v>10</v>
      </c>
      <c r="K14" s="109">
        <f t="shared" si="5"/>
        <v>16</v>
      </c>
      <c r="L14" s="109">
        <f t="shared" si="5"/>
        <v>0</v>
      </c>
      <c r="M14" s="109">
        <f t="shared" si="5"/>
        <v>13</v>
      </c>
      <c r="N14" s="109">
        <f t="shared" si="5"/>
        <v>0</v>
      </c>
      <c r="O14" s="109">
        <f t="shared" ref="O14:Z20" si="6">INDEX(scorematrix,MATCH($C14,renners,0),MATCH(O$3,etappes,0))</f>
        <v>0</v>
      </c>
      <c r="P14" s="109">
        <f t="shared" si="6"/>
        <v>0</v>
      </c>
      <c r="Q14" s="109">
        <f t="shared" si="6"/>
        <v>0</v>
      </c>
      <c r="R14" s="109">
        <f t="shared" si="6"/>
        <v>0</v>
      </c>
      <c r="S14" s="109">
        <f t="shared" si="6"/>
        <v>16</v>
      </c>
      <c r="T14" s="109">
        <f t="shared" si="6"/>
        <v>0</v>
      </c>
      <c r="U14" s="109">
        <f t="shared" si="6"/>
        <v>15</v>
      </c>
      <c r="V14" s="109">
        <f t="shared" si="6"/>
        <v>7</v>
      </c>
      <c r="W14" s="109">
        <f t="shared" si="6"/>
        <v>1</v>
      </c>
      <c r="X14" s="109">
        <f t="shared" si="6"/>
        <v>0</v>
      </c>
      <c r="Y14" s="109">
        <f t="shared" si="6"/>
        <v>0</v>
      </c>
      <c r="Z14" s="109">
        <f t="shared" si="6"/>
        <v>28</v>
      </c>
      <c r="AA14" s="172">
        <f t="shared" si="2"/>
        <v>118</v>
      </c>
      <c r="AB14" s="108" t="str">
        <f t="shared" si="3"/>
        <v>Valverde</v>
      </c>
    </row>
    <row r="15" spans="2:28">
      <c r="B15" s="322"/>
      <c r="C15" s="324" t="s">
        <v>154</v>
      </c>
      <c r="D15" s="259" t="s">
        <v>109</v>
      </c>
      <c r="E15" s="109">
        <f t="shared" si="5"/>
        <v>0</v>
      </c>
      <c r="F15" s="109">
        <f t="shared" si="5"/>
        <v>46</v>
      </c>
      <c r="G15" s="109">
        <f t="shared" si="5"/>
        <v>10</v>
      </c>
      <c r="H15" s="109">
        <f t="shared" si="5"/>
        <v>32</v>
      </c>
      <c r="I15" s="109">
        <f t="shared" si="5"/>
        <v>10</v>
      </c>
      <c r="J15" s="109">
        <f t="shared" si="5"/>
        <v>22</v>
      </c>
      <c r="K15" s="109">
        <f t="shared" si="5"/>
        <v>14</v>
      </c>
      <c r="L15" s="109">
        <f t="shared" si="5"/>
        <v>0</v>
      </c>
      <c r="M15" s="109">
        <f t="shared" si="5"/>
        <v>0</v>
      </c>
      <c r="N15" s="109">
        <f t="shared" si="5"/>
        <v>0</v>
      </c>
      <c r="O15" s="109">
        <f t="shared" si="6"/>
        <v>0</v>
      </c>
      <c r="P15" s="109">
        <f t="shared" si="6"/>
        <v>15</v>
      </c>
      <c r="Q15" s="109">
        <f t="shared" si="6"/>
        <v>0</v>
      </c>
      <c r="R15" s="109">
        <f t="shared" si="6"/>
        <v>0</v>
      </c>
      <c r="S15" s="109">
        <f t="shared" si="6"/>
        <v>0</v>
      </c>
      <c r="T15" s="109">
        <f t="shared" si="6"/>
        <v>16</v>
      </c>
      <c r="U15" s="109">
        <f t="shared" si="6"/>
        <v>0</v>
      </c>
      <c r="V15" s="109">
        <f t="shared" si="6"/>
        <v>0</v>
      </c>
      <c r="W15" s="109">
        <f t="shared" si="6"/>
        <v>0</v>
      </c>
      <c r="X15" s="109">
        <f t="shared" si="6"/>
        <v>0</v>
      </c>
      <c r="Y15" s="109">
        <f t="shared" si="6"/>
        <v>0</v>
      </c>
      <c r="Z15" s="109">
        <f t="shared" si="6"/>
        <v>0</v>
      </c>
      <c r="AA15" s="172">
        <f t="shared" si="2"/>
        <v>165</v>
      </c>
      <c r="AB15" s="108" t="str">
        <f t="shared" si="3"/>
        <v>Alaphilippe</v>
      </c>
    </row>
    <row r="16" spans="2:28">
      <c r="B16" s="322" t="s">
        <v>175</v>
      </c>
      <c r="C16" s="324" t="s">
        <v>172</v>
      </c>
      <c r="D16" s="259" t="s">
        <v>109</v>
      </c>
      <c r="E16" s="109">
        <f t="shared" si="5"/>
        <v>0</v>
      </c>
      <c r="F16" s="109">
        <f t="shared" si="5"/>
        <v>0</v>
      </c>
      <c r="G16" s="109">
        <f t="shared" si="5"/>
        <v>0</v>
      </c>
      <c r="H16" s="109">
        <f t="shared" si="5"/>
        <v>0</v>
      </c>
      <c r="I16" s="109">
        <f t="shared" si="5"/>
        <v>35</v>
      </c>
      <c r="J16" s="109">
        <f t="shared" si="5"/>
        <v>0</v>
      </c>
      <c r="K16" s="109">
        <f t="shared" si="5"/>
        <v>38</v>
      </c>
      <c r="L16" s="109">
        <f t="shared" si="5"/>
        <v>3</v>
      </c>
      <c r="M16" s="109">
        <f t="shared" si="5"/>
        <v>3</v>
      </c>
      <c r="N16" s="109">
        <f t="shared" si="5"/>
        <v>1</v>
      </c>
      <c r="O16" s="109">
        <f t="shared" si="6"/>
        <v>26</v>
      </c>
      <c r="P16" s="109">
        <f t="shared" si="6"/>
        <v>7</v>
      </c>
      <c r="Q16" s="109">
        <f t="shared" si="6"/>
        <v>0</v>
      </c>
      <c r="R16" s="109">
        <f t="shared" si="6"/>
        <v>0</v>
      </c>
      <c r="S16" s="109">
        <f t="shared" si="6"/>
        <v>0</v>
      </c>
      <c r="T16" s="109">
        <f t="shared" si="6"/>
        <v>0</v>
      </c>
      <c r="U16" s="109">
        <f t="shared" si="6"/>
        <v>7</v>
      </c>
      <c r="V16" s="109">
        <f t="shared" si="6"/>
        <v>26</v>
      </c>
      <c r="W16" s="109">
        <f t="shared" si="6"/>
        <v>0</v>
      </c>
      <c r="X16" s="109">
        <f t="shared" si="6"/>
        <v>25</v>
      </c>
      <c r="Y16" s="109">
        <f t="shared" si="6"/>
        <v>21</v>
      </c>
      <c r="Z16" s="109">
        <f t="shared" si="6"/>
        <v>13</v>
      </c>
      <c r="AA16" s="172">
        <f t="shared" si="2"/>
        <v>205</v>
      </c>
      <c r="AB16" s="108" t="str">
        <f t="shared" si="3"/>
        <v>van Aert</v>
      </c>
    </row>
    <row r="17" spans="1:28">
      <c r="B17" s="322"/>
      <c r="C17" s="324" t="s">
        <v>201</v>
      </c>
      <c r="D17" s="259" t="s">
        <v>10</v>
      </c>
      <c r="E17" s="109">
        <f t="shared" si="5"/>
        <v>23</v>
      </c>
      <c r="F17" s="109">
        <f t="shared" si="5"/>
        <v>0</v>
      </c>
      <c r="G17" s="109">
        <f t="shared" si="5"/>
        <v>26</v>
      </c>
      <c r="H17" s="109">
        <f t="shared" si="5"/>
        <v>1</v>
      </c>
      <c r="I17" s="109">
        <f t="shared" si="5"/>
        <v>15</v>
      </c>
      <c r="J17" s="109">
        <f t="shared" si="5"/>
        <v>0</v>
      </c>
      <c r="K17" s="109">
        <f t="shared" si="5"/>
        <v>0</v>
      </c>
      <c r="L17" s="109" t="s">
        <v>242</v>
      </c>
      <c r="M17" s="350"/>
      <c r="N17" s="350"/>
      <c r="O17" s="350"/>
      <c r="P17" s="350"/>
      <c r="Q17" s="350"/>
      <c r="R17" s="350"/>
      <c r="S17" s="350"/>
      <c r="T17" s="354"/>
      <c r="U17" s="354"/>
      <c r="V17" s="354"/>
      <c r="W17" s="354"/>
      <c r="X17" s="354"/>
      <c r="Y17" s="354"/>
      <c r="Z17" s="354"/>
      <c r="AA17" s="172">
        <f t="shared" si="2"/>
        <v>65</v>
      </c>
      <c r="AB17" s="108" t="str">
        <f t="shared" si="3"/>
        <v>Nizzolo</v>
      </c>
    </row>
    <row r="18" spans="1:28">
      <c r="B18" s="322" t="s">
        <v>190</v>
      </c>
      <c r="C18" s="324" t="s">
        <v>191</v>
      </c>
      <c r="D18" s="259" t="s">
        <v>10</v>
      </c>
      <c r="E18" s="109">
        <f t="shared" si="5"/>
        <v>33</v>
      </c>
      <c r="F18" s="109">
        <f t="shared" si="5"/>
        <v>2</v>
      </c>
      <c r="G18" s="109">
        <f t="shared" si="5"/>
        <v>33</v>
      </c>
      <c r="H18" s="109">
        <f t="shared" si="5"/>
        <v>4</v>
      </c>
      <c r="I18" s="109">
        <f t="shared" si="5"/>
        <v>31</v>
      </c>
      <c r="J18" s="109">
        <f t="shared" si="5"/>
        <v>5</v>
      </c>
      <c r="K18" s="109">
        <f t="shared" si="5"/>
        <v>4</v>
      </c>
      <c r="L18" s="109">
        <f t="shared" si="5"/>
        <v>4</v>
      </c>
      <c r="M18" s="109">
        <f t="shared" si="5"/>
        <v>4</v>
      </c>
      <c r="N18" s="109">
        <f t="shared" si="5"/>
        <v>40</v>
      </c>
      <c r="O18" s="109">
        <f t="shared" si="6"/>
        <v>35</v>
      </c>
      <c r="P18" s="109">
        <f t="shared" si="6"/>
        <v>5</v>
      </c>
      <c r="Q18" s="109">
        <f t="shared" si="6"/>
        <v>5</v>
      </c>
      <c r="R18" s="109">
        <f t="shared" si="6"/>
        <v>5</v>
      </c>
      <c r="S18" s="109">
        <f t="shared" si="6"/>
        <v>5</v>
      </c>
      <c r="T18" s="109">
        <f t="shared" si="6"/>
        <v>5</v>
      </c>
      <c r="U18" s="109">
        <f t="shared" si="6"/>
        <v>5</v>
      </c>
      <c r="V18" s="109">
        <f t="shared" si="6"/>
        <v>5</v>
      </c>
      <c r="W18" s="109">
        <f t="shared" si="6"/>
        <v>23</v>
      </c>
      <c r="X18" s="109">
        <f t="shared" si="6"/>
        <v>5</v>
      </c>
      <c r="Y18" s="109">
        <f t="shared" si="6"/>
        <v>40</v>
      </c>
      <c r="Z18" s="109">
        <f t="shared" si="6"/>
        <v>10</v>
      </c>
      <c r="AA18" s="172">
        <f t="shared" si="2"/>
        <v>308</v>
      </c>
      <c r="AB18" s="108" t="str">
        <f t="shared" si="3"/>
        <v>Bennett</v>
      </c>
    </row>
    <row r="19" spans="1:28">
      <c r="B19" s="322" t="s">
        <v>164</v>
      </c>
      <c r="C19" s="324" t="s">
        <v>165</v>
      </c>
      <c r="D19" s="259" t="s">
        <v>10</v>
      </c>
      <c r="E19" s="109">
        <f t="shared" si="5"/>
        <v>7</v>
      </c>
      <c r="F19" s="109">
        <f t="shared" si="5"/>
        <v>0</v>
      </c>
      <c r="G19" s="109">
        <f t="shared" si="5"/>
        <v>36</v>
      </c>
      <c r="H19" s="109">
        <f t="shared" si="5"/>
        <v>0</v>
      </c>
      <c r="I19" s="109">
        <f t="shared" si="5"/>
        <v>20</v>
      </c>
      <c r="J19" s="109">
        <f t="shared" si="5"/>
        <v>2</v>
      </c>
      <c r="K19" s="109">
        <f t="shared" si="5"/>
        <v>0</v>
      </c>
      <c r="L19" s="109">
        <f t="shared" si="5"/>
        <v>0</v>
      </c>
      <c r="M19" s="109">
        <f t="shared" si="5"/>
        <v>0</v>
      </c>
      <c r="N19" s="109">
        <f t="shared" si="5"/>
        <v>30</v>
      </c>
      <c r="O19" s="109">
        <f t="shared" si="6"/>
        <v>37</v>
      </c>
      <c r="P19" s="109">
        <f t="shared" si="6"/>
        <v>2</v>
      </c>
      <c r="Q19" s="109">
        <f t="shared" si="6"/>
        <v>2</v>
      </c>
      <c r="R19" s="109">
        <f t="shared" si="6"/>
        <v>1</v>
      </c>
      <c r="S19" s="109">
        <f t="shared" si="6"/>
        <v>1</v>
      </c>
      <c r="T19" s="109">
        <f t="shared" si="6"/>
        <v>1</v>
      </c>
      <c r="U19" s="109">
        <f t="shared" si="6"/>
        <v>1</v>
      </c>
      <c r="V19" s="109">
        <f t="shared" si="6"/>
        <v>1</v>
      </c>
      <c r="W19" s="109">
        <f t="shared" si="6"/>
        <v>1</v>
      </c>
      <c r="X19" s="109">
        <f t="shared" si="6"/>
        <v>0</v>
      </c>
      <c r="Y19" s="109">
        <f t="shared" si="6"/>
        <v>19</v>
      </c>
      <c r="Z19" s="109">
        <f t="shared" si="6"/>
        <v>0</v>
      </c>
      <c r="AA19" s="172">
        <f t="shared" si="2"/>
        <v>161</v>
      </c>
      <c r="AB19" s="108" t="str">
        <f t="shared" si="3"/>
        <v>Ewan</v>
      </c>
    </row>
    <row r="20" spans="1:28" s="157" customFormat="1">
      <c r="B20" s="322" t="s">
        <v>140</v>
      </c>
      <c r="C20" s="324" t="s">
        <v>72</v>
      </c>
      <c r="D20" s="348" t="s">
        <v>10</v>
      </c>
      <c r="E20" s="109">
        <f t="shared" si="5"/>
        <v>31</v>
      </c>
      <c r="F20" s="109">
        <f t="shared" si="5"/>
        <v>4</v>
      </c>
      <c r="G20" s="109">
        <f t="shared" si="5"/>
        <v>25</v>
      </c>
      <c r="H20" s="109">
        <f t="shared" si="5"/>
        <v>5</v>
      </c>
      <c r="I20" s="109">
        <f t="shared" si="5"/>
        <v>28</v>
      </c>
      <c r="J20" s="109">
        <f t="shared" si="5"/>
        <v>4</v>
      </c>
      <c r="K20" s="109">
        <f t="shared" si="5"/>
        <v>18</v>
      </c>
      <c r="L20" s="109">
        <f t="shared" si="5"/>
        <v>5</v>
      </c>
      <c r="M20" s="109">
        <f t="shared" si="5"/>
        <v>5</v>
      </c>
      <c r="N20" s="109">
        <f t="shared" si="5"/>
        <v>30</v>
      </c>
      <c r="O20" s="109">
        <f t="shared" si="6"/>
        <v>4</v>
      </c>
      <c r="P20" s="109">
        <f t="shared" si="6"/>
        <v>17</v>
      </c>
      <c r="Q20" s="109">
        <f t="shared" si="6"/>
        <v>4</v>
      </c>
      <c r="R20" s="109">
        <f t="shared" si="6"/>
        <v>28</v>
      </c>
      <c r="S20" s="109">
        <f t="shared" si="6"/>
        <v>4</v>
      </c>
      <c r="T20" s="109">
        <f t="shared" si="6"/>
        <v>4</v>
      </c>
      <c r="U20" s="109">
        <f t="shared" si="6"/>
        <v>4</v>
      </c>
      <c r="V20" s="109">
        <f t="shared" si="6"/>
        <v>4</v>
      </c>
      <c r="W20" s="109">
        <f t="shared" si="6"/>
        <v>21</v>
      </c>
      <c r="X20" s="109">
        <f t="shared" si="6"/>
        <v>4</v>
      </c>
      <c r="Y20" s="109">
        <f t="shared" si="6"/>
        <v>30</v>
      </c>
      <c r="Z20" s="109">
        <f t="shared" si="6"/>
        <v>7</v>
      </c>
      <c r="AA20" s="172">
        <f t="shared" si="2"/>
        <v>286</v>
      </c>
      <c r="AB20" s="108" t="str">
        <f>C20</f>
        <v>Sagan</v>
      </c>
    </row>
    <row r="21" spans="1:28" s="158" customFormat="1">
      <c r="B21" s="325"/>
      <c r="C21" s="326"/>
      <c r="D21" s="165"/>
      <c r="E21" s="167"/>
      <c r="F21" s="167"/>
      <c r="G21" s="167"/>
      <c r="H21" s="167"/>
      <c r="I21" s="167"/>
      <c r="J21" s="167"/>
      <c r="K21" s="167"/>
      <c r="L21" s="167"/>
      <c r="M21" s="167">
        <f>M24</f>
        <v>8</v>
      </c>
      <c r="N21" s="167">
        <f t="shared" ref="N21:Q21" si="7">N24</f>
        <v>2</v>
      </c>
      <c r="O21" s="167">
        <f t="shared" si="7"/>
        <v>2</v>
      </c>
      <c r="P21" s="167">
        <f t="shared" si="7"/>
        <v>2</v>
      </c>
      <c r="Q21" s="167">
        <f t="shared" si="7"/>
        <v>2</v>
      </c>
      <c r="R21" s="167">
        <f>R24+R26</f>
        <v>13</v>
      </c>
      <c r="S21" s="167">
        <f t="shared" ref="S21" si="8">S24+S26</f>
        <v>6</v>
      </c>
      <c r="T21" s="167">
        <f>T24+T26+T25</f>
        <v>50</v>
      </c>
      <c r="U21" s="167">
        <f t="shared" ref="U21:Z21" si="9">U24+U26+U25</f>
        <v>21</v>
      </c>
      <c r="V21" s="167">
        <f t="shared" si="9"/>
        <v>35</v>
      </c>
      <c r="W21" s="167">
        <f t="shared" si="9"/>
        <v>5</v>
      </c>
      <c r="X21" s="167">
        <f t="shared" si="9"/>
        <v>15</v>
      </c>
      <c r="Y21" s="167">
        <f t="shared" si="9"/>
        <v>4</v>
      </c>
      <c r="Z21" s="167">
        <f t="shared" si="9"/>
        <v>57</v>
      </c>
      <c r="AA21" s="225">
        <f t="shared" si="2"/>
        <v>222</v>
      </c>
    </row>
    <row r="22" spans="1:28" s="112" customFormat="1">
      <c r="B22" s="327"/>
      <c r="C22" s="328"/>
      <c r="D22" s="166"/>
      <c r="E22" s="159">
        <f t="shared" ref="E22:AA22" si="10">SUM(E4:E21)</f>
        <v>105</v>
      </c>
      <c r="F22" s="159">
        <f t="shared" ref="F22" si="11">SUM(F4:F21)</f>
        <v>131</v>
      </c>
      <c r="G22" s="159">
        <f>SUM(G4:G21)</f>
        <v>155</v>
      </c>
      <c r="H22" s="159">
        <f t="shared" si="10"/>
        <v>277</v>
      </c>
      <c r="I22" s="159">
        <f t="shared" si="10"/>
        <v>206</v>
      </c>
      <c r="J22" s="159">
        <f t="shared" si="10"/>
        <v>157</v>
      </c>
      <c r="K22" s="159">
        <f t="shared" si="10"/>
        <v>181</v>
      </c>
      <c r="L22" s="159">
        <f t="shared" si="10"/>
        <v>151</v>
      </c>
      <c r="M22" s="159">
        <f t="shared" si="10"/>
        <v>250</v>
      </c>
      <c r="N22" s="159">
        <f t="shared" si="10"/>
        <v>153</v>
      </c>
      <c r="O22" s="159">
        <f t="shared" si="10"/>
        <v>155</v>
      </c>
      <c r="P22" s="159">
        <f t="shared" si="10"/>
        <v>99</v>
      </c>
      <c r="Q22" s="159">
        <f t="shared" si="10"/>
        <v>149</v>
      </c>
      <c r="R22" s="159">
        <f t="shared" si="10"/>
        <v>106</v>
      </c>
      <c r="S22" s="159">
        <f t="shared" si="10"/>
        <v>214</v>
      </c>
      <c r="T22" s="159">
        <f t="shared" si="10"/>
        <v>128</v>
      </c>
      <c r="U22" s="159">
        <f t="shared" si="10"/>
        <v>243</v>
      </c>
      <c r="V22" s="159">
        <f t="shared" si="10"/>
        <v>230</v>
      </c>
      <c r="W22" s="159">
        <f t="shared" si="10"/>
        <v>101</v>
      </c>
      <c r="X22" s="159">
        <f t="shared" si="10"/>
        <v>221</v>
      </c>
      <c r="Y22" s="159">
        <f t="shared" si="10"/>
        <v>165</v>
      </c>
      <c r="Z22" s="159">
        <f t="shared" si="10"/>
        <v>430</v>
      </c>
      <c r="AA22" s="222">
        <f t="shared" si="10"/>
        <v>4007</v>
      </c>
    </row>
    <row r="23" spans="1:28" s="160" customFormat="1">
      <c r="A23" s="160" t="s">
        <v>128</v>
      </c>
      <c r="B23" s="329"/>
      <c r="C23" s="330"/>
      <c r="D23" s="16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1:28" s="162" customFormat="1">
      <c r="B24" s="322"/>
      <c r="C24" s="331" t="s">
        <v>212</v>
      </c>
      <c r="D24" s="262" t="s">
        <v>163</v>
      </c>
      <c r="E24" s="179">
        <f t="shared" ref="E24:Z26" si="12">INDEX(scorematrix,MATCH($C24,renners,0),MATCH(E$3,etappes,0))</f>
        <v>13</v>
      </c>
      <c r="F24" s="179">
        <f t="shared" si="12"/>
        <v>33</v>
      </c>
      <c r="G24" s="179">
        <f t="shared" si="12"/>
        <v>5</v>
      </c>
      <c r="H24" s="179">
        <f t="shared" si="12"/>
        <v>2</v>
      </c>
      <c r="I24" s="179">
        <f t="shared" si="12"/>
        <v>2</v>
      </c>
      <c r="J24" s="179">
        <f t="shared" si="12"/>
        <v>2</v>
      </c>
      <c r="K24" s="179">
        <f t="shared" si="12"/>
        <v>12</v>
      </c>
      <c r="L24" s="179">
        <f t="shared" si="12"/>
        <v>2</v>
      </c>
      <c r="M24" s="349">
        <f t="shared" si="12"/>
        <v>8</v>
      </c>
      <c r="N24" s="349">
        <f t="shared" si="12"/>
        <v>2</v>
      </c>
      <c r="O24" s="349">
        <f t="shared" si="12"/>
        <v>2</v>
      </c>
      <c r="P24" s="349">
        <f t="shared" si="12"/>
        <v>2</v>
      </c>
      <c r="Q24" s="349">
        <f t="shared" si="12"/>
        <v>2</v>
      </c>
      <c r="R24" s="349">
        <f t="shared" si="12"/>
        <v>2</v>
      </c>
      <c r="S24" s="349">
        <f t="shared" si="12"/>
        <v>0</v>
      </c>
      <c r="T24" s="179"/>
      <c r="U24" s="179"/>
      <c r="V24" s="179"/>
      <c r="W24" s="179"/>
      <c r="X24" s="179"/>
      <c r="Y24" s="179"/>
      <c r="Z24" s="179"/>
      <c r="AA24" s="290">
        <f>SUM(E24:Z24)</f>
        <v>89</v>
      </c>
    </row>
    <row r="25" spans="1:28" s="162" customFormat="1">
      <c r="B25" s="322"/>
      <c r="C25" s="331" t="s">
        <v>187</v>
      </c>
      <c r="D25" s="262" t="s">
        <v>163</v>
      </c>
      <c r="E25" s="179">
        <f t="shared" si="12"/>
        <v>0</v>
      </c>
      <c r="F25" s="179">
        <f t="shared" si="12"/>
        <v>8</v>
      </c>
      <c r="G25" s="179">
        <f t="shared" si="12"/>
        <v>0</v>
      </c>
      <c r="H25" s="179">
        <f t="shared" si="12"/>
        <v>0</v>
      </c>
      <c r="I25" s="179">
        <f t="shared" si="12"/>
        <v>0</v>
      </c>
      <c r="J25" s="179">
        <f t="shared" si="12"/>
        <v>17</v>
      </c>
      <c r="K25" s="179">
        <f t="shared" si="12"/>
        <v>0</v>
      </c>
      <c r="L25" s="179">
        <f t="shared" si="12"/>
        <v>0</v>
      </c>
      <c r="M25" s="179">
        <f t="shared" si="12"/>
        <v>12</v>
      </c>
      <c r="N25" s="179">
        <f t="shared" si="12"/>
        <v>0</v>
      </c>
      <c r="O25" s="179">
        <f t="shared" si="12"/>
        <v>0</v>
      </c>
      <c r="P25" s="179">
        <f t="shared" si="12"/>
        <v>0</v>
      </c>
      <c r="Q25" s="179">
        <f t="shared" si="12"/>
        <v>0</v>
      </c>
      <c r="R25" s="179">
        <f t="shared" si="12"/>
        <v>0</v>
      </c>
      <c r="S25" s="179">
        <f t="shared" si="12"/>
        <v>0</v>
      </c>
      <c r="T25" s="353">
        <f t="shared" si="12"/>
        <v>30</v>
      </c>
      <c r="U25" s="353">
        <f t="shared" si="12"/>
        <v>15</v>
      </c>
      <c r="V25" s="353">
        <f t="shared" si="12"/>
        <v>35</v>
      </c>
      <c r="W25" s="353">
        <f t="shared" si="12"/>
        <v>5</v>
      </c>
      <c r="X25" s="353">
        <f t="shared" si="12"/>
        <v>4</v>
      </c>
      <c r="Y25" s="353">
        <f t="shared" si="12"/>
        <v>4</v>
      </c>
      <c r="Z25" s="353">
        <f t="shared" si="12"/>
        <v>33</v>
      </c>
      <c r="AA25" s="290">
        <f>SUM(E25:Z25)</f>
        <v>163</v>
      </c>
    </row>
    <row r="26" spans="1:28" s="162" customFormat="1">
      <c r="B26" s="322"/>
      <c r="C26" s="331" t="s">
        <v>124</v>
      </c>
      <c r="D26" s="262" t="s">
        <v>163</v>
      </c>
      <c r="E26" s="179">
        <f t="shared" si="12"/>
        <v>0</v>
      </c>
      <c r="F26" s="179">
        <f t="shared" si="12"/>
        <v>0</v>
      </c>
      <c r="G26" s="179">
        <f t="shared" si="12"/>
        <v>0</v>
      </c>
      <c r="H26" s="179">
        <f t="shared" si="12"/>
        <v>0</v>
      </c>
      <c r="I26" s="179">
        <f t="shared" si="12"/>
        <v>0</v>
      </c>
      <c r="J26" s="179">
        <f t="shared" si="12"/>
        <v>0</v>
      </c>
      <c r="K26" s="179">
        <f t="shared" si="12"/>
        <v>12</v>
      </c>
      <c r="L26" s="179">
        <f t="shared" si="12"/>
        <v>0</v>
      </c>
      <c r="M26" s="179">
        <f t="shared" si="12"/>
        <v>0</v>
      </c>
      <c r="N26" s="179">
        <f t="shared" si="12"/>
        <v>0</v>
      </c>
      <c r="O26" s="179">
        <f t="shared" si="12"/>
        <v>0</v>
      </c>
      <c r="P26" s="179">
        <f t="shared" si="12"/>
        <v>0</v>
      </c>
      <c r="Q26" s="179">
        <f t="shared" si="12"/>
        <v>0</v>
      </c>
      <c r="R26" s="351">
        <f t="shared" si="12"/>
        <v>11</v>
      </c>
      <c r="S26" s="351">
        <f t="shared" si="12"/>
        <v>6</v>
      </c>
      <c r="T26" s="351">
        <f t="shared" si="12"/>
        <v>20</v>
      </c>
      <c r="U26" s="351">
        <f t="shared" si="12"/>
        <v>6</v>
      </c>
      <c r="V26" s="351">
        <f t="shared" si="12"/>
        <v>0</v>
      </c>
      <c r="W26" s="351">
        <f t="shared" si="12"/>
        <v>0</v>
      </c>
      <c r="X26" s="351">
        <f t="shared" si="12"/>
        <v>11</v>
      </c>
      <c r="Y26" s="351">
        <f t="shared" si="12"/>
        <v>0</v>
      </c>
      <c r="Z26" s="351">
        <f t="shared" si="12"/>
        <v>24</v>
      </c>
      <c r="AA26" s="290">
        <f>SUM(E26:Z26)</f>
        <v>90</v>
      </c>
    </row>
    <row r="28" spans="1:28">
      <c r="C28" s="291" t="s">
        <v>163</v>
      </c>
      <c r="D28" s="292">
        <f>COUNTIF($D$4:$D$21,C28)</f>
        <v>11</v>
      </c>
    </row>
    <row r="29" spans="1:28">
      <c r="C29" s="293" t="s">
        <v>10</v>
      </c>
      <c r="D29" s="292">
        <f>COUNTIF($D$4:$D$21,C29)</f>
        <v>4</v>
      </c>
    </row>
    <row r="30" spans="1:28">
      <c r="C30" s="293" t="s">
        <v>109</v>
      </c>
      <c r="D30" s="292">
        <f>COUNTIF($D$4:$D$21,C30)</f>
        <v>2</v>
      </c>
    </row>
  </sheetData>
  <sheetProtection selectLockedCells="1"/>
  <sortState ref="C4:D20">
    <sortCondition ref="D4:D20"/>
    <sortCondition ref="C4:C20"/>
  </sortState>
  <phoneticPr fontId="0" type="noConversion"/>
  <dataValidations count="1">
    <dataValidation type="list" allowBlank="1" showInputMessage="1" showErrorMessage="1" prompt="selecteer type renner:" sqref="D4:D19">
      <formula1>type_renner</formula1>
    </dataValidation>
  </dataValidations>
  <pageMargins left="0.75" right="0.75" top="1" bottom="1" header="0.5" footer="0.5"/>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sheetPr codeName="Blad10">
    <tabColor indexed="12"/>
  </sheetPr>
  <dimension ref="B1:AB30"/>
  <sheetViews>
    <sheetView showZeros="0" workbookViewId="0">
      <selection activeCell="AA21" sqref="AA21"/>
    </sheetView>
  </sheetViews>
  <sheetFormatPr defaultColWidth="9.140625" defaultRowHeight="12.75"/>
  <cols>
    <col min="1" max="1" width="2.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B1" s="163"/>
      <c r="C1" s="294" t="s">
        <v>80</v>
      </c>
      <c r="D1" s="256"/>
    </row>
    <row r="2" spans="2:28">
      <c r="B2" s="163"/>
      <c r="C2" s="295"/>
      <c r="D2" s="164"/>
      <c r="H2" s="128"/>
    </row>
    <row r="3" spans="2:28" s="126" customFormat="1" ht="13.5" thickBot="1">
      <c r="B3" s="296"/>
      <c r="C3" s="297" t="s">
        <v>95</v>
      </c>
      <c r="D3" s="257"/>
      <c r="E3" s="111">
        <v>1</v>
      </c>
      <c r="F3" s="111">
        <v>2</v>
      </c>
      <c r="G3" s="111">
        <v>3</v>
      </c>
      <c r="H3" s="111">
        <v>4</v>
      </c>
      <c r="I3" s="111">
        <v>5</v>
      </c>
      <c r="J3" s="111">
        <v>6</v>
      </c>
      <c r="K3" s="111">
        <v>7</v>
      </c>
      <c r="L3" s="111">
        <v>8</v>
      </c>
      <c r="M3" s="111">
        <v>9</v>
      </c>
      <c r="N3" s="111">
        <v>10</v>
      </c>
      <c r="O3" s="111">
        <v>11</v>
      </c>
      <c r="P3" s="111">
        <v>12</v>
      </c>
      <c r="Q3" s="111">
        <v>13</v>
      </c>
      <c r="R3" s="111">
        <v>14</v>
      </c>
      <c r="S3" s="111">
        <v>15</v>
      </c>
      <c r="T3" s="111">
        <v>16</v>
      </c>
      <c r="U3" s="111">
        <v>17</v>
      </c>
      <c r="V3" s="111">
        <v>18</v>
      </c>
      <c r="W3" s="111">
        <v>19</v>
      </c>
      <c r="X3" s="111">
        <v>20</v>
      </c>
      <c r="Y3" s="111">
        <v>21</v>
      </c>
      <c r="Z3" s="111" t="s">
        <v>1</v>
      </c>
      <c r="AA3" s="146"/>
    </row>
    <row r="4" spans="2:28">
      <c r="B4" s="322" t="s">
        <v>188</v>
      </c>
      <c r="C4" s="323" t="s">
        <v>134</v>
      </c>
      <c r="D4" s="259"/>
      <c r="E4" s="109">
        <f t="shared" ref="E4:N13" si="0">INDEX(scorematrix,MATCH($C4,renners,0),MATCH(E$3,etappes,0))</f>
        <v>0</v>
      </c>
      <c r="F4" s="109">
        <f t="shared" si="0"/>
        <v>0</v>
      </c>
      <c r="G4" s="109">
        <f t="shared" si="0"/>
        <v>0</v>
      </c>
      <c r="H4" s="109">
        <f t="shared" si="0"/>
        <v>46</v>
      </c>
      <c r="I4" s="109">
        <f t="shared" si="0"/>
        <v>12</v>
      </c>
      <c r="J4" s="109">
        <f t="shared" si="0"/>
        <v>11</v>
      </c>
      <c r="K4" s="109">
        <f t="shared" si="0"/>
        <v>11</v>
      </c>
      <c r="L4" s="109">
        <f t="shared" si="0"/>
        <v>19</v>
      </c>
      <c r="M4" s="109">
        <f t="shared" si="0"/>
        <v>40</v>
      </c>
      <c r="N4" s="109">
        <f t="shared" si="0"/>
        <v>10</v>
      </c>
      <c r="O4" s="109">
        <f t="shared" ref="O4:Z13" si="1">INDEX(scorematrix,MATCH($C4,renners,0),MATCH(O$3,etappes,0))</f>
        <v>10</v>
      </c>
      <c r="P4" s="109">
        <f t="shared" si="1"/>
        <v>10</v>
      </c>
      <c r="Q4" s="109">
        <f t="shared" si="1"/>
        <v>24</v>
      </c>
      <c r="R4" s="109">
        <f t="shared" si="1"/>
        <v>10</v>
      </c>
      <c r="S4" s="109">
        <f t="shared" si="1"/>
        <v>43</v>
      </c>
      <c r="T4" s="109">
        <f t="shared" si="1"/>
        <v>12</v>
      </c>
      <c r="U4" s="109">
        <f t="shared" si="1"/>
        <v>44</v>
      </c>
      <c r="V4" s="109">
        <f t="shared" si="1"/>
        <v>37</v>
      </c>
      <c r="W4" s="109">
        <f t="shared" si="1"/>
        <v>13</v>
      </c>
      <c r="X4" s="109">
        <f t="shared" si="1"/>
        <v>34</v>
      </c>
      <c r="Y4" s="109">
        <f t="shared" si="1"/>
        <v>12</v>
      </c>
      <c r="Z4" s="109">
        <f t="shared" si="1"/>
        <v>65</v>
      </c>
      <c r="AA4" s="172">
        <f t="shared" ref="AA4:AA20" si="2">SUM(E4:Z4)</f>
        <v>463</v>
      </c>
      <c r="AB4" s="108" t="str">
        <f t="shared" ref="AB4:AB20" si="3">C4</f>
        <v>Roglic</v>
      </c>
    </row>
    <row r="5" spans="2:28">
      <c r="B5" s="322" t="s">
        <v>189</v>
      </c>
      <c r="C5" s="324" t="s">
        <v>106</v>
      </c>
      <c r="D5" s="259"/>
      <c r="E5" s="109">
        <f t="shared" si="0"/>
        <v>0</v>
      </c>
      <c r="F5" s="109">
        <f t="shared" si="0"/>
        <v>1</v>
      </c>
      <c r="G5" s="109">
        <f t="shared" si="0"/>
        <v>4</v>
      </c>
      <c r="H5" s="109">
        <f t="shared" si="0"/>
        <v>19</v>
      </c>
      <c r="I5" s="109">
        <f t="shared" si="0"/>
        <v>5</v>
      </c>
      <c r="J5" s="109">
        <f t="shared" si="0"/>
        <v>16</v>
      </c>
      <c r="K5" s="109">
        <f t="shared" si="0"/>
        <v>6</v>
      </c>
      <c r="L5" s="109">
        <f t="shared" si="0"/>
        <v>0</v>
      </c>
      <c r="M5" s="109">
        <f t="shared" si="0"/>
        <v>9</v>
      </c>
      <c r="N5" s="109">
        <f t="shared" si="0"/>
        <v>0</v>
      </c>
      <c r="O5" s="109">
        <f t="shared" si="1"/>
        <v>0</v>
      </c>
      <c r="P5" s="109">
        <f t="shared" si="1"/>
        <v>0</v>
      </c>
      <c r="Q5" s="109">
        <f t="shared" si="1"/>
        <v>0</v>
      </c>
      <c r="R5" s="109">
        <f t="shared" si="1"/>
        <v>0</v>
      </c>
      <c r="S5" s="109">
        <f t="shared" si="1"/>
        <v>15</v>
      </c>
      <c r="T5" s="109">
        <f t="shared" si="1"/>
        <v>2</v>
      </c>
      <c r="U5" s="109">
        <f t="shared" si="1"/>
        <v>18</v>
      </c>
      <c r="V5" s="109">
        <f t="shared" si="1"/>
        <v>18</v>
      </c>
      <c r="W5" s="109">
        <f t="shared" si="1"/>
        <v>2</v>
      </c>
      <c r="X5" s="109">
        <f t="shared" si="1"/>
        <v>34</v>
      </c>
      <c r="Y5" s="109">
        <f t="shared" si="1"/>
        <v>4</v>
      </c>
      <c r="Z5" s="109">
        <f t="shared" si="1"/>
        <v>38</v>
      </c>
      <c r="AA5" s="172">
        <f t="shared" si="2"/>
        <v>191</v>
      </c>
      <c r="AB5" s="108" t="str">
        <f t="shared" si="3"/>
        <v>Dumoulin</v>
      </c>
    </row>
    <row r="6" spans="2:28">
      <c r="B6" s="322" t="s">
        <v>153</v>
      </c>
      <c r="C6" s="324" t="s">
        <v>154</v>
      </c>
      <c r="D6" s="259"/>
      <c r="E6" s="109">
        <f t="shared" si="0"/>
        <v>0</v>
      </c>
      <c r="F6" s="109">
        <f t="shared" si="0"/>
        <v>46</v>
      </c>
      <c r="G6" s="109">
        <f t="shared" si="0"/>
        <v>10</v>
      </c>
      <c r="H6" s="109">
        <f t="shared" si="0"/>
        <v>32</v>
      </c>
      <c r="I6" s="109">
        <f t="shared" si="0"/>
        <v>10</v>
      </c>
      <c r="J6" s="109">
        <f t="shared" si="0"/>
        <v>22</v>
      </c>
      <c r="K6" s="109">
        <f t="shared" si="0"/>
        <v>14</v>
      </c>
      <c r="L6" s="109">
        <f t="shared" si="0"/>
        <v>0</v>
      </c>
      <c r="M6" s="109">
        <f t="shared" si="0"/>
        <v>0</v>
      </c>
      <c r="N6" s="109">
        <f t="shared" si="0"/>
        <v>0</v>
      </c>
      <c r="O6" s="109">
        <f t="shared" si="1"/>
        <v>0</v>
      </c>
      <c r="P6" s="109">
        <f t="shared" si="1"/>
        <v>15</v>
      </c>
      <c r="Q6" s="109">
        <f t="shared" si="1"/>
        <v>0</v>
      </c>
      <c r="R6" s="109">
        <f t="shared" si="1"/>
        <v>0</v>
      </c>
      <c r="S6" s="109">
        <f t="shared" si="1"/>
        <v>0</v>
      </c>
      <c r="T6" s="109">
        <f t="shared" si="1"/>
        <v>16</v>
      </c>
      <c r="U6" s="109">
        <f t="shared" si="1"/>
        <v>0</v>
      </c>
      <c r="V6" s="109">
        <f t="shared" si="1"/>
        <v>0</v>
      </c>
      <c r="W6" s="109">
        <f t="shared" si="1"/>
        <v>0</v>
      </c>
      <c r="X6" s="109">
        <f t="shared" si="1"/>
        <v>0</v>
      </c>
      <c r="Y6" s="109">
        <f t="shared" si="1"/>
        <v>0</v>
      </c>
      <c r="Z6" s="109">
        <f t="shared" si="1"/>
        <v>0</v>
      </c>
      <c r="AA6" s="172">
        <f t="shared" si="2"/>
        <v>165</v>
      </c>
      <c r="AB6" s="108" t="str">
        <f t="shared" si="3"/>
        <v>Alaphilippe</v>
      </c>
    </row>
    <row r="7" spans="2:28">
      <c r="B7" s="322" t="s">
        <v>174</v>
      </c>
      <c r="C7" s="324" t="s">
        <v>171</v>
      </c>
      <c r="D7" s="259"/>
      <c r="E7" s="109">
        <f t="shared" si="0"/>
        <v>0</v>
      </c>
      <c r="F7" s="109">
        <f t="shared" si="0"/>
        <v>0</v>
      </c>
      <c r="G7" s="109">
        <f t="shared" si="0"/>
        <v>0</v>
      </c>
      <c r="H7" s="109">
        <f t="shared" si="0"/>
        <v>9</v>
      </c>
      <c r="I7" s="109">
        <f t="shared" si="0"/>
        <v>0</v>
      </c>
      <c r="J7" s="109">
        <f t="shared" si="0"/>
        <v>7</v>
      </c>
      <c r="K7" s="109">
        <f t="shared" si="0"/>
        <v>7</v>
      </c>
      <c r="L7" s="109">
        <f t="shared" si="0"/>
        <v>0</v>
      </c>
      <c r="M7" s="109">
        <f t="shared" si="0"/>
        <v>0</v>
      </c>
      <c r="N7" s="109">
        <f t="shared" si="0"/>
        <v>0</v>
      </c>
      <c r="O7" s="109">
        <f t="shared" si="1"/>
        <v>0</v>
      </c>
      <c r="P7" s="109">
        <f t="shared" si="1"/>
        <v>0</v>
      </c>
      <c r="Q7" s="109">
        <f t="shared" si="1"/>
        <v>0</v>
      </c>
      <c r="R7" s="109">
        <f t="shared" si="1"/>
        <v>0</v>
      </c>
      <c r="S7" s="109">
        <f t="shared" si="1"/>
        <v>0</v>
      </c>
      <c r="T7" s="109">
        <f t="shared" si="1"/>
        <v>0</v>
      </c>
      <c r="U7" s="109">
        <f t="shared" si="1"/>
        <v>0</v>
      </c>
      <c r="V7" s="109">
        <f t="shared" si="1"/>
        <v>0</v>
      </c>
      <c r="W7" s="109">
        <f t="shared" si="1"/>
        <v>0</v>
      </c>
      <c r="X7" s="109">
        <f t="shared" si="1"/>
        <v>0</v>
      </c>
      <c r="Y7" s="109">
        <f t="shared" si="1"/>
        <v>0</v>
      </c>
      <c r="Z7" s="109">
        <f t="shared" si="1"/>
        <v>0</v>
      </c>
      <c r="AA7" s="172">
        <f t="shared" si="2"/>
        <v>23</v>
      </c>
      <c r="AB7" s="108" t="str">
        <f t="shared" si="3"/>
        <v>Buchmann</v>
      </c>
    </row>
    <row r="8" spans="2:28">
      <c r="B8" s="322" t="s">
        <v>214</v>
      </c>
      <c r="C8" s="324" t="s">
        <v>86</v>
      </c>
      <c r="D8" s="259"/>
      <c r="E8" s="109">
        <f t="shared" si="0"/>
        <v>0</v>
      </c>
      <c r="F8" s="109">
        <f t="shared" si="0"/>
        <v>0</v>
      </c>
      <c r="G8" s="109">
        <f t="shared" si="0"/>
        <v>0</v>
      </c>
      <c r="H8" s="109">
        <f t="shared" si="0"/>
        <v>18</v>
      </c>
      <c r="I8" s="109">
        <f t="shared" si="0"/>
        <v>0</v>
      </c>
      <c r="J8" s="109">
        <f t="shared" si="0"/>
        <v>12</v>
      </c>
      <c r="K8" s="109">
        <f t="shared" si="0"/>
        <v>10</v>
      </c>
      <c r="L8" s="109">
        <f t="shared" si="0"/>
        <v>0</v>
      </c>
      <c r="M8" s="350"/>
      <c r="N8" s="350"/>
      <c r="O8" s="350"/>
      <c r="P8" s="350"/>
      <c r="Q8" s="350"/>
      <c r="R8" s="350"/>
      <c r="S8" s="350"/>
      <c r="T8" s="350"/>
      <c r="U8" s="350"/>
      <c r="V8" s="350"/>
      <c r="W8" s="350"/>
      <c r="X8" s="350"/>
      <c r="Y8" s="350"/>
      <c r="Z8" s="350"/>
      <c r="AA8" s="172">
        <f t="shared" si="2"/>
        <v>40</v>
      </c>
      <c r="AB8" s="108" t="str">
        <f t="shared" si="3"/>
        <v>Pinot</v>
      </c>
    </row>
    <row r="9" spans="2:28">
      <c r="B9" s="322" t="s">
        <v>215</v>
      </c>
      <c r="C9" s="324" t="s">
        <v>136</v>
      </c>
      <c r="D9" s="259"/>
      <c r="E9" s="109">
        <f t="shared" si="0"/>
        <v>0</v>
      </c>
      <c r="F9" s="109">
        <f t="shared" si="0"/>
        <v>14</v>
      </c>
      <c r="G9" s="109">
        <f t="shared" si="0"/>
        <v>8</v>
      </c>
      <c r="H9" s="109">
        <f t="shared" si="0"/>
        <v>28</v>
      </c>
      <c r="I9" s="109">
        <f t="shared" si="0"/>
        <v>18</v>
      </c>
      <c r="J9" s="109">
        <f t="shared" si="0"/>
        <v>28</v>
      </c>
      <c r="K9" s="109">
        <f t="shared" si="0"/>
        <v>30</v>
      </c>
      <c r="L9" s="109">
        <f t="shared" si="0"/>
        <v>24</v>
      </c>
      <c r="M9" s="109">
        <f t="shared" si="0"/>
        <v>38</v>
      </c>
      <c r="N9" s="109">
        <f t="shared" si="0"/>
        <v>14</v>
      </c>
      <c r="O9" s="109">
        <f t="shared" si="1"/>
        <v>14</v>
      </c>
      <c r="P9" s="109">
        <f t="shared" si="1"/>
        <v>14</v>
      </c>
      <c r="Q9" s="109">
        <f t="shared" si="1"/>
        <v>20</v>
      </c>
      <c r="R9" s="109">
        <f t="shared" si="1"/>
        <v>12</v>
      </c>
      <c r="S9" s="109">
        <f t="shared" si="1"/>
        <v>3</v>
      </c>
      <c r="T9" s="109">
        <f t="shared" si="1"/>
        <v>3</v>
      </c>
      <c r="U9" s="109">
        <f t="shared" si="1"/>
        <v>0</v>
      </c>
      <c r="V9" s="109">
        <f t="shared" si="1"/>
        <v>0</v>
      </c>
      <c r="W9" s="109">
        <f t="shared" si="1"/>
        <v>0</v>
      </c>
      <c r="X9" s="109">
        <f t="shared" si="1"/>
        <v>0</v>
      </c>
      <c r="Y9" s="109">
        <f t="shared" si="1"/>
        <v>0</v>
      </c>
      <c r="Z9" s="109">
        <f t="shared" si="1"/>
        <v>0</v>
      </c>
      <c r="AA9" s="172">
        <f t="shared" si="2"/>
        <v>268</v>
      </c>
      <c r="AB9" s="108" t="str">
        <f t="shared" si="3"/>
        <v>Bernal</v>
      </c>
    </row>
    <row r="10" spans="2:28">
      <c r="B10" s="322" t="s">
        <v>198</v>
      </c>
      <c r="C10" s="324" t="s">
        <v>199</v>
      </c>
      <c r="D10" s="259"/>
      <c r="E10" s="109">
        <f t="shared" si="0"/>
        <v>11</v>
      </c>
      <c r="F10" s="109">
        <f t="shared" si="0"/>
        <v>27</v>
      </c>
      <c r="G10" s="109">
        <f t="shared" si="0"/>
        <v>11</v>
      </c>
      <c r="H10" s="109">
        <f t="shared" si="0"/>
        <v>44</v>
      </c>
      <c r="I10" s="109">
        <f t="shared" si="0"/>
        <v>15</v>
      </c>
      <c r="J10" s="109">
        <f t="shared" si="0"/>
        <v>28</v>
      </c>
      <c r="K10" s="109">
        <f t="shared" si="0"/>
        <v>2</v>
      </c>
      <c r="L10" s="109">
        <f t="shared" si="0"/>
        <v>23</v>
      </c>
      <c r="M10" s="109">
        <f t="shared" si="0"/>
        <v>43</v>
      </c>
      <c r="N10" s="109">
        <f t="shared" si="0"/>
        <v>8</v>
      </c>
      <c r="O10" s="109">
        <f t="shared" si="1"/>
        <v>8</v>
      </c>
      <c r="P10" s="109">
        <f t="shared" si="1"/>
        <v>8</v>
      </c>
      <c r="Q10" s="109">
        <f t="shared" si="1"/>
        <v>27</v>
      </c>
      <c r="R10" s="109">
        <f t="shared" si="1"/>
        <v>28</v>
      </c>
      <c r="S10" s="109">
        <f t="shared" si="1"/>
        <v>53</v>
      </c>
      <c r="T10" s="109">
        <f t="shared" si="1"/>
        <v>17</v>
      </c>
      <c r="U10" s="109">
        <f t="shared" si="1"/>
        <v>45</v>
      </c>
      <c r="V10" s="109">
        <f t="shared" si="1"/>
        <v>40</v>
      </c>
      <c r="W10" s="109">
        <f t="shared" si="1"/>
        <v>18</v>
      </c>
      <c r="X10" s="109">
        <f t="shared" si="1"/>
        <v>55</v>
      </c>
      <c r="Y10" s="109">
        <f t="shared" si="1"/>
        <v>20</v>
      </c>
      <c r="Z10" s="109">
        <f t="shared" si="1"/>
        <v>90</v>
      </c>
      <c r="AA10" s="172">
        <f t="shared" si="2"/>
        <v>621</v>
      </c>
      <c r="AB10" s="108" t="str">
        <f t="shared" si="3"/>
        <v>Pogacar</v>
      </c>
    </row>
    <row r="11" spans="2:28">
      <c r="B11" s="322" t="s">
        <v>139</v>
      </c>
      <c r="C11" s="324" t="s">
        <v>133</v>
      </c>
      <c r="D11" s="259"/>
      <c r="E11" s="109">
        <f t="shared" si="0"/>
        <v>0</v>
      </c>
      <c r="F11" s="109">
        <f t="shared" si="0"/>
        <v>0</v>
      </c>
      <c r="G11" s="109">
        <f t="shared" si="0"/>
        <v>0</v>
      </c>
      <c r="H11" s="109">
        <f t="shared" si="0"/>
        <v>17</v>
      </c>
      <c r="I11" s="109">
        <f t="shared" si="0"/>
        <v>0</v>
      </c>
      <c r="J11" s="109">
        <f t="shared" si="0"/>
        <v>0</v>
      </c>
      <c r="K11" s="109">
        <f t="shared" si="0"/>
        <v>0</v>
      </c>
      <c r="L11" s="109">
        <f t="shared" si="0"/>
        <v>12</v>
      </c>
      <c r="M11" s="109">
        <f t="shared" si="0"/>
        <v>23</v>
      </c>
      <c r="N11" s="109">
        <f t="shared" si="0"/>
        <v>1</v>
      </c>
      <c r="O11" s="109">
        <f t="shared" si="1"/>
        <v>1</v>
      </c>
      <c r="P11" s="109">
        <f t="shared" si="1"/>
        <v>1</v>
      </c>
      <c r="Q11" s="109">
        <f t="shared" si="1"/>
        <v>14</v>
      </c>
      <c r="R11" s="109">
        <f t="shared" si="1"/>
        <v>3</v>
      </c>
      <c r="S11" s="109">
        <f t="shared" si="1"/>
        <v>23</v>
      </c>
      <c r="T11" s="109">
        <f t="shared" si="1"/>
        <v>4</v>
      </c>
      <c r="U11" s="109">
        <f t="shared" si="1"/>
        <v>23</v>
      </c>
      <c r="V11" s="109">
        <f t="shared" si="1"/>
        <v>24</v>
      </c>
      <c r="W11" s="109">
        <f t="shared" si="1"/>
        <v>6</v>
      </c>
      <c r="X11" s="109">
        <f t="shared" si="1"/>
        <v>19</v>
      </c>
      <c r="Y11" s="109">
        <f t="shared" si="1"/>
        <v>7</v>
      </c>
      <c r="Z11" s="109">
        <f t="shared" si="1"/>
        <v>48</v>
      </c>
      <c r="AA11" s="172">
        <f t="shared" si="2"/>
        <v>226</v>
      </c>
      <c r="AB11" s="108" t="str">
        <f t="shared" si="3"/>
        <v>Landa</v>
      </c>
    </row>
    <row r="12" spans="2:28">
      <c r="B12" s="322" t="s">
        <v>203</v>
      </c>
      <c r="C12" s="324" t="s">
        <v>204</v>
      </c>
      <c r="D12" s="259"/>
      <c r="E12" s="109">
        <f t="shared" si="0"/>
        <v>0</v>
      </c>
      <c r="F12" s="109">
        <f t="shared" si="0"/>
        <v>10</v>
      </c>
      <c r="G12" s="109">
        <f t="shared" si="0"/>
        <v>0</v>
      </c>
      <c r="H12" s="109">
        <f t="shared" si="0"/>
        <v>21</v>
      </c>
      <c r="I12" s="109">
        <f t="shared" si="0"/>
        <v>9</v>
      </c>
      <c r="J12" s="109">
        <f t="shared" si="0"/>
        <v>1</v>
      </c>
      <c r="K12" s="109">
        <f t="shared" si="0"/>
        <v>3</v>
      </c>
      <c r="L12" s="109">
        <f t="shared" si="0"/>
        <v>19</v>
      </c>
      <c r="M12" s="109">
        <f t="shared" si="0"/>
        <v>12</v>
      </c>
      <c r="N12" s="109">
        <f t="shared" si="0"/>
        <v>2</v>
      </c>
      <c r="O12" s="109">
        <f t="shared" si="1"/>
        <v>2</v>
      </c>
      <c r="P12" s="109">
        <f t="shared" si="1"/>
        <v>2</v>
      </c>
      <c r="Q12" s="109">
        <f t="shared" si="1"/>
        <v>15</v>
      </c>
      <c r="R12" s="109">
        <f t="shared" si="1"/>
        <v>5</v>
      </c>
      <c r="S12" s="109">
        <f t="shared" si="1"/>
        <v>31</v>
      </c>
      <c r="T12" s="109">
        <f t="shared" si="1"/>
        <v>13</v>
      </c>
      <c r="U12" s="109">
        <f t="shared" si="1"/>
        <v>46</v>
      </c>
      <c r="V12" s="109">
        <f t="shared" si="1"/>
        <v>23</v>
      </c>
      <c r="W12" s="109">
        <f t="shared" si="1"/>
        <v>9</v>
      </c>
      <c r="X12" s="109">
        <f t="shared" si="1"/>
        <v>6</v>
      </c>
      <c r="Y12" s="109">
        <f t="shared" si="1"/>
        <v>6</v>
      </c>
      <c r="Z12" s="109">
        <f t="shared" si="1"/>
        <v>41</v>
      </c>
      <c r="AA12" s="172">
        <f t="shared" si="2"/>
        <v>276</v>
      </c>
      <c r="AB12" s="108" t="str">
        <f t="shared" si="3"/>
        <v>Lopez</v>
      </c>
    </row>
    <row r="13" spans="2:28">
      <c r="B13" s="322" t="s">
        <v>216</v>
      </c>
      <c r="C13" s="324" t="s">
        <v>87</v>
      </c>
      <c r="D13" s="259"/>
      <c r="E13" s="109">
        <f t="shared" si="0"/>
        <v>0</v>
      </c>
      <c r="F13" s="109">
        <f t="shared" si="0"/>
        <v>0</v>
      </c>
      <c r="G13" s="109">
        <f t="shared" si="0"/>
        <v>0</v>
      </c>
      <c r="H13" s="109">
        <f t="shared" si="0"/>
        <v>12</v>
      </c>
      <c r="I13" s="109">
        <f t="shared" si="0"/>
        <v>0</v>
      </c>
      <c r="J13" s="109">
        <f t="shared" si="0"/>
        <v>0</v>
      </c>
      <c r="K13" s="109">
        <f t="shared" si="0"/>
        <v>0</v>
      </c>
      <c r="L13" s="109">
        <f t="shared" si="0"/>
        <v>7</v>
      </c>
      <c r="M13" s="109">
        <f t="shared" si="0"/>
        <v>17</v>
      </c>
      <c r="N13" s="109">
        <f t="shared" si="0"/>
        <v>0</v>
      </c>
      <c r="O13" s="109">
        <f t="shared" si="1"/>
        <v>0</v>
      </c>
      <c r="P13" s="109">
        <f t="shared" si="1"/>
        <v>0</v>
      </c>
      <c r="Q13" s="109">
        <f t="shared" si="1"/>
        <v>14</v>
      </c>
      <c r="R13" s="109">
        <f t="shared" si="1"/>
        <v>2</v>
      </c>
      <c r="S13" s="109">
        <f t="shared" si="1"/>
        <v>31</v>
      </c>
      <c r="T13" s="109">
        <f t="shared" si="1"/>
        <v>5</v>
      </c>
      <c r="U13" s="109">
        <f t="shared" si="1"/>
        <v>29</v>
      </c>
      <c r="V13" s="109">
        <f t="shared" si="1"/>
        <v>27</v>
      </c>
      <c r="W13" s="109">
        <f t="shared" si="1"/>
        <v>7</v>
      </c>
      <c r="X13" s="109">
        <f t="shared" si="1"/>
        <v>34</v>
      </c>
      <c r="Y13" s="109">
        <f t="shared" si="1"/>
        <v>8</v>
      </c>
      <c r="Z13" s="109">
        <f t="shared" si="1"/>
        <v>52</v>
      </c>
      <c r="AA13" s="172">
        <f t="shared" si="2"/>
        <v>245</v>
      </c>
      <c r="AB13" s="108" t="str">
        <f t="shared" si="3"/>
        <v>Porte</v>
      </c>
    </row>
    <row r="14" spans="2:28">
      <c r="B14" s="322" t="s">
        <v>140</v>
      </c>
      <c r="C14" s="324" t="s">
        <v>72</v>
      </c>
      <c r="D14" s="259"/>
      <c r="E14" s="109">
        <f t="shared" ref="E14:N20" si="4">INDEX(scorematrix,MATCH($C14,renners,0),MATCH(E$3,etappes,0))</f>
        <v>31</v>
      </c>
      <c r="F14" s="109">
        <f t="shared" si="4"/>
        <v>4</v>
      </c>
      <c r="G14" s="109">
        <f t="shared" si="4"/>
        <v>25</v>
      </c>
      <c r="H14" s="109">
        <f t="shared" si="4"/>
        <v>5</v>
      </c>
      <c r="I14" s="109">
        <f t="shared" si="4"/>
        <v>28</v>
      </c>
      <c r="J14" s="109">
        <f t="shared" si="4"/>
        <v>4</v>
      </c>
      <c r="K14" s="109">
        <f t="shared" si="4"/>
        <v>18</v>
      </c>
      <c r="L14" s="109">
        <f t="shared" si="4"/>
        <v>5</v>
      </c>
      <c r="M14" s="109">
        <f t="shared" si="4"/>
        <v>5</v>
      </c>
      <c r="N14" s="109">
        <f t="shared" si="4"/>
        <v>30</v>
      </c>
      <c r="O14" s="109">
        <f t="shared" ref="O14:Z20" si="5">INDEX(scorematrix,MATCH($C14,renners,0),MATCH(O$3,etappes,0))</f>
        <v>4</v>
      </c>
      <c r="P14" s="109">
        <f t="shared" si="5"/>
        <v>17</v>
      </c>
      <c r="Q14" s="109">
        <f t="shared" si="5"/>
        <v>4</v>
      </c>
      <c r="R14" s="109">
        <f t="shared" si="5"/>
        <v>28</v>
      </c>
      <c r="S14" s="109">
        <f t="shared" si="5"/>
        <v>4</v>
      </c>
      <c r="T14" s="109">
        <f t="shared" si="5"/>
        <v>4</v>
      </c>
      <c r="U14" s="109">
        <f t="shared" si="5"/>
        <v>4</v>
      </c>
      <c r="V14" s="109">
        <f t="shared" si="5"/>
        <v>4</v>
      </c>
      <c r="W14" s="109">
        <f t="shared" si="5"/>
        <v>21</v>
      </c>
      <c r="X14" s="109">
        <f t="shared" si="5"/>
        <v>4</v>
      </c>
      <c r="Y14" s="109">
        <f t="shared" si="5"/>
        <v>30</v>
      </c>
      <c r="Z14" s="109">
        <f t="shared" si="5"/>
        <v>7</v>
      </c>
      <c r="AA14" s="172">
        <f t="shared" si="2"/>
        <v>286</v>
      </c>
      <c r="AB14" s="108" t="str">
        <f t="shared" si="3"/>
        <v>Sagan</v>
      </c>
    </row>
    <row r="15" spans="2:28">
      <c r="B15" s="322" t="s">
        <v>164</v>
      </c>
      <c r="C15" s="324" t="s">
        <v>165</v>
      </c>
      <c r="D15" s="259"/>
      <c r="E15" s="109">
        <f t="shared" si="4"/>
        <v>7</v>
      </c>
      <c r="F15" s="109">
        <f t="shared" si="4"/>
        <v>0</v>
      </c>
      <c r="G15" s="109">
        <f t="shared" si="4"/>
        <v>36</v>
      </c>
      <c r="H15" s="109">
        <f t="shared" si="4"/>
        <v>0</v>
      </c>
      <c r="I15" s="109">
        <f t="shared" si="4"/>
        <v>20</v>
      </c>
      <c r="J15" s="109">
        <f t="shared" si="4"/>
        <v>2</v>
      </c>
      <c r="K15" s="109">
        <f t="shared" si="4"/>
        <v>0</v>
      </c>
      <c r="L15" s="109">
        <f t="shared" si="4"/>
        <v>0</v>
      </c>
      <c r="M15" s="109">
        <f t="shared" si="4"/>
        <v>0</v>
      </c>
      <c r="N15" s="109">
        <f t="shared" si="4"/>
        <v>30</v>
      </c>
      <c r="O15" s="109">
        <f t="shared" si="5"/>
        <v>37</v>
      </c>
      <c r="P15" s="109">
        <f t="shared" si="5"/>
        <v>2</v>
      </c>
      <c r="Q15" s="109">
        <f t="shared" si="5"/>
        <v>2</v>
      </c>
      <c r="R15" s="109">
        <f t="shared" si="5"/>
        <v>1</v>
      </c>
      <c r="S15" s="109">
        <f t="shared" si="5"/>
        <v>1</v>
      </c>
      <c r="T15" s="109">
        <f t="shared" si="5"/>
        <v>1</v>
      </c>
      <c r="U15" s="109">
        <f t="shared" si="5"/>
        <v>1</v>
      </c>
      <c r="V15" s="109">
        <f t="shared" si="5"/>
        <v>1</v>
      </c>
      <c r="W15" s="109">
        <f t="shared" si="5"/>
        <v>1</v>
      </c>
      <c r="X15" s="109">
        <f t="shared" si="5"/>
        <v>0</v>
      </c>
      <c r="Y15" s="109">
        <f t="shared" si="5"/>
        <v>19</v>
      </c>
      <c r="Z15" s="109">
        <f t="shared" si="5"/>
        <v>0</v>
      </c>
      <c r="AA15" s="172">
        <f t="shared" si="2"/>
        <v>161</v>
      </c>
      <c r="AB15" s="108" t="str">
        <f t="shared" si="3"/>
        <v>Ewan</v>
      </c>
    </row>
    <row r="16" spans="2:28">
      <c r="B16" s="322" t="s">
        <v>166</v>
      </c>
      <c r="C16" s="324" t="s">
        <v>167</v>
      </c>
      <c r="D16" s="259"/>
      <c r="E16" s="109">
        <f t="shared" si="4"/>
        <v>25</v>
      </c>
      <c r="F16" s="109">
        <f t="shared" si="4"/>
        <v>0</v>
      </c>
      <c r="G16" s="109">
        <f t="shared" si="4"/>
        <v>0</v>
      </c>
      <c r="H16" s="109">
        <f t="shared" si="4"/>
        <v>0</v>
      </c>
      <c r="I16" s="109">
        <f t="shared" si="4"/>
        <v>0</v>
      </c>
      <c r="J16" s="109">
        <f t="shared" si="4"/>
        <v>0</v>
      </c>
      <c r="K16" s="109">
        <f t="shared" si="4"/>
        <v>0</v>
      </c>
      <c r="L16" s="109">
        <f t="shared" si="4"/>
        <v>0</v>
      </c>
      <c r="M16" s="109">
        <f t="shared" si="4"/>
        <v>0</v>
      </c>
      <c r="N16" s="109">
        <f t="shared" si="4"/>
        <v>24</v>
      </c>
      <c r="O16" s="109">
        <f t="shared" si="5"/>
        <v>9</v>
      </c>
      <c r="P16" s="109">
        <f t="shared" si="5"/>
        <v>0</v>
      </c>
      <c r="Q16" s="109">
        <f t="shared" si="5"/>
        <v>0</v>
      </c>
      <c r="R16" s="109">
        <f t="shared" si="5"/>
        <v>0</v>
      </c>
      <c r="S16" s="109">
        <f t="shared" si="5"/>
        <v>0</v>
      </c>
      <c r="T16" s="109">
        <f t="shared" si="5"/>
        <v>0</v>
      </c>
      <c r="U16" s="109">
        <f t="shared" si="5"/>
        <v>0</v>
      </c>
      <c r="V16" s="109">
        <f t="shared" si="5"/>
        <v>0</v>
      </c>
      <c r="W16" s="109">
        <f t="shared" si="5"/>
        <v>0</v>
      </c>
      <c r="X16" s="109">
        <f t="shared" si="5"/>
        <v>0</v>
      </c>
      <c r="Y16" s="109">
        <f t="shared" si="5"/>
        <v>22</v>
      </c>
      <c r="Z16" s="109">
        <f t="shared" si="5"/>
        <v>0</v>
      </c>
      <c r="AA16" s="172">
        <f t="shared" si="2"/>
        <v>80</v>
      </c>
      <c r="AB16" s="108" t="str">
        <f t="shared" si="3"/>
        <v>Viviani</v>
      </c>
    </row>
    <row r="17" spans="2:28">
      <c r="B17" s="322" t="s">
        <v>175</v>
      </c>
      <c r="C17" s="324" t="s">
        <v>172</v>
      </c>
      <c r="D17" s="259"/>
      <c r="E17" s="109">
        <f t="shared" si="4"/>
        <v>0</v>
      </c>
      <c r="F17" s="109">
        <f t="shared" si="4"/>
        <v>0</v>
      </c>
      <c r="G17" s="109">
        <f t="shared" si="4"/>
        <v>0</v>
      </c>
      <c r="H17" s="109">
        <f t="shared" si="4"/>
        <v>0</v>
      </c>
      <c r="I17" s="109">
        <f t="shared" si="4"/>
        <v>35</v>
      </c>
      <c r="J17" s="109">
        <f t="shared" si="4"/>
        <v>0</v>
      </c>
      <c r="K17" s="109">
        <f t="shared" si="4"/>
        <v>38</v>
      </c>
      <c r="L17" s="109">
        <f t="shared" si="4"/>
        <v>3</v>
      </c>
      <c r="M17" s="109">
        <f t="shared" si="4"/>
        <v>3</v>
      </c>
      <c r="N17" s="109">
        <f t="shared" si="4"/>
        <v>1</v>
      </c>
      <c r="O17" s="109">
        <f t="shared" si="5"/>
        <v>26</v>
      </c>
      <c r="P17" s="109">
        <f t="shared" si="5"/>
        <v>7</v>
      </c>
      <c r="Q17" s="109">
        <f t="shared" si="5"/>
        <v>0</v>
      </c>
      <c r="R17" s="109">
        <f t="shared" si="5"/>
        <v>0</v>
      </c>
      <c r="S17" s="109">
        <f t="shared" si="5"/>
        <v>0</v>
      </c>
      <c r="T17" s="109">
        <f t="shared" si="5"/>
        <v>0</v>
      </c>
      <c r="U17" s="109">
        <f t="shared" si="5"/>
        <v>7</v>
      </c>
      <c r="V17" s="109">
        <f t="shared" si="5"/>
        <v>26</v>
      </c>
      <c r="W17" s="109">
        <f t="shared" si="5"/>
        <v>0</v>
      </c>
      <c r="X17" s="109">
        <f t="shared" si="5"/>
        <v>25</v>
      </c>
      <c r="Y17" s="109">
        <f t="shared" si="5"/>
        <v>21</v>
      </c>
      <c r="Z17" s="109">
        <f t="shared" si="5"/>
        <v>13</v>
      </c>
      <c r="AA17" s="172">
        <f t="shared" si="2"/>
        <v>205</v>
      </c>
      <c r="AB17" s="108" t="str">
        <f t="shared" si="3"/>
        <v>van Aert</v>
      </c>
    </row>
    <row r="18" spans="2:28">
      <c r="B18" s="322" t="s">
        <v>200</v>
      </c>
      <c r="C18" s="324" t="s">
        <v>201</v>
      </c>
      <c r="D18" s="259"/>
      <c r="E18" s="109">
        <f t="shared" si="4"/>
        <v>23</v>
      </c>
      <c r="F18" s="109">
        <f t="shared" si="4"/>
        <v>0</v>
      </c>
      <c r="G18" s="109">
        <f t="shared" si="4"/>
        <v>26</v>
      </c>
      <c r="H18" s="109">
        <f t="shared" si="4"/>
        <v>1</v>
      </c>
      <c r="I18" s="109">
        <f t="shared" si="4"/>
        <v>15</v>
      </c>
      <c r="J18" s="109">
        <f t="shared" si="4"/>
        <v>0</v>
      </c>
      <c r="K18" s="109">
        <f t="shared" si="4"/>
        <v>0</v>
      </c>
      <c r="L18" s="109">
        <f t="shared" si="4"/>
        <v>0</v>
      </c>
      <c r="M18" s="352">
        <f t="shared" si="4"/>
        <v>0</v>
      </c>
      <c r="N18" s="352">
        <f t="shared" si="4"/>
        <v>0</v>
      </c>
      <c r="O18" s="352">
        <f t="shared" si="5"/>
        <v>0</v>
      </c>
      <c r="P18" s="352">
        <f t="shared" si="5"/>
        <v>0</v>
      </c>
      <c r="Q18" s="352">
        <f t="shared" si="5"/>
        <v>0</v>
      </c>
      <c r="R18" s="352">
        <f t="shared" si="5"/>
        <v>0</v>
      </c>
      <c r="S18" s="352">
        <f t="shared" si="5"/>
        <v>0</v>
      </c>
      <c r="T18" s="352">
        <f t="shared" si="5"/>
        <v>0</v>
      </c>
      <c r="U18" s="352">
        <f t="shared" si="5"/>
        <v>0</v>
      </c>
      <c r="V18" s="352">
        <f t="shared" si="5"/>
        <v>0</v>
      </c>
      <c r="W18" s="352">
        <f t="shared" si="5"/>
        <v>0</v>
      </c>
      <c r="X18" s="352">
        <f t="shared" si="5"/>
        <v>0</v>
      </c>
      <c r="Y18" s="352">
        <f t="shared" si="5"/>
        <v>0</v>
      </c>
      <c r="Z18" s="352">
        <f t="shared" si="5"/>
        <v>0</v>
      </c>
      <c r="AA18" s="172">
        <f t="shared" si="2"/>
        <v>65</v>
      </c>
      <c r="AB18" s="108" t="str">
        <f t="shared" si="3"/>
        <v>Nizzolo</v>
      </c>
    </row>
    <row r="19" spans="2:28">
      <c r="B19" s="322" t="s">
        <v>217</v>
      </c>
      <c r="C19" s="324" t="s">
        <v>212</v>
      </c>
      <c r="D19" s="259"/>
      <c r="E19" s="109">
        <f t="shared" si="4"/>
        <v>13</v>
      </c>
      <c r="F19" s="109">
        <f t="shared" si="4"/>
        <v>33</v>
      </c>
      <c r="G19" s="109">
        <f t="shared" si="4"/>
        <v>5</v>
      </c>
      <c r="H19" s="109">
        <f t="shared" si="4"/>
        <v>2</v>
      </c>
      <c r="I19" s="109">
        <f t="shared" si="4"/>
        <v>2</v>
      </c>
      <c r="J19" s="109">
        <f t="shared" si="4"/>
        <v>2</v>
      </c>
      <c r="K19" s="109">
        <f t="shared" si="4"/>
        <v>12</v>
      </c>
      <c r="L19" s="109">
        <f t="shared" si="4"/>
        <v>2</v>
      </c>
      <c r="M19" s="109">
        <f t="shared" si="4"/>
        <v>8</v>
      </c>
      <c r="N19" s="109">
        <f t="shared" si="4"/>
        <v>2</v>
      </c>
      <c r="O19" s="109">
        <f t="shared" si="5"/>
        <v>2</v>
      </c>
      <c r="P19" s="109">
        <f t="shared" si="5"/>
        <v>2</v>
      </c>
      <c r="Q19" s="109">
        <f t="shared" si="5"/>
        <v>2</v>
      </c>
      <c r="R19" s="109">
        <f t="shared" si="5"/>
        <v>2</v>
      </c>
      <c r="S19" s="109">
        <f t="shared" si="5"/>
        <v>0</v>
      </c>
      <c r="T19" s="354"/>
      <c r="U19" s="354"/>
      <c r="V19" s="354"/>
      <c r="W19" s="354"/>
      <c r="X19" s="354"/>
      <c r="Y19" s="354"/>
      <c r="Z19" s="354"/>
      <c r="AA19" s="172">
        <f t="shared" si="2"/>
        <v>89</v>
      </c>
      <c r="AB19" s="108" t="str">
        <f t="shared" si="3"/>
        <v>Higuita</v>
      </c>
    </row>
    <row r="20" spans="2:28" s="157" customFormat="1">
      <c r="B20" s="322" t="s">
        <v>157</v>
      </c>
      <c r="C20" s="324" t="s">
        <v>159</v>
      </c>
      <c r="D20" s="259"/>
      <c r="E20" s="109">
        <f t="shared" si="4"/>
        <v>0</v>
      </c>
      <c r="F20" s="109">
        <f t="shared" si="4"/>
        <v>15</v>
      </c>
      <c r="G20" s="109">
        <f t="shared" si="4"/>
        <v>2</v>
      </c>
      <c r="H20" s="109">
        <f t="shared" si="4"/>
        <v>32</v>
      </c>
      <c r="I20" s="109">
        <f t="shared" si="4"/>
        <v>7</v>
      </c>
      <c r="J20" s="109">
        <f t="shared" si="4"/>
        <v>7</v>
      </c>
      <c r="K20" s="109">
        <f t="shared" si="4"/>
        <v>14</v>
      </c>
      <c r="L20" s="109">
        <f t="shared" si="4"/>
        <v>19</v>
      </c>
      <c r="M20" s="109">
        <f t="shared" si="4"/>
        <v>27</v>
      </c>
      <c r="N20" s="109">
        <f t="shared" si="4"/>
        <v>8</v>
      </c>
      <c r="O20" s="109">
        <f t="shared" si="5"/>
        <v>8</v>
      </c>
      <c r="P20" s="109">
        <f t="shared" si="5"/>
        <v>8</v>
      </c>
      <c r="Q20" s="109">
        <f t="shared" si="5"/>
        <v>0</v>
      </c>
      <c r="R20" s="109">
        <f t="shared" si="5"/>
        <v>0</v>
      </c>
      <c r="S20" s="109">
        <f t="shared" si="5"/>
        <v>12</v>
      </c>
      <c r="T20" s="109">
        <f t="shared" si="5"/>
        <v>0</v>
      </c>
      <c r="U20" s="109">
        <f t="shared" si="5"/>
        <v>12</v>
      </c>
      <c r="V20" s="109">
        <f t="shared" si="5"/>
        <v>8</v>
      </c>
      <c r="W20" s="109">
        <f t="shared" si="5"/>
        <v>0</v>
      </c>
      <c r="X20" s="109">
        <f t="shared" si="5"/>
        <v>0</v>
      </c>
      <c r="Y20" s="109">
        <f t="shared" si="5"/>
        <v>0</v>
      </c>
      <c r="Z20" s="109">
        <f t="shared" si="5"/>
        <v>30</v>
      </c>
      <c r="AA20" s="172">
        <f t="shared" si="2"/>
        <v>209</v>
      </c>
      <c r="AB20" s="108" t="str">
        <f t="shared" si="3"/>
        <v>G.Martin</v>
      </c>
    </row>
    <row r="21" spans="2:28" s="158" customFormat="1">
      <c r="B21" s="325"/>
      <c r="C21" s="326"/>
      <c r="D21" s="165"/>
      <c r="E21" s="167"/>
      <c r="F21" s="167"/>
      <c r="G21" s="167"/>
      <c r="H21" s="167"/>
      <c r="I21" s="167"/>
      <c r="J21" s="167"/>
      <c r="K21" s="167"/>
      <c r="L21" s="167"/>
      <c r="M21" s="167">
        <f>M24+M26</f>
        <v>23</v>
      </c>
      <c r="N21" s="167">
        <f t="shared" ref="N21:S21" si="6">N24+N26</f>
        <v>3</v>
      </c>
      <c r="O21" s="167">
        <f t="shared" si="6"/>
        <v>3</v>
      </c>
      <c r="P21" s="167">
        <f t="shared" si="6"/>
        <v>3</v>
      </c>
      <c r="Q21" s="167">
        <f t="shared" si="6"/>
        <v>4</v>
      </c>
      <c r="R21" s="167">
        <f t="shared" si="6"/>
        <v>4</v>
      </c>
      <c r="S21" s="167">
        <f t="shared" si="6"/>
        <v>29</v>
      </c>
      <c r="T21" s="167">
        <f>T24+T26+T25</f>
        <v>37</v>
      </c>
      <c r="U21" s="167">
        <f t="shared" ref="U21:Z21" si="7">U24+U26+U25</f>
        <v>42</v>
      </c>
      <c r="V21" s="167">
        <f t="shared" si="7"/>
        <v>63</v>
      </c>
      <c r="W21" s="167">
        <f t="shared" si="7"/>
        <v>21</v>
      </c>
      <c r="X21" s="167">
        <f t="shared" si="7"/>
        <v>31</v>
      </c>
      <c r="Y21" s="167">
        <f t="shared" si="7"/>
        <v>29</v>
      </c>
      <c r="Z21" s="167">
        <f t="shared" si="7"/>
        <v>84</v>
      </c>
      <c r="AA21" s="225">
        <f t="shared" ref="AA21" si="8">SUM(E21:Z21)</f>
        <v>376</v>
      </c>
    </row>
    <row r="22" spans="2:28" s="112" customFormat="1">
      <c r="B22" s="327"/>
      <c r="C22" s="328"/>
      <c r="D22" s="166"/>
      <c r="E22" s="159">
        <f t="shared" ref="E22:AA22" si="9">SUM(E4:E21)</f>
        <v>110</v>
      </c>
      <c r="F22" s="159">
        <f t="shared" ref="F22" si="10">SUM(F4:F21)</f>
        <v>150</v>
      </c>
      <c r="G22" s="159">
        <f>SUM(G4:G21)</f>
        <v>127</v>
      </c>
      <c r="H22" s="159">
        <f t="shared" si="9"/>
        <v>286</v>
      </c>
      <c r="I22" s="159">
        <f t="shared" si="9"/>
        <v>176</v>
      </c>
      <c r="J22" s="159">
        <f t="shared" si="9"/>
        <v>140</v>
      </c>
      <c r="K22" s="159">
        <f t="shared" si="9"/>
        <v>165</v>
      </c>
      <c r="L22" s="159">
        <f t="shared" si="9"/>
        <v>133</v>
      </c>
      <c r="M22" s="159">
        <f t="shared" si="9"/>
        <v>248</v>
      </c>
      <c r="N22" s="159">
        <f t="shared" si="9"/>
        <v>133</v>
      </c>
      <c r="O22" s="159">
        <f t="shared" si="9"/>
        <v>124</v>
      </c>
      <c r="P22" s="159">
        <f t="shared" si="9"/>
        <v>89</v>
      </c>
      <c r="Q22" s="159">
        <f t="shared" si="9"/>
        <v>126</v>
      </c>
      <c r="R22" s="159">
        <f t="shared" si="9"/>
        <v>95</v>
      </c>
      <c r="S22" s="159">
        <f t="shared" si="9"/>
        <v>245</v>
      </c>
      <c r="T22" s="159">
        <f t="shared" si="9"/>
        <v>114</v>
      </c>
      <c r="U22" s="159">
        <f t="shared" si="9"/>
        <v>271</v>
      </c>
      <c r="V22" s="159">
        <f t="shared" si="9"/>
        <v>271</v>
      </c>
      <c r="W22" s="159">
        <f t="shared" si="9"/>
        <v>98</v>
      </c>
      <c r="X22" s="159">
        <f t="shared" si="9"/>
        <v>242</v>
      </c>
      <c r="Y22" s="159">
        <f t="shared" si="9"/>
        <v>178</v>
      </c>
      <c r="Z22" s="159">
        <f t="shared" si="9"/>
        <v>468</v>
      </c>
      <c r="AA22" s="222">
        <f t="shared" si="9"/>
        <v>3989</v>
      </c>
    </row>
    <row r="23" spans="2:28" s="160" customFormat="1">
      <c r="B23" s="329"/>
      <c r="C23" s="330"/>
      <c r="D23" s="16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2:28" s="162" customFormat="1">
      <c r="B24" s="322"/>
      <c r="C24" s="331" t="s">
        <v>169</v>
      </c>
      <c r="D24" s="262"/>
      <c r="E24" s="179">
        <f t="shared" ref="E24:Z26" si="11">INDEX(scorematrix,MATCH($C24,renners,0),MATCH(E$3,etappes,0))</f>
        <v>0</v>
      </c>
      <c r="F24" s="179">
        <f t="shared" si="11"/>
        <v>1</v>
      </c>
      <c r="G24" s="179">
        <f t="shared" si="11"/>
        <v>1</v>
      </c>
      <c r="H24" s="179">
        <f t="shared" si="11"/>
        <v>11</v>
      </c>
      <c r="I24" s="179">
        <f t="shared" si="11"/>
        <v>3</v>
      </c>
      <c r="J24" s="179">
        <f t="shared" si="11"/>
        <v>3</v>
      </c>
      <c r="K24" s="179">
        <f t="shared" si="11"/>
        <v>4</v>
      </c>
      <c r="L24" s="179">
        <f t="shared" si="11"/>
        <v>10</v>
      </c>
      <c r="M24" s="349">
        <f t="shared" si="11"/>
        <v>11</v>
      </c>
      <c r="N24" s="349">
        <f t="shared" si="11"/>
        <v>3</v>
      </c>
      <c r="O24" s="349">
        <f t="shared" si="11"/>
        <v>3</v>
      </c>
      <c r="P24" s="349">
        <f t="shared" si="11"/>
        <v>3</v>
      </c>
      <c r="Q24" s="349">
        <f t="shared" si="11"/>
        <v>4</v>
      </c>
      <c r="R24" s="349">
        <f t="shared" si="11"/>
        <v>4</v>
      </c>
      <c r="S24" s="349">
        <f t="shared" si="11"/>
        <v>29</v>
      </c>
      <c r="T24" s="349">
        <f t="shared" si="11"/>
        <v>7</v>
      </c>
      <c r="U24" s="349">
        <f t="shared" si="11"/>
        <v>27</v>
      </c>
      <c r="V24" s="349">
        <f t="shared" si="11"/>
        <v>28</v>
      </c>
      <c r="W24" s="349">
        <f t="shared" si="11"/>
        <v>9</v>
      </c>
      <c r="X24" s="349">
        <f t="shared" si="11"/>
        <v>27</v>
      </c>
      <c r="Y24" s="349">
        <f t="shared" si="11"/>
        <v>10</v>
      </c>
      <c r="Z24" s="349">
        <f t="shared" si="11"/>
        <v>51</v>
      </c>
      <c r="AA24" s="290">
        <f>SUM(E24:Z24)</f>
        <v>249</v>
      </c>
    </row>
    <row r="25" spans="2:28" s="162" customFormat="1">
      <c r="B25" s="322"/>
      <c r="C25" s="331" t="s">
        <v>151</v>
      </c>
      <c r="D25" s="262"/>
      <c r="E25" s="179">
        <f t="shared" si="11"/>
        <v>0</v>
      </c>
      <c r="F25" s="179">
        <f t="shared" si="11"/>
        <v>0</v>
      </c>
      <c r="G25" s="179">
        <f t="shared" si="11"/>
        <v>0</v>
      </c>
      <c r="H25" s="179">
        <f t="shared" si="11"/>
        <v>0</v>
      </c>
      <c r="I25" s="179">
        <f t="shared" si="11"/>
        <v>0</v>
      </c>
      <c r="J25" s="179">
        <f t="shared" si="11"/>
        <v>0</v>
      </c>
      <c r="K25" s="179">
        <f t="shared" si="11"/>
        <v>0</v>
      </c>
      <c r="L25" s="179">
        <f t="shared" si="11"/>
        <v>0</v>
      </c>
      <c r="M25" s="179">
        <f t="shared" si="11"/>
        <v>0</v>
      </c>
      <c r="N25" s="179">
        <f t="shared" si="11"/>
        <v>0</v>
      </c>
      <c r="O25" s="179">
        <f t="shared" si="11"/>
        <v>0</v>
      </c>
      <c r="P25" s="179">
        <f t="shared" si="11"/>
        <v>0</v>
      </c>
      <c r="Q25" s="179">
        <f t="shared" si="11"/>
        <v>0</v>
      </c>
      <c r="R25" s="179">
        <f t="shared" si="11"/>
        <v>17</v>
      </c>
      <c r="S25" s="179">
        <f t="shared" si="11"/>
        <v>0</v>
      </c>
      <c r="T25" s="353">
        <f t="shared" si="11"/>
        <v>0</v>
      </c>
      <c r="U25" s="353">
        <f t="shared" si="11"/>
        <v>0</v>
      </c>
      <c r="V25" s="353">
        <f t="shared" si="11"/>
        <v>0</v>
      </c>
      <c r="W25" s="353">
        <f t="shared" si="11"/>
        <v>7</v>
      </c>
      <c r="X25" s="353">
        <f t="shared" si="11"/>
        <v>0</v>
      </c>
      <c r="Y25" s="353">
        <f t="shared" si="11"/>
        <v>15</v>
      </c>
      <c r="Z25" s="353">
        <f t="shared" si="11"/>
        <v>0</v>
      </c>
      <c r="AA25" s="290">
        <f>SUM(E25:Z25)</f>
        <v>39</v>
      </c>
    </row>
    <row r="26" spans="2:28" s="162" customFormat="1">
      <c r="B26" s="322"/>
      <c r="C26" s="331" t="s">
        <v>187</v>
      </c>
      <c r="D26" s="262"/>
      <c r="E26" s="179">
        <f t="shared" si="11"/>
        <v>0</v>
      </c>
      <c r="F26" s="179">
        <f t="shared" si="11"/>
        <v>8</v>
      </c>
      <c r="G26" s="179">
        <f t="shared" si="11"/>
        <v>0</v>
      </c>
      <c r="H26" s="179">
        <f t="shared" si="11"/>
        <v>0</v>
      </c>
      <c r="I26" s="179">
        <f t="shared" si="11"/>
        <v>0</v>
      </c>
      <c r="J26" s="179">
        <f t="shared" si="11"/>
        <v>17</v>
      </c>
      <c r="K26" s="179">
        <f t="shared" si="11"/>
        <v>0</v>
      </c>
      <c r="L26" s="179">
        <f t="shared" si="11"/>
        <v>0</v>
      </c>
      <c r="M26" s="351">
        <f t="shared" si="11"/>
        <v>12</v>
      </c>
      <c r="N26" s="351">
        <f t="shared" si="11"/>
        <v>0</v>
      </c>
      <c r="O26" s="351">
        <f t="shared" si="11"/>
        <v>0</v>
      </c>
      <c r="P26" s="351">
        <f t="shared" si="11"/>
        <v>0</v>
      </c>
      <c r="Q26" s="351">
        <f t="shared" si="11"/>
        <v>0</v>
      </c>
      <c r="R26" s="351">
        <f t="shared" si="11"/>
        <v>0</v>
      </c>
      <c r="S26" s="351">
        <f t="shared" si="11"/>
        <v>0</v>
      </c>
      <c r="T26" s="351">
        <f t="shared" si="11"/>
        <v>30</v>
      </c>
      <c r="U26" s="351">
        <f t="shared" si="11"/>
        <v>15</v>
      </c>
      <c r="V26" s="351">
        <f t="shared" si="11"/>
        <v>35</v>
      </c>
      <c r="W26" s="351">
        <f t="shared" si="11"/>
        <v>5</v>
      </c>
      <c r="X26" s="351">
        <f t="shared" si="11"/>
        <v>4</v>
      </c>
      <c r="Y26" s="351">
        <f t="shared" si="11"/>
        <v>4</v>
      </c>
      <c r="Z26" s="351">
        <f t="shared" si="11"/>
        <v>33</v>
      </c>
      <c r="AA26" s="290">
        <f>SUM(E26:Z26)</f>
        <v>163</v>
      </c>
    </row>
    <row r="28" spans="2:28">
      <c r="C28" s="291" t="s">
        <v>163</v>
      </c>
      <c r="D28" s="292">
        <f>COUNTIF($D$4:$D$21,C28)</f>
        <v>0</v>
      </c>
    </row>
    <row r="29" spans="2:28">
      <c r="C29" s="293" t="s">
        <v>10</v>
      </c>
      <c r="D29" s="292">
        <f>COUNTIF($D$4:$D$21,C29)</f>
        <v>0</v>
      </c>
    </row>
    <row r="30" spans="2:28">
      <c r="C30" s="293" t="s">
        <v>109</v>
      </c>
      <c r="D30" s="292">
        <f>COUNTIF($D$4:$D$21,C30)</f>
        <v>0</v>
      </c>
    </row>
  </sheetData>
  <sheetProtection selectLockedCells="1"/>
  <sortState ref="B4:AB20">
    <sortCondition ref="D4:D20"/>
    <sortCondition ref="C4:C20"/>
  </sortState>
  <phoneticPr fontId="0" type="noConversion"/>
  <dataValidations count="1">
    <dataValidation type="list" allowBlank="1" showInputMessage="1" showErrorMessage="1" prompt="selecteer type renner:" sqref="D4:D20">
      <formula1>type_renner</formula1>
    </dataValidation>
  </dataValidations>
  <pageMargins left="0.75" right="0.75" top="1" bottom="1" header="0.5" footer="0.5"/>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sheetPr codeName="Blad22">
    <tabColor indexed="39"/>
  </sheetPr>
  <dimension ref="B1:AB30"/>
  <sheetViews>
    <sheetView showZeros="0" workbookViewId="0">
      <selection activeCell="AA21" sqref="AA21"/>
    </sheetView>
  </sheetViews>
  <sheetFormatPr defaultColWidth="9.140625" defaultRowHeight="12.75"/>
  <cols>
    <col min="1" max="1" width="2.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B1" s="163"/>
      <c r="C1" s="294" t="s">
        <v>78</v>
      </c>
      <c r="D1" s="256"/>
    </row>
    <row r="2" spans="2:28">
      <c r="B2" s="163"/>
      <c r="C2" s="295"/>
      <c r="D2" s="164"/>
      <c r="H2" s="128"/>
    </row>
    <row r="3" spans="2:28" s="126" customFormat="1" ht="13.5" thickBot="1">
      <c r="B3" s="296"/>
      <c r="C3" s="297" t="s">
        <v>45</v>
      </c>
      <c r="D3" s="257" t="s">
        <v>112</v>
      </c>
      <c r="E3" s="111">
        <v>1</v>
      </c>
      <c r="F3" s="111">
        <v>2</v>
      </c>
      <c r="G3" s="111">
        <v>3</v>
      </c>
      <c r="H3" s="111">
        <v>4</v>
      </c>
      <c r="I3" s="111">
        <v>5</v>
      </c>
      <c r="J3" s="111">
        <v>6</v>
      </c>
      <c r="K3" s="111">
        <v>7</v>
      </c>
      <c r="L3" s="111">
        <v>8</v>
      </c>
      <c r="M3" s="111">
        <v>9</v>
      </c>
      <c r="N3" s="111">
        <v>10</v>
      </c>
      <c r="O3" s="111">
        <v>11</v>
      </c>
      <c r="P3" s="111">
        <v>12</v>
      </c>
      <c r="Q3" s="111">
        <v>13</v>
      </c>
      <c r="R3" s="111">
        <v>14</v>
      </c>
      <c r="S3" s="111">
        <v>15</v>
      </c>
      <c r="T3" s="111">
        <v>16</v>
      </c>
      <c r="U3" s="111">
        <v>17</v>
      </c>
      <c r="V3" s="111">
        <v>18</v>
      </c>
      <c r="W3" s="111">
        <v>19</v>
      </c>
      <c r="X3" s="111">
        <v>20</v>
      </c>
      <c r="Y3" s="111">
        <v>21</v>
      </c>
      <c r="Z3" s="111" t="s">
        <v>1</v>
      </c>
      <c r="AA3" s="146"/>
    </row>
    <row r="4" spans="2:28">
      <c r="B4" s="322"/>
      <c r="C4" s="323" t="s">
        <v>187</v>
      </c>
      <c r="D4" s="259" t="s">
        <v>177</v>
      </c>
      <c r="E4" s="109">
        <f t="shared" ref="E4:N13" si="0">INDEX(scorematrix,MATCH($C4,renners,0),MATCH(E$3,etappes,0))</f>
        <v>0</v>
      </c>
      <c r="F4" s="109">
        <f t="shared" si="0"/>
        <v>8</v>
      </c>
      <c r="G4" s="109">
        <f t="shared" si="0"/>
        <v>0</v>
      </c>
      <c r="H4" s="109">
        <f t="shared" si="0"/>
        <v>0</v>
      </c>
      <c r="I4" s="109">
        <f t="shared" si="0"/>
        <v>0</v>
      </c>
      <c r="J4" s="109">
        <f t="shared" si="0"/>
        <v>17</v>
      </c>
      <c r="K4" s="109">
        <f t="shared" si="0"/>
        <v>0</v>
      </c>
      <c r="L4" s="109">
        <f t="shared" si="0"/>
        <v>0</v>
      </c>
      <c r="M4" s="109">
        <f t="shared" si="0"/>
        <v>12</v>
      </c>
      <c r="N4" s="109">
        <f t="shared" si="0"/>
        <v>0</v>
      </c>
      <c r="O4" s="109">
        <f t="shared" ref="O4:Z13" si="1">INDEX(scorematrix,MATCH($C4,renners,0),MATCH(O$3,etappes,0))</f>
        <v>0</v>
      </c>
      <c r="P4" s="109">
        <f t="shared" si="1"/>
        <v>0</v>
      </c>
      <c r="Q4" s="109">
        <f t="shared" si="1"/>
        <v>0</v>
      </c>
      <c r="R4" s="109">
        <f t="shared" si="1"/>
        <v>0</v>
      </c>
      <c r="S4" s="109">
        <f t="shared" si="1"/>
        <v>0</v>
      </c>
      <c r="T4" s="109">
        <f t="shared" si="1"/>
        <v>30</v>
      </c>
      <c r="U4" s="109">
        <f t="shared" si="1"/>
        <v>15</v>
      </c>
      <c r="V4" s="109">
        <f t="shared" si="1"/>
        <v>35</v>
      </c>
      <c r="W4" s="109">
        <f t="shared" si="1"/>
        <v>5</v>
      </c>
      <c r="X4" s="109">
        <f t="shared" si="1"/>
        <v>4</v>
      </c>
      <c r="Y4" s="109">
        <f t="shared" si="1"/>
        <v>4</v>
      </c>
      <c r="Z4" s="109">
        <f t="shared" si="1"/>
        <v>33</v>
      </c>
      <c r="AA4" s="172">
        <f t="shared" ref="AA4:AA20" si="2">SUM(E4:Z4)</f>
        <v>163</v>
      </c>
      <c r="AB4" s="108" t="str">
        <f t="shared" ref="AB4:AB20" si="3">C4</f>
        <v>Carapaz</v>
      </c>
    </row>
    <row r="5" spans="2:28">
      <c r="B5" s="322"/>
      <c r="C5" s="324" t="s">
        <v>133</v>
      </c>
      <c r="D5" s="259" t="s">
        <v>177</v>
      </c>
      <c r="E5" s="109">
        <f t="shared" si="0"/>
        <v>0</v>
      </c>
      <c r="F5" s="109">
        <f t="shared" si="0"/>
        <v>0</v>
      </c>
      <c r="G5" s="109">
        <f t="shared" si="0"/>
        <v>0</v>
      </c>
      <c r="H5" s="109">
        <f t="shared" si="0"/>
        <v>17</v>
      </c>
      <c r="I5" s="109">
        <f t="shared" si="0"/>
        <v>0</v>
      </c>
      <c r="J5" s="109">
        <f t="shared" si="0"/>
        <v>0</v>
      </c>
      <c r="K5" s="109">
        <f t="shared" si="0"/>
        <v>0</v>
      </c>
      <c r="L5" s="109">
        <f t="shared" si="0"/>
        <v>12</v>
      </c>
      <c r="M5" s="109">
        <f t="shared" si="0"/>
        <v>23</v>
      </c>
      <c r="N5" s="109">
        <f t="shared" si="0"/>
        <v>1</v>
      </c>
      <c r="O5" s="109">
        <f t="shared" si="1"/>
        <v>1</v>
      </c>
      <c r="P5" s="109">
        <f t="shared" si="1"/>
        <v>1</v>
      </c>
      <c r="Q5" s="109">
        <f t="shared" si="1"/>
        <v>14</v>
      </c>
      <c r="R5" s="109">
        <f t="shared" si="1"/>
        <v>3</v>
      </c>
      <c r="S5" s="109">
        <f t="shared" si="1"/>
        <v>23</v>
      </c>
      <c r="T5" s="109">
        <f t="shared" si="1"/>
        <v>4</v>
      </c>
      <c r="U5" s="109">
        <f t="shared" si="1"/>
        <v>23</v>
      </c>
      <c r="V5" s="109">
        <f t="shared" si="1"/>
        <v>24</v>
      </c>
      <c r="W5" s="109">
        <f t="shared" si="1"/>
        <v>6</v>
      </c>
      <c r="X5" s="109">
        <f t="shared" si="1"/>
        <v>19</v>
      </c>
      <c r="Y5" s="109">
        <f t="shared" si="1"/>
        <v>7</v>
      </c>
      <c r="Z5" s="109">
        <f t="shared" si="1"/>
        <v>48</v>
      </c>
      <c r="AA5" s="172">
        <f t="shared" si="2"/>
        <v>226</v>
      </c>
      <c r="AB5" s="108" t="str">
        <f t="shared" si="3"/>
        <v>Landa</v>
      </c>
    </row>
    <row r="6" spans="2:28">
      <c r="B6" s="322"/>
      <c r="C6" s="324" t="s">
        <v>132</v>
      </c>
      <c r="D6" s="259" t="s">
        <v>177</v>
      </c>
      <c r="E6" s="109">
        <f t="shared" si="0"/>
        <v>0</v>
      </c>
      <c r="F6" s="109">
        <f t="shared" si="0"/>
        <v>8</v>
      </c>
      <c r="G6" s="109">
        <f t="shared" si="0"/>
        <v>0</v>
      </c>
      <c r="H6" s="109">
        <f t="shared" si="0"/>
        <v>26</v>
      </c>
      <c r="I6" s="109">
        <f t="shared" si="0"/>
        <v>4</v>
      </c>
      <c r="J6" s="109">
        <f t="shared" si="0"/>
        <v>16</v>
      </c>
      <c r="K6" s="109">
        <f t="shared" si="0"/>
        <v>5</v>
      </c>
      <c r="L6" s="109">
        <f t="shared" si="0"/>
        <v>14</v>
      </c>
      <c r="M6" s="109">
        <f t="shared" si="0"/>
        <v>21</v>
      </c>
      <c r="N6" s="109">
        <f t="shared" si="0"/>
        <v>6</v>
      </c>
      <c r="O6" s="109">
        <f t="shared" si="1"/>
        <v>6</v>
      </c>
      <c r="P6" s="109">
        <f t="shared" si="1"/>
        <v>6</v>
      </c>
      <c r="Q6" s="109">
        <f t="shared" si="1"/>
        <v>6</v>
      </c>
      <c r="R6" s="109">
        <f t="shared" si="1"/>
        <v>6</v>
      </c>
      <c r="S6" s="109">
        <f t="shared" si="1"/>
        <v>10</v>
      </c>
      <c r="T6" s="109">
        <f t="shared" si="1"/>
        <v>1</v>
      </c>
      <c r="U6" s="109">
        <f t="shared" si="1"/>
        <v>0</v>
      </c>
      <c r="V6" s="109">
        <f t="shared" si="1"/>
        <v>0</v>
      </c>
      <c r="W6" s="109">
        <f t="shared" si="1"/>
        <v>0</v>
      </c>
      <c r="X6" s="109">
        <f t="shared" si="1"/>
        <v>0</v>
      </c>
      <c r="Y6" s="109">
        <f t="shared" si="1"/>
        <v>0</v>
      </c>
      <c r="Z6" s="109">
        <f t="shared" si="1"/>
        <v>18</v>
      </c>
      <c r="AA6" s="172">
        <f t="shared" si="2"/>
        <v>153</v>
      </c>
      <c r="AB6" s="108" t="str">
        <f t="shared" si="3"/>
        <v>Quintana</v>
      </c>
    </row>
    <row r="7" spans="2:28">
      <c r="B7" s="322"/>
      <c r="C7" s="324" t="s">
        <v>199</v>
      </c>
      <c r="D7" s="259" t="s">
        <v>177</v>
      </c>
      <c r="E7" s="109">
        <f t="shared" si="0"/>
        <v>11</v>
      </c>
      <c r="F7" s="109">
        <f t="shared" si="0"/>
        <v>27</v>
      </c>
      <c r="G7" s="109">
        <f t="shared" si="0"/>
        <v>11</v>
      </c>
      <c r="H7" s="109">
        <f t="shared" si="0"/>
        <v>44</v>
      </c>
      <c r="I7" s="109">
        <f t="shared" si="0"/>
        <v>15</v>
      </c>
      <c r="J7" s="109">
        <f t="shared" si="0"/>
        <v>28</v>
      </c>
      <c r="K7" s="109">
        <f t="shared" si="0"/>
        <v>2</v>
      </c>
      <c r="L7" s="109">
        <f t="shared" si="0"/>
        <v>23</v>
      </c>
      <c r="M7" s="109">
        <f t="shared" si="0"/>
        <v>43</v>
      </c>
      <c r="N7" s="109">
        <f t="shared" si="0"/>
        <v>8</v>
      </c>
      <c r="O7" s="109">
        <f t="shared" si="1"/>
        <v>8</v>
      </c>
      <c r="P7" s="109">
        <f t="shared" si="1"/>
        <v>8</v>
      </c>
      <c r="Q7" s="109">
        <f t="shared" si="1"/>
        <v>27</v>
      </c>
      <c r="R7" s="109">
        <f t="shared" si="1"/>
        <v>28</v>
      </c>
      <c r="S7" s="109">
        <f t="shared" si="1"/>
        <v>53</v>
      </c>
      <c r="T7" s="109">
        <f t="shared" si="1"/>
        <v>17</v>
      </c>
      <c r="U7" s="109">
        <f t="shared" si="1"/>
        <v>45</v>
      </c>
      <c r="V7" s="109">
        <f t="shared" si="1"/>
        <v>40</v>
      </c>
      <c r="W7" s="109">
        <f t="shared" si="1"/>
        <v>18</v>
      </c>
      <c r="X7" s="109">
        <f t="shared" si="1"/>
        <v>55</v>
      </c>
      <c r="Y7" s="109">
        <f t="shared" si="1"/>
        <v>20</v>
      </c>
      <c r="Z7" s="109">
        <f t="shared" si="1"/>
        <v>90</v>
      </c>
      <c r="AA7" s="172">
        <f t="shared" si="2"/>
        <v>621</v>
      </c>
      <c r="AB7" s="108" t="str">
        <f t="shared" si="3"/>
        <v>Pogacar</v>
      </c>
    </row>
    <row r="8" spans="2:28">
      <c r="B8" s="322"/>
      <c r="C8" s="324" t="s">
        <v>86</v>
      </c>
      <c r="D8" s="259" t="s">
        <v>177</v>
      </c>
      <c r="E8" s="109">
        <f t="shared" si="0"/>
        <v>0</v>
      </c>
      <c r="F8" s="109">
        <f t="shared" si="0"/>
        <v>0</v>
      </c>
      <c r="G8" s="109">
        <f t="shared" si="0"/>
        <v>0</v>
      </c>
      <c r="H8" s="109">
        <f t="shared" si="0"/>
        <v>18</v>
      </c>
      <c r="I8" s="109">
        <f t="shared" si="0"/>
        <v>0</v>
      </c>
      <c r="J8" s="109">
        <f t="shared" si="0"/>
        <v>12</v>
      </c>
      <c r="K8" s="109">
        <f t="shared" si="0"/>
        <v>10</v>
      </c>
      <c r="L8" s="109">
        <f t="shared" si="0"/>
        <v>0</v>
      </c>
      <c r="M8" s="352"/>
      <c r="N8" s="352"/>
      <c r="O8" s="352"/>
      <c r="P8" s="352"/>
      <c r="Q8" s="352"/>
      <c r="R8" s="352"/>
      <c r="S8" s="352"/>
      <c r="T8" s="352"/>
      <c r="U8" s="352"/>
      <c r="V8" s="352"/>
      <c r="W8" s="352"/>
      <c r="X8" s="352"/>
      <c r="Y8" s="352"/>
      <c r="Z8" s="352"/>
      <c r="AA8" s="172">
        <f t="shared" si="2"/>
        <v>40</v>
      </c>
      <c r="AB8" s="108" t="str">
        <f t="shared" si="3"/>
        <v>Pinot</v>
      </c>
    </row>
    <row r="9" spans="2:28">
      <c r="B9" s="322"/>
      <c r="C9" s="324" t="s">
        <v>106</v>
      </c>
      <c r="D9" s="259" t="s">
        <v>109</v>
      </c>
      <c r="E9" s="109">
        <f t="shared" si="0"/>
        <v>0</v>
      </c>
      <c r="F9" s="109">
        <f t="shared" si="0"/>
        <v>1</v>
      </c>
      <c r="G9" s="109">
        <f t="shared" si="0"/>
        <v>4</v>
      </c>
      <c r="H9" s="109">
        <f t="shared" si="0"/>
        <v>19</v>
      </c>
      <c r="I9" s="109">
        <f t="shared" si="0"/>
        <v>5</v>
      </c>
      <c r="J9" s="109">
        <f t="shared" si="0"/>
        <v>16</v>
      </c>
      <c r="K9" s="109">
        <f t="shared" si="0"/>
        <v>6</v>
      </c>
      <c r="L9" s="109">
        <f t="shared" si="0"/>
        <v>0</v>
      </c>
      <c r="M9" s="109">
        <f t="shared" si="0"/>
        <v>9</v>
      </c>
      <c r="N9" s="109">
        <f t="shared" si="0"/>
        <v>0</v>
      </c>
      <c r="O9" s="109">
        <f t="shared" si="1"/>
        <v>0</v>
      </c>
      <c r="P9" s="109">
        <f t="shared" si="1"/>
        <v>0</v>
      </c>
      <c r="Q9" s="109">
        <f t="shared" si="1"/>
        <v>0</v>
      </c>
      <c r="R9" s="109">
        <f t="shared" si="1"/>
        <v>0</v>
      </c>
      <c r="S9" s="109">
        <f t="shared" si="1"/>
        <v>15</v>
      </c>
      <c r="T9" s="109">
        <f t="shared" si="1"/>
        <v>2</v>
      </c>
      <c r="U9" s="109">
        <f t="shared" si="1"/>
        <v>18</v>
      </c>
      <c r="V9" s="109">
        <f t="shared" si="1"/>
        <v>18</v>
      </c>
      <c r="W9" s="109">
        <f t="shared" si="1"/>
        <v>2</v>
      </c>
      <c r="X9" s="109">
        <f t="shared" si="1"/>
        <v>34</v>
      </c>
      <c r="Y9" s="109">
        <f t="shared" si="1"/>
        <v>4</v>
      </c>
      <c r="Z9" s="109">
        <f t="shared" si="1"/>
        <v>38</v>
      </c>
      <c r="AA9" s="172">
        <f t="shared" si="2"/>
        <v>191</v>
      </c>
      <c r="AB9" s="108" t="str">
        <f t="shared" si="3"/>
        <v>Dumoulin</v>
      </c>
    </row>
    <row r="10" spans="2:28">
      <c r="B10" s="322"/>
      <c r="C10" s="324" t="s">
        <v>136</v>
      </c>
      <c r="D10" s="259" t="s">
        <v>177</v>
      </c>
      <c r="E10" s="109">
        <f t="shared" si="0"/>
        <v>0</v>
      </c>
      <c r="F10" s="109">
        <f t="shared" si="0"/>
        <v>14</v>
      </c>
      <c r="G10" s="109">
        <f t="shared" si="0"/>
        <v>8</v>
      </c>
      <c r="H10" s="109">
        <f t="shared" si="0"/>
        <v>28</v>
      </c>
      <c r="I10" s="109">
        <f t="shared" si="0"/>
        <v>18</v>
      </c>
      <c r="J10" s="109">
        <f t="shared" si="0"/>
        <v>28</v>
      </c>
      <c r="K10" s="109">
        <f t="shared" si="0"/>
        <v>30</v>
      </c>
      <c r="L10" s="109">
        <f t="shared" si="0"/>
        <v>24</v>
      </c>
      <c r="M10" s="109">
        <f t="shared" si="0"/>
        <v>38</v>
      </c>
      <c r="N10" s="109">
        <f t="shared" si="0"/>
        <v>14</v>
      </c>
      <c r="O10" s="109">
        <f t="shared" si="1"/>
        <v>14</v>
      </c>
      <c r="P10" s="109">
        <f t="shared" si="1"/>
        <v>14</v>
      </c>
      <c r="Q10" s="109">
        <f t="shared" si="1"/>
        <v>20</v>
      </c>
      <c r="R10" s="109">
        <f t="shared" si="1"/>
        <v>12</v>
      </c>
      <c r="S10" s="109">
        <f t="shared" si="1"/>
        <v>3</v>
      </c>
      <c r="T10" s="109">
        <f t="shared" si="1"/>
        <v>3</v>
      </c>
      <c r="U10" s="109">
        <f t="shared" si="1"/>
        <v>0</v>
      </c>
      <c r="V10" s="109">
        <f t="shared" si="1"/>
        <v>0</v>
      </c>
      <c r="W10" s="109">
        <f t="shared" si="1"/>
        <v>0</v>
      </c>
      <c r="X10" s="109">
        <f t="shared" si="1"/>
        <v>0</v>
      </c>
      <c r="Y10" s="109">
        <f t="shared" si="1"/>
        <v>0</v>
      </c>
      <c r="Z10" s="109">
        <f t="shared" si="1"/>
        <v>0</v>
      </c>
      <c r="AA10" s="172">
        <f t="shared" si="2"/>
        <v>268</v>
      </c>
      <c r="AB10" s="108" t="str">
        <f t="shared" si="3"/>
        <v>Bernal</v>
      </c>
    </row>
    <row r="11" spans="2:28">
      <c r="B11" s="322"/>
      <c r="C11" s="324" t="s">
        <v>134</v>
      </c>
      <c r="D11" s="259" t="s">
        <v>109</v>
      </c>
      <c r="E11" s="109">
        <f t="shared" si="0"/>
        <v>0</v>
      </c>
      <c r="F11" s="109">
        <f t="shared" si="0"/>
        <v>0</v>
      </c>
      <c r="G11" s="109">
        <f t="shared" si="0"/>
        <v>0</v>
      </c>
      <c r="H11" s="109">
        <f t="shared" si="0"/>
        <v>46</v>
      </c>
      <c r="I11" s="109">
        <f t="shared" si="0"/>
        <v>12</v>
      </c>
      <c r="J11" s="109">
        <f t="shared" si="0"/>
        <v>11</v>
      </c>
      <c r="K11" s="109">
        <f t="shared" si="0"/>
        <v>11</v>
      </c>
      <c r="L11" s="109">
        <f t="shared" si="0"/>
        <v>19</v>
      </c>
      <c r="M11" s="109">
        <f t="shared" si="0"/>
        <v>40</v>
      </c>
      <c r="N11" s="109">
        <f t="shared" si="0"/>
        <v>10</v>
      </c>
      <c r="O11" s="109">
        <f t="shared" si="1"/>
        <v>10</v>
      </c>
      <c r="P11" s="109">
        <f t="shared" si="1"/>
        <v>10</v>
      </c>
      <c r="Q11" s="109">
        <f t="shared" si="1"/>
        <v>24</v>
      </c>
      <c r="R11" s="109">
        <f t="shared" si="1"/>
        <v>10</v>
      </c>
      <c r="S11" s="109">
        <f t="shared" si="1"/>
        <v>43</v>
      </c>
      <c r="T11" s="109">
        <f t="shared" si="1"/>
        <v>12</v>
      </c>
      <c r="U11" s="109">
        <f t="shared" si="1"/>
        <v>44</v>
      </c>
      <c r="V11" s="109">
        <f t="shared" si="1"/>
        <v>37</v>
      </c>
      <c r="W11" s="109">
        <f t="shared" si="1"/>
        <v>13</v>
      </c>
      <c r="X11" s="109">
        <f t="shared" si="1"/>
        <v>34</v>
      </c>
      <c r="Y11" s="109">
        <f t="shared" si="1"/>
        <v>12</v>
      </c>
      <c r="Z11" s="109">
        <f t="shared" si="1"/>
        <v>65</v>
      </c>
      <c r="AA11" s="172">
        <f t="shared" si="2"/>
        <v>463</v>
      </c>
      <c r="AB11" s="108" t="str">
        <f t="shared" si="3"/>
        <v>Roglic</v>
      </c>
    </row>
    <row r="12" spans="2:28">
      <c r="B12" s="322"/>
      <c r="C12" s="324" t="s">
        <v>154</v>
      </c>
      <c r="D12" s="259" t="s">
        <v>177</v>
      </c>
      <c r="E12" s="109">
        <f t="shared" si="0"/>
        <v>0</v>
      </c>
      <c r="F12" s="109">
        <f t="shared" si="0"/>
        <v>46</v>
      </c>
      <c r="G12" s="109">
        <f t="shared" si="0"/>
        <v>10</v>
      </c>
      <c r="H12" s="109">
        <f t="shared" si="0"/>
        <v>32</v>
      </c>
      <c r="I12" s="109">
        <f t="shared" si="0"/>
        <v>10</v>
      </c>
      <c r="J12" s="109">
        <f t="shared" si="0"/>
        <v>22</v>
      </c>
      <c r="K12" s="109">
        <f t="shared" si="0"/>
        <v>14</v>
      </c>
      <c r="L12" s="109">
        <f t="shared" si="0"/>
        <v>0</v>
      </c>
      <c r="M12" s="109">
        <f t="shared" si="0"/>
        <v>0</v>
      </c>
      <c r="N12" s="109">
        <f t="shared" si="0"/>
        <v>0</v>
      </c>
      <c r="O12" s="109">
        <f t="shared" si="1"/>
        <v>0</v>
      </c>
      <c r="P12" s="109">
        <f t="shared" si="1"/>
        <v>15</v>
      </c>
      <c r="Q12" s="109">
        <f t="shared" si="1"/>
        <v>0</v>
      </c>
      <c r="R12" s="109">
        <f t="shared" si="1"/>
        <v>0</v>
      </c>
      <c r="S12" s="109">
        <f t="shared" si="1"/>
        <v>0</v>
      </c>
      <c r="T12" s="109">
        <f t="shared" si="1"/>
        <v>16</v>
      </c>
      <c r="U12" s="109">
        <f t="shared" si="1"/>
        <v>0</v>
      </c>
      <c r="V12" s="109">
        <f t="shared" si="1"/>
        <v>0</v>
      </c>
      <c r="W12" s="109">
        <f t="shared" si="1"/>
        <v>0</v>
      </c>
      <c r="X12" s="109">
        <f t="shared" si="1"/>
        <v>0</v>
      </c>
      <c r="Y12" s="109">
        <f t="shared" si="1"/>
        <v>0</v>
      </c>
      <c r="Z12" s="109">
        <f t="shared" si="1"/>
        <v>0</v>
      </c>
      <c r="AA12" s="172">
        <f t="shared" si="2"/>
        <v>165</v>
      </c>
      <c r="AB12" s="108" t="str">
        <f t="shared" si="3"/>
        <v>Alaphilippe</v>
      </c>
    </row>
    <row r="13" spans="2:28">
      <c r="B13" s="322"/>
      <c r="C13" s="324" t="s">
        <v>72</v>
      </c>
      <c r="D13" s="259" t="s">
        <v>10</v>
      </c>
      <c r="E13" s="109">
        <f t="shared" si="0"/>
        <v>31</v>
      </c>
      <c r="F13" s="109">
        <f t="shared" si="0"/>
        <v>4</v>
      </c>
      <c r="G13" s="109">
        <f t="shared" si="0"/>
        <v>25</v>
      </c>
      <c r="H13" s="109">
        <f t="shared" si="0"/>
        <v>5</v>
      </c>
      <c r="I13" s="109">
        <f t="shared" si="0"/>
        <v>28</v>
      </c>
      <c r="J13" s="109">
        <f t="shared" si="0"/>
        <v>4</v>
      </c>
      <c r="K13" s="109">
        <f t="shared" si="0"/>
        <v>18</v>
      </c>
      <c r="L13" s="109">
        <f t="shared" si="0"/>
        <v>5</v>
      </c>
      <c r="M13" s="109">
        <f t="shared" si="0"/>
        <v>5</v>
      </c>
      <c r="N13" s="109">
        <f t="shared" si="0"/>
        <v>30</v>
      </c>
      <c r="O13" s="109">
        <f t="shared" si="1"/>
        <v>4</v>
      </c>
      <c r="P13" s="109">
        <f t="shared" si="1"/>
        <v>17</v>
      </c>
      <c r="Q13" s="109">
        <f t="shared" si="1"/>
        <v>4</v>
      </c>
      <c r="R13" s="109">
        <f t="shared" si="1"/>
        <v>28</v>
      </c>
      <c r="S13" s="109">
        <f t="shared" si="1"/>
        <v>4</v>
      </c>
      <c r="T13" s="109">
        <f t="shared" si="1"/>
        <v>4</v>
      </c>
      <c r="U13" s="109">
        <f t="shared" si="1"/>
        <v>4</v>
      </c>
      <c r="V13" s="109">
        <f t="shared" si="1"/>
        <v>4</v>
      </c>
      <c r="W13" s="109">
        <f t="shared" si="1"/>
        <v>21</v>
      </c>
      <c r="X13" s="109">
        <f t="shared" si="1"/>
        <v>4</v>
      </c>
      <c r="Y13" s="109">
        <f t="shared" si="1"/>
        <v>30</v>
      </c>
      <c r="Z13" s="109">
        <f t="shared" si="1"/>
        <v>7</v>
      </c>
      <c r="AA13" s="172">
        <f t="shared" si="2"/>
        <v>286</v>
      </c>
      <c r="AB13" s="108" t="str">
        <f t="shared" si="3"/>
        <v>Sagan</v>
      </c>
    </row>
    <row r="14" spans="2:28">
      <c r="B14" s="322"/>
      <c r="C14" s="324" t="s">
        <v>191</v>
      </c>
      <c r="D14" s="259" t="s">
        <v>10</v>
      </c>
      <c r="E14" s="109">
        <f t="shared" ref="E14:N20" si="4">INDEX(scorematrix,MATCH($C14,renners,0),MATCH(E$3,etappes,0))</f>
        <v>33</v>
      </c>
      <c r="F14" s="109">
        <f t="shared" si="4"/>
        <v>2</v>
      </c>
      <c r="G14" s="109">
        <f t="shared" si="4"/>
        <v>33</v>
      </c>
      <c r="H14" s="109">
        <f t="shared" si="4"/>
        <v>4</v>
      </c>
      <c r="I14" s="109">
        <f t="shared" si="4"/>
        <v>31</v>
      </c>
      <c r="J14" s="109">
        <f t="shared" si="4"/>
        <v>5</v>
      </c>
      <c r="K14" s="109">
        <f t="shared" si="4"/>
        <v>4</v>
      </c>
      <c r="L14" s="109">
        <f t="shared" si="4"/>
        <v>4</v>
      </c>
      <c r="M14" s="109">
        <f t="shared" si="4"/>
        <v>4</v>
      </c>
      <c r="N14" s="109">
        <f t="shared" si="4"/>
        <v>40</v>
      </c>
      <c r="O14" s="109">
        <f t="shared" ref="O14:Z20" si="5">INDEX(scorematrix,MATCH($C14,renners,0),MATCH(O$3,etappes,0))</f>
        <v>35</v>
      </c>
      <c r="P14" s="109">
        <f t="shared" si="5"/>
        <v>5</v>
      </c>
      <c r="Q14" s="109">
        <f t="shared" si="5"/>
        <v>5</v>
      </c>
      <c r="R14" s="109">
        <f t="shared" si="5"/>
        <v>5</v>
      </c>
      <c r="S14" s="109">
        <f t="shared" si="5"/>
        <v>5</v>
      </c>
      <c r="T14" s="109">
        <f t="shared" si="5"/>
        <v>5</v>
      </c>
      <c r="U14" s="109">
        <f t="shared" si="5"/>
        <v>5</v>
      </c>
      <c r="V14" s="109">
        <f t="shared" si="5"/>
        <v>5</v>
      </c>
      <c r="W14" s="109">
        <f t="shared" si="5"/>
        <v>23</v>
      </c>
      <c r="X14" s="109">
        <f t="shared" si="5"/>
        <v>5</v>
      </c>
      <c r="Y14" s="109">
        <f t="shared" si="5"/>
        <v>40</v>
      </c>
      <c r="Z14" s="109">
        <f t="shared" si="5"/>
        <v>10</v>
      </c>
      <c r="AA14" s="172">
        <f t="shared" si="2"/>
        <v>308</v>
      </c>
      <c r="AB14" s="108" t="str">
        <f t="shared" si="3"/>
        <v>Bennett</v>
      </c>
    </row>
    <row r="15" spans="2:28">
      <c r="B15" s="322"/>
      <c r="C15" s="324" t="s">
        <v>172</v>
      </c>
      <c r="D15" s="259" t="s">
        <v>109</v>
      </c>
      <c r="E15" s="109">
        <f t="shared" si="4"/>
        <v>0</v>
      </c>
      <c r="F15" s="109">
        <f t="shared" si="4"/>
        <v>0</v>
      </c>
      <c r="G15" s="109">
        <f t="shared" si="4"/>
        <v>0</v>
      </c>
      <c r="H15" s="109">
        <f t="shared" si="4"/>
        <v>0</v>
      </c>
      <c r="I15" s="109">
        <f t="shared" si="4"/>
        <v>35</v>
      </c>
      <c r="J15" s="109">
        <f t="shared" si="4"/>
        <v>0</v>
      </c>
      <c r="K15" s="109">
        <f t="shared" si="4"/>
        <v>38</v>
      </c>
      <c r="L15" s="109">
        <f t="shared" si="4"/>
        <v>3</v>
      </c>
      <c r="M15" s="109">
        <f t="shared" si="4"/>
        <v>3</v>
      </c>
      <c r="N15" s="109">
        <f t="shared" si="4"/>
        <v>1</v>
      </c>
      <c r="O15" s="109">
        <f t="shared" si="5"/>
        <v>26</v>
      </c>
      <c r="P15" s="109">
        <f t="shared" si="5"/>
        <v>7</v>
      </c>
      <c r="Q15" s="109">
        <f t="shared" si="5"/>
        <v>0</v>
      </c>
      <c r="R15" s="109">
        <f t="shared" si="5"/>
        <v>0</v>
      </c>
      <c r="S15" s="109">
        <f t="shared" si="5"/>
        <v>0</v>
      </c>
      <c r="T15" s="109">
        <f t="shared" si="5"/>
        <v>0</v>
      </c>
      <c r="U15" s="109">
        <f t="shared" si="5"/>
        <v>7</v>
      </c>
      <c r="V15" s="109">
        <f t="shared" si="5"/>
        <v>26</v>
      </c>
      <c r="W15" s="109">
        <f t="shared" si="5"/>
        <v>0</v>
      </c>
      <c r="X15" s="109">
        <f t="shared" si="5"/>
        <v>25</v>
      </c>
      <c r="Y15" s="109">
        <f t="shared" si="5"/>
        <v>21</v>
      </c>
      <c r="Z15" s="109">
        <f t="shared" si="5"/>
        <v>13</v>
      </c>
      <c r="AA15" s="172">
        <f t="shared" si="2"/>
        <v>205</v>
      </c>
      <c r="AB15" s="108" t="str">
        <f t="shared" si="3"/>
        <v>van Aert</v>
      </c>
    </row>
    <row r="16" spans="2:28">
      <c r="B16" s="322"/>
      <c r="C16" s="324" t="s">
        <v>201</v>
      </c>
      <c r="D16" s="259" t="s">
        <v>10</v>
      </c>
      <c r="E16" s="109">
        <f t="shared" si="4"/>
        <v>23</v>
      </c>
      <c r="F16" s="109">
        <f t="shared" si="4"/>
        <v>0</v>
      </c>
      <c r="G16" s="109">
        <f t="shared" si="4"/>
        <v>26</v>
      </c>
      <c r="H16" s="109">
        <f t="shared" si="4"/>
        <v>1</v>
      </c>
      <c r="I16" s="109">
        <f t="shared" si="4"/>
        <v>15</v>
      </c>
      <c r="J16" s="109">
        <f t="shared" si="4"/>
        <v>0</v>
      </c>
      <c r="K16" s="109">
        <f t="shared" si="4"/>
        <v>0</v>
      </c>
      <c r="L16" s="109">
        <f t="shared" si="4"/>
        <v>0</v>
      </c>
      <c r="M16" s="350"/>
      <c r="N16" s="350"/>
      <c r="O16" s="350"/>
      <c r="P16" s="350"/>
      <c r="Q16" s="350"/>
      <c r="R16" s="354"/>
      <c r="S16" s="354"/>
      <c r="T16" s="354"/>
      <c r="U16" s="354"/>
      <c r="V16" s="354"/>
      <c r="W16" s="354"/>
      <c r="X16" s="354"/>
      <c r="Y16" s="354"/>
      <c r="Z16" s="354"/>
      <c r="AA16" s="172">
        <f t="shared" si="2"/>
        <v>65</v>
      </c>
      <c r="AB16" s="108" t="str">
        <f t="shared" si="3"/>
        <v>Nizzolo</v>
      </c>
    </row>
    <row r="17" spans="2:28">
      <c r="B17" s="322"/>
      <c r="C17" s="324" t="s">
        <v>204</v>
      </c>
      <c r="D17" s="259" t="s">
        <v>177</v>
      </c>
      <c r="E17" s="109">
        <f t="shared" si="4"/>
        <v>0</v>
      </c>
      <c r="F17" s="109">
        <f t="shared" si="4"/>
        <v>10</v>
      </c>
      <c r="G17" s="109">
        <f t="shared" si="4"/>
        <v>0</v>
      </c>
      <c r="H17" s="109">
        <f t="shared" si="4"/>
        <v>21</v>
      </c>
      <c r="I17" s="109">
        <f t="shared" si="4"/>
        <v>9</v>
      </c>
      <c r="J17" s="109">
        <f t="shared" si="4"/>
        <v>1</v>
      </c>
      <c r="K17" s="109">
        <f t="shared" si="4"/>
        <v>3</v>
      </c>
      <c r="L17" s="109">
        <f t="shared" si="4"/>
        <v>19</v>
      </c>
      <c r="M17" s="109">
        <f t="shared" si="4"/>
        <v>12</v>
      </c>
      <c r="N17" s="109">
        <f t="shared" si="4"/>
        <v>2</v>
      </c>
      <c r="O17" s="109">
        <f t="shared" si="5"/>
        <v>2</v>
      </c>
      <c r="P17" s="109">
        <f t="shared" si="5"/>
        <v>2</v>
      </c>
      <c r="Q17" s="109">
        <f t="shared" si="5"/>
        <v>15</v>
      </c>
      <c r="R17" s="109">
        <f t="shared" si="5"/>
        <v>5</v>
      </c>
      <c r="S17" s="109">
        <f t="shared" si="5"/>
        <v>31</v>
      </c>
      <c r="T17" s="109">
        <f t="shared" si="5"/>
        <v>13</v>
      </c>
      <c r="U17" s="109">
        <f t="shared" si="5"/>
        <v>46</v>
      </c>
      <c r="V17" s="109">
        <f t="shared" si="5"/>
        <v>23</v>
      </c>
      <c r="W17" s="109">
        <f t="shared" si="5"/>
        <v>9</v>
      </c>
      <c r="X17" s="109">
        <f t="shared" si="5"/>
        <v>6</v>
      </c>
      <c r="Y17" s="109">
        <f t="shared" si="5"/>
        <v>6</v>
      </c>
      <c r="Z17" s="109">
        <f t="shared" si="5"/>
        <v>41</v>
      </c>
      <c r="AA17" s="172">
        <f t="shared" si="2"/>
        <v>276</v>
      </c>
      <c r="AB17" s="108" t="str">
        <f t="shared" si="3"/>
        <v>Lopez</v>
      </c>
    </row>
    <row r="18" spans="2:28">
      <c r="B18" s="322"/>
      <c r="C18" s="324" t="s">
        <v>212</v>
      </c>
      <c r="D18" s="259" t="s">
        <v>177</v>
      </c>
      <c r="E18" s="109">
        <f t="shared" si="4"/>
        <v>13</v>
      </c>
      <c r="F18" s="109">
        <f t="shared" si="4"/>
        <v>33</v>
      </c>
      <c r="G18" s="109">
        <f t="shared" si="4"/>
        <v>5</v>
      </c>
      <c r="H18" s="109">
        <f t="shared" si="4"/>
        <v>2</v>
      </c>
      <c r="I18" s="109">
        <f t="shared" si="4"/>
        <v>2</v>
      </c>
      <c r="J18" s="109">
        <f t="shared" si="4"/>
        <v>2</v>
      </c>
      <c r="K18" s="109">
        <f t="shared" si="4"/>
        <v>12</v>
      </c>
      <c r="L18" s="109">
        <f t="shared" si="4"/>
        <v>2</v>
      </c>
      <c r="M18" s="109">
        <f t="shared" si="4"/>
        <v>8</v>
      </c>
      <c r="N18" s="109">
        <f t="shared" si="4"/>
        <v>2</v>
      </c>
      <c r="O18" s="109">
        <f t="shared" si="5"/>
        <v>2</v>
      </c>
      <c r="P18" s="109">
        <f t="shared" si="5"/>
        <v>2</v>
      </c>
      <c r="Q18" s="109">
        <f t="shared" si="5"/>
        <v>2</v>
      </c>
      <c r="R18" s="109">
        <f t="shared" si="5"/>
        <v>2</v>
      </c>
      <c r="S18" s="109">
        <f t="shared" si="5"/>
        <v>0</v>
      </c>
      <c r="T18" s="109">
        <f t="shared" si="5"/>
        <v>0</v>
      </c>
      <c r="U18" s="109">
        <f t="shared" si="5"/>
        <v>0</v>
      </c>
      <c r="V18" s="109">
        <f t="shared" si="5"/>
        <v>0</v>
      </c>
      <c r="W18" s="109">
        <f t="shared" si="5"/>
        <v>0</v>
      </c>
      <c r="X18" s="109">
        <f t="shared" si="5"/>
        <v>0</v>
      </c>
      <c r="Y18" s="109">
        <f t="shared" si="5"/>
        <v>0</v>
      </c>
      <c r="Z18" s="109">
        <f t="shared" si="5"/>
        <v>0</v>
      </c>
      <c r="AA18" s="172">
        <f t="shared" si="2"/>
        <v>89</v>
      </c>
      <c r="AB18" s="108" t="str">
        <f t="shared" si="3"/>
        <v>Higuita</v>
      </c>
    </row>
    <row r="19" spans="2:28">
      <c r="B19" s="322"/>
      <c r="C19" s="324" t="s">
        <v>104</v>
      </c>
      <c r="D19" s="259" t="s">
        <v>10</v>
      </c>
      <c r="E19" s="109">
        <f t="shared" si="4"/>
        <v>21</v>
      </c>
      <c r="F19" s="109">
        <f t="shared" si="4"/>
        <v>0</v>
      </c>
      <c r="G19" s="109">
        <f t="shared" si="4"/>
        <v>17</v>
      </c>
      <c r="H19" s="109">
        <f t="shared" si="4"/>
        <v>0</v>
      </c>
      <c r="I19" s="109">
        <f t="shared" si="4"/>
        <v>19</v>
      </c>
      <c r="J19" s="109">
        <f t="shared" si="4"/>
        <v>0</v>
      </c>
      <c r="K19" s="109">
        <f t="shared" si="4"/>
        <v>28</v>
      </c>
      <c r="L19" s="109">
        <f t="shared" si="4"/>
        <v>2</v>
      </c>
      <c r="M19" s="109">
        <f t="shared" si="4"/>
        <v>2</v>
      </c>
      <c r="N19" s="109">
        <f t="shared" si="4"/>
        <v>22</v>
      </c>
      <c r="O19" s="109">
        <f t="shared" si="5"/>
        <v>27</v>
      </c>
      <c r="P19" s="109">
        <f t="shared" si="5"/>
        <v>3</v>
      </c>
      <c r="Q19" s="109">
        <f t="shared" si="5"/>
        <v>3</v>
      </c>
      <c r="R19" s="109">
        <f t="shared" si="5"/>
        <v>2</v>
      </c>
      <c r="S19" s="109">
        <f t="shared" si="5"/>
        <v>2</v>
      </c>
      <c r="T19" s="109">
        <f t="shared" si="5"/>
        <v>2</v>
      </c>
      <c r="U19" s="109">
        <f t="shared" si="5"/>
        <v>2</v>
      </c>
      <c r="V19" s="109">
        <f t="shared" si="5"/>
        <v>2</v>
      </c>
      <c r="W19" s="109">
        <f t="shared" si="5"/>
        <v>13</v>
      </c>
      <c r="X19" s="109">
        <f t="shared" si="5"/>
        <v>2</v>
      </c>
      <c r="Y19" s="109">
        <f t="shared" si="5"/>
        <v>19</v>
      </c>
      <c r="Z19" s="109">
        <f t="shared" si="5"/>
        <v>3</v>
      </c>
      <c r="AA19" s="172">
        <f t="shared" si="2"/>
        <v>191</v>
      </c>
      <c r="AB19" s="108" t="str">
        <f t="shared" si="3"/>
        <v>Coquard</v>
      </c>
    </row>
    <row r="20" spans="2:28" s="157" customFormat="1">
      <c r="B20" s="322"/>
      <c r="C20" s="324" t="s">
        <v>211</v>
      </c>
      <c r="D20" s="259" t="s">
        <v>177</v>
      </c>
      <c r="E20" s="109">
        <f t="shared" si="4"/>
        <v>0</v>
      </c>
      <c r="F20" s="109">
        <f t="shared" si="4"/>
        <v>0</v>
      </c>
      <c r="G20" s="109">
        <f t="shared" si="4"/>
        <v>0</v>
      </c>
      <c r="H20" s="109">
        <f t="shared" si="4"/>
        <v>0</v>
      </c>
      <c r="I20" s="109">
        <f t="shared" si="4"/>
        <v>0</v>
      </c>
      <c r="J20" s="109">
        <f t="shared" si="4"/>
        <v>0</v>
      </c>
      <c r="K20" s="109">
        <f t="shared" si="4"/>
        <v>0</v>
      </c>
      <c r="L20" s="109">
        <f t="shared" si="4"/>
        <v>0</v>
      </c>
      <c r="M20" s="109">
        <f t="shared" si="4"/>
        <v>0</v>
      </c>
      <c r="N20" s="109">
        <f t="shared" si="4"/>
        <v>0</v>
      </c>
      <c r="O20" s="109">
        <f t="shared" si="5"/>
        <v>0</v>
      </c>
      <c r="P20" s="109">
        <f t="shared" si="5"/>
        <v>0</v>
      </c>
      <c r="Q20" s="109">
        <f t="shared" si="5"/>
        <v>0</v>
      </c>
      <c r="R20" s="109">
        <f t="shared" si="5"/>
        <v>0</v>
      </c>
      <c r="S20" s="109">
        <f t="shared" si="5"/>
        <v>0</v>
      </c>
      <c r="T20" s="109">
        <f t="shared" si="5"/>
        <v>24</v>
      </c>
      <c r="U20" s="109">
        <f t="shared" si="5"/>
        <v>0</v>
      </c>
      <c r="V20" s="109">
        <f t="shared" si="5"/>
        <v>0</v>
      </c>
      <c r="W20" s="109">
        <f t="shared" si="5"/>
        <v>0</v>
      </c>
      <c r="X20" s="109">
        <f t="shared" si="5"/>
        <v>0</v>
      </c>
      <c r="Y20" s="109">
        <f t="shared" si="5"/>
        <v>0</v>
      </c>
      <c r="Z20" s="109">
        <f t="shared" si="5"/>
        <v>0</v>
      </c>
      <c r="AA20" s="172">
        <f t="shared" si="2"/>
        <v>24</v>
      </c>
      <c r="AB20" s="108" t="str">
        <f t="shared" si="3"/>
        <v>Sivakov</v>
      </c>
    </row>
    <row r="21" spans="2:28" s="158" customFormat="1">
      <c r="B21" s="325"/>
      <c r="C21" s="326"/>
      <c r="D21" s="165"/>
      <c r="E21" s="167"/>
      <c r="F21" s="167"/>
      <c r="G21" s="167"/>
      <c r="H21" s="167"/>
      <c r="I21" s="167"/>
      <c r="J21" s="167"/>
      <c r="K21" s="167"/>
      <c r="L21" s="167"/>
      <c r="M21" s="167">
        <f>M25+M24</f>
        <v>25</v>
      </c>
      <c r="N21" s="167">
        <f t="shared" ref="N21:Q21" si="6">N25+N24</f>
        <v>7</v>
      </c>
      <c r="O21" s="167">
        <f t="shared" si="6"/>
        <v>7</v>
      </c>
      <c r="P21" s="167">
        <f t="shared" si="6"/>
        <v>7</v>
      </c>
      <c r="Q21" s="167">
        <f t="shared" si="6"/>
        <v>0</v>
      </c>
      <c r="R21" s="167">
        <f>R25+R24+R26</f>
        <v>0</v>
      </c>
      <c r="S21" s="167">
        <f t="shared" ref="S21:Z21" si="7">S25+S24+S26</f>
        <v>0</v>
      </c>
      <c r="T21" s="167">
        <f t="shared" si="7"/>
        <v>35</v>
      </c>
      <c r="U21" s="167">
        <f t="shared" si="7"/>
        <v>1</v>
      </c>
      <c r="V21" s="167">
        <f t="shared" si="7"/>
        <v>1</v>
      </c>
      <c r="W21" s="167">
        <f t="shared" si="7"/>
        <v>1</v>
      </c>
      <c r="X21" s="167">
        <f t="shared" si="7"/>
        <v>1</v>
      </c>
      <c r="Y21" s="167">
        <f t="shared" si="7"/>
        <v>1</v>
      </c>
      <c r="Z21" s="167">
        <f t="shared" si="7"/>
        <v>1</v>
      </c>
      <c r="AA21" s="225">
        <f t="shared" ref="AA21" si="8">SUM(E21:Z21)</f>
        <v>87</v>
      </c>
    </row>
    <row r="22" spans="2:28" s="112" customFormat="1">
      <c r="B22" s="327"/>
      <c r="C22" s="328"/>
      <c r="D22" s="166"/>
      <c r="E22" s="159">
        <f t="shared" ref="E22:AA22" si="9">SUM(E4:E21)</f>
        <v>132</v>
      </c>
      <c r="F22" s="159">
        <f t="shared" ref="F22" si="10">SUM(F4:F21)</f>
        <v>153</v>
      </c>
      <c r="G22" s="159">
        <f>SUM(G4:G21)</f>
        <v>139</v>
      </c>
      <c r="H22" s="159">
        <f t="shared" si="9"/>
        <v>263</v>
      </c>
      <c r="I22" s="159">
        <f t="shared" si="9"/>
        <v>203</v>
      </c>
      <c r="J22" s="159">
        <f t="shared" si="9"/>
        <v>162</v>
      </c>
      <c r="K22" s="159">
        <f t="shared" si="9"/>
        <v>181</v>
      </c>
      <c r="L22" s="159">
        <f t="shared" si="9"/>
        <v>127</v>
      </c>
      <c r="M22" s="159">
        <f t="shared" si="9"/>
        <v>245</v>
      </c>
      <c r="N22" s="159">
        <f t="shared" si="9"/>
        <v>143</v>
      </c>
      <c r="O22" s="159">
        <f t="shared" si="9"/>
        <v>142</v>
      </c>
      <c r="P22" s="159">
        <f t="shared" si="9"/>
        <v>97</v>
      </c>
      <c r="Q22" s="159">
        <f t="shared" si="9"/>
        <v>120</v>
      </c>
      <c r="R22" s="159">
        <f t="shared" si="9"/>
        <v>101</v>
      </c>
      <c r="S22" s="159">
        <f t="shared" si="9"/>
        <v>189</v>
      </c>
      <c r="T22" s="159">
        <f t="shared" si="9"/>
        <v>168</v>
      </c>
      <c r="U22" s="159">
        <f t="shared" si="9"/>
        <v>210</v>
      </c>
      <c r="V22" s="159">
        <f t="shared" si="9"/>
        <v>215</v>
      </c>
      <c r="W22" s="159">
        <f t="shared" si="9"/>
        <v>111</v>
      </c>
      <c r="X22" s="159">
        <f t="shared" si="9"/>
        <v>189</v>
      </c>
      <c r="Y22" s="159">
        <f t="shared" si="9"/>
        <v>164</v>
      </c>
      <c r="Z22" s="159">
        <f t="shared" si="9"/>
        <v>367</v>
      </c>
      <c r="AA22" s="222">
        <f t="shared" si="9"/>
        <v>3821</v>
      </c>
    </row>
    <row r="23" spans="2:28" s="160" customFormat="1">
      <c r="B23" s="329"/>
      <c r="C23" s="330"/>
      <c r="D23" s="16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2:28" s="162" customFormat="1">
      <c r="B24" s="322" t="s">
        <v>218</v>
      </c>
      <c r="C24" s="331" t="s">
        <v>171</v>
      </c>
      <c r="D24" s="262" t="s">
        <v>177</v>
      </c>
      <c r="E24" s="179">
        <f t="shared" ref="E24:Z26" si="11">INDEX(scorematrix,MATCH($C24,renners,0),MATCH(E$3,etappes,0))</f>
        <v>0</v>
      </c>
      <c r="F24" s="179">
        <f t="shared" si="11"/>
        <v>0</v>
      </c>
      <c r="G24" s="179">
        <f t="shared" si="11"/>
        <v>0</v>
      </c>
      <c r="H24" s="179">
        <f t="shared" si="11"/>
        <v>9</v>
      </c>
      <c r="I24" s="179">
        <f t="shared" si="11"/>
        <v>0</v>
      </c>
      <c r="J24" s="179">
        <f t="shared" si="11"/>
        <v>7</v>
      </c>
      <c r="K24" s="179">
        <f t="shared" si="11"/>
        <v>7</v>
      </c>
      <c r="L24" s="179">
        <f t="shared" si="11"/>
        <v>0</v>
      </c>
      <c r="M24" s="351">
        <f t="shared" si="11"/>
        <v>0</v>
      </c>
      <c r="N24" s="351">
        <f t="shared" si="11"/>
        <v>0</v>
      </c>
      <c r="O24" s="351">
        <f t="shared" si="11"/>
        <v>0</v>
      </c>
      <c r="P24" s="351">
        <f t="shared" si="11"/>
        <v>0</v>
      </c>
      <c r="Q24" s="351">
        <f t="shared" si="11"/>
        <v>0</v>
      </c>
      <c r="R24" s="351">
        <f t="shared" si="11"/>
        <v>0</v>
      </c>
      <c r="S24" s="351">
        <f t="shared" si="11"/>
        <v>0</v>
      </c>
      <c r="T24" s="351">
        <f t="shared" si="11"/>
        <v>0</v>
      </c>
      <c r="U24" s="351">
        <f t="shared" si="11"/>
        <v>0</v>
      </c>
      <c r="V24" s="351">
        <f t="shared" si="11"/>
        <v>0</v>
      </c>
      <c r="W24" s="351">
        <f t="shared" si="11"/>
        <v>0</v>
      </c>
      <c r="X24" s="351">
        <f t="shared" si="11"/>
        <v>0</v>
      </c>
      <c r="Y24" s="351">
        <f t="shared" si="11"/>
        <v>0</v>
      </c>
      <c r="Z24" s="351">
        <f t="shared" si="11"/>
        <v>0</v>
      </c>
      <c r="AA24" s="290">
        <f>SUM(E24:Z24)</f>
        <v>23</v>
      </c>
    </row>
    <row r="25" spans="2:28" s="162" customFormat="1">
      <c r="B25" s="322" t="s">
        <v>219</v>
      </c>
      <c r="C25" s="331" t="s">
        <v>108</v>
      </c>
      <c r="D25" s="262" t="s">
        <v>177</v>
      </c>
      <c r="E25" s="179">
        <f t="shared" si="11"/>
        <v>0</v>
      </c>
      <c r="F25" s="179">
        <f t="shared" si="11"/>
        <v>0</v>
      </c>
      <c r="G25" s="179">
        <f t="shared" si="11"/>
        <v>0</v>
      </c>
      <c r="H25" s="179">
        <f t="shared" si="11"/>
        <v>10</v>
      </c>
      <c r="I25" s="179">
        <f t="shared" si="11"/>
        <v>1</v>
      </c>
      <c r="J25" s="179">
        <f t="shared" si="11"/>
        <v>10</v>
      </c>
      <c r="K25" s="179">
        <f t="shared" si="11"/>
        <v>14</v>
      </c>
      <c r="L25" s="179">
        <f t="shared" si="11"/>
        <v>23</v>
      </c>
      <c r="M25" s="349">
        <f t="shared" si="11"/>
        <v>25</v>
      </c>
      <c r="N25" s="349">
        <f t="shared" si="11"/>
        <v>7</v>
      </c>
      <c r="O25" s="349">
        <f t="shared" si="11"/>
        <v>7</v>
      </c>
      <c r="P25" s="349">
        <f t="shared" si="11"/>
        <v>7</v>
      </c>
      <c r="Q25" s="349">
        <f t="shared" si="11"/>
        <v>0</v>
      </c>
      <c r="R25" s="179">
        <f t="shared" si="11"/>
        <v>0</v>
      </c>
      <c r="S25" s="179">
        <f t="shared" si="11"/>
        <v>0</v>
      </c>
      <c r="T25" s="179">
        <f t="shared" si="11"/>
        <v>0</v>
      </c>
      <c r="U25" s="179">
        <f t="shared" si="11"/>
        <v>0</v>
      </c>
      <c r="V25" s="179">
        <f t="shared" si="11"/>
        <v>0</v>
      </c>
      <c r="W25" s="179">
        <f t="shared" si="11"/>
        <v>0</v>
      </c>
      <c r="X25" s="179">
        <f t="shared" si="11"/>
        <v>0</v>
      </c>
      <c r="Y25" s="179">
        <f t="shared" si="11"/>
        <v>0</v>
      </c>
      <c r="Z25" s="179">
        <f t="shared" si="11"/>
        <v>0</v>
      </c>
      <c r="AA25" s="290">
        <f>SUM(E25:Z25)</f>
        <v>104</v>
      </c>
    </row>
    <row r="26" spans="2:28" s="162" customFormat="1">
      <c r="B26" s="322" t="s">
        <v>220</v>
      </c>
      <c r="C26" s="331" t="s">
        <v>221</v>
      </c>
      <c r="D26" s="262" t="s">
        <v>109</v>
      </c>
      <c r="E26" s="179">
        <f t="shared" si="11"/>
        <v>0</v>
      </c>
      <c r="F26" s="179">
        <f t="shared" si="11"/>
        <v>0</v>
      </c>
      <c r="G26" s="179">
        <f t="shared" si="11"/>
        <v>0</v>
      </c>
      <c r="H26" s="179">
        <f t="shared" si="11"/>
        <v>0</v>
      </c>
      <c r="I26" s="179">
        <f t="shared" si="11"/>
        <v>0</v>
      </c>
      <c r="J26" s="179">
        <f t="shared" si="11"/>
        <v>0</v>
      </c>
      <c r="K26" s="179">
        <f t="shared" si="11"/>
        <v>0</v>
      </c>
      <c r="L26" s="179">
        <f t="shared" si="11"/>
        <v>0</v>
      </c>
      <c r="M26" s="179">
        <f t="shared" si="11"/>
        <v>0</v>
      </c>
      <c r="N26" s="179">
        <f t="shared" si="11"/>
        <v>0</v>
      </c>
      <c r="O26" s="179">
        <f t="shared" si="11"/>
        <v>0</v>
      </c>
      <c r="P26" s="179">
        <f t="shared" si="11"/>
        <v>0</v>
      </c>
      <c r="Q26" s="179">
        <f t="shared" si="11"/>
        <v>30</v>
      </c>
      <c r="R26" s="353">
        <f t="shared" si="11"/>
        <v>0</v>
      </c>
      <c r="S26" s="353">
        <f t="shared" si="11"/>
        <v>0</v>
      </c>
      <c r="T26" s="353">
        <f t="shared" si="11"/>
        <v>35</v>
      </c>
      <c r="U26" s="353">
        <f t="shared" si="11"/>
        <v>1</v>
      </c>
      <c r="V26" s="353">
        <f t="shared" si="11"/>
        <v>1</v>
      </c>
      <c r="W26" s="353">
        <f t="shared" si="11"/>
        <v>1</v>
      </c>
      <c r="X26" s="353">
        <f t="shared" si="11"/>
        <v>1</v>
      </c>
      <c r="Y26" s="353">
        <f t="shared" si="11"/>
        <v>1</v>
      </c>
      <c r="Z26" s="353">
        <f t="shared" si="11"/>
        <v>1</v>
      </c>
      <c r="AA26" s="290">
        <f>SUM(E26:Z26)</f>
        <v>71</v>
      </c>
    </row>
    <row r="28" spans="2:28">
      <c r="C28" s="291" t="s">
        <v>163</v>
      </c>
      <c r="D28" s="292">
        <f>COUNTIF($D$4:$D$21,C28)</f>
        <v>0</v>
      </c>
    </row>
    <row r="29" spans="2:28">
      <c r="C29" s="293" t="s">
        <v>10</v>
      </c>
      <c r="D29" s="292">
        <f>COUNTIF($D$4:$D$21,C29)</f>
        <v>4</v>
      </c>
    </row>
    <row r="30" spans="2:28">
      <c r="C30" s="293" t="s">
        <v>109</v>
      </c>
      <c r="D30" s="292">
        <f>COUNTIF($D$4:$D$21,C30)</f>
        <v>3</v>
      </c>
    </row>
  </sheetData>
  <sortState ref="B4:AB20">
    <sortCondition ref="D4:D20"/>
    <sortCondition ref="C4:C20"/>
  </sortState>
  <phoneticPr fontId="0" type="noConversion"/>
  <dataValidations count="1">
    <dataValidation type="list" allowBlank="1" showInputMessage="1" showErrorMessage="1" prompt="selecteer type renner:" sqref="D4:D20">
      <formula1>type_renner</formula1>
    </dataValidation>
  </dataValidations>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sheetPr codeName="Blad24">
    <tabColor indexed="12"/>
  </sheetPr>
  <dimension ref="B1:AB30"/>
  <sheetViews>
    <sheetView showZeros="0" workbookViewId="0">
      <selection activeCell="AA21" sqref="AA21"/>
    </sheetView>
  </sheetViews>
  <sheetFormatPr defaultColWidth="9.140625" defaultRowHeight="12.75"/>
  <cols>
    <col min="1" max="1" width="2.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B1" s="163"/>
      <c r="C1" s="294" t="s">
        <v>226</v>
      </c>
      <c r="D1" s="256"/>
    </row>
    <row r="2" spans="2:28">
      <c r="B2" s="163"/>
      <c r="C2" s="295"/>
      <c r="D2" s="164"/>
      <c r="H2" s="128"/>
    </row>
    <row r="3" spans="2:28" s="126" customFormat="1" ht="13.5" thickBot="1">
      <c r="B3" s="296"/>
      <c r="C3" s="297" t="s">
        <v>227</v>
      </c>
      <c r="D3" s="257"/>
      <c r="E3" s="111">
        <v>1</v>
      </c>
      <c r="F3" s="111">
        <v>2</v>
      </c>
      <c r="G3" s="111">
        <v>3</v>
      </c>
      <c r="H3" s="111">
        <v>4</v>
      </c>
      <c r="I3" s="111">
        <v>5</v>
      </c>
      <c r="J3" s="111">
        <v>6</v>
      </c>
      <c r="K3" s="111">
        <v>7</v>
      </c>
      <c r="L3" s="111">
        <v>8</v>
      </c>
      <c r="M3" s="111">
        <v>9</v>
      </c>
      <c r="N3" s="111">
        <v>10</v>
      </c>
      <c r="O3" s="111">
        <v>11</v>
      </c>
      <c r="P3" s="111">
        <v>12</v>
      </c>
      <c r="Q3" s="111">
        <v>13</v>
      </c>
      <c r="R3" s="111">
        <v>14</v>
      </c>
      <c r="S3" s="111">
        <v>15</v>
      </c>
      <c r="T3" s="111">
        <v>16</v>
      </c>
      <c r="U3" s="111">
        <v>17</v>
      </c>
      <c r="V3" s="111">
        <v>18</v>
      </c>
      <c r="W3" s="111">
        <v>19</v>
      </c>
      <c r="X3" s="111">
        <v>20</v>
      </c>
      <c r="Y3" s="111">
        <v>21</v>
      </c>
      <c r="Z3" s="111" t="s">
        <v>1</v>
      </c>
      <c r="AA3" s="146"/>
    </row>
    <row r="4" spans="2:28">
      <c r="B4" s="322"/>
      <c r="C4" s="323" t="s">
        <v>134</v>
      </c>
      <c r="D4" s="259" t="s">
        <v>177</v>
      </c>
      <c r="E4" s="109">
        <f t="shared" ref="E4:N13" si="0">INDEX(scorematrix,MATCH($C4,renners,0),MATCH(E$3,etappes,0))</f>
        <v>0</v>
      </c>
      <c r="F4" s="109">
        <f t="shared" si="0"/>
        <v>0</v>
      </c>
      <c r="G4" s="109">
        <f t="shared" si="0"/>
        <v>0</v>
      </c>
      <c r="H4" s="109">
        <f t="shared" si="0"/>
        <v>46</v>
      </c>
      <c r="I4" s="109">
        <f t="shared" si="0"/>
        <v>12</v>
      </c>
      <c r="J4" s="109">
        <f t="shared" si="0"/>
        <v>11</v>
      </c>
      <c r="K4" s="109">
        <f t="shared" si="0"/>
        <v>11</v>
      </c>
      <c r="L4" s="109">
        <f t="shared" si="0"/>
        <v>19</v>
      </c>
      <c r="M4" s="109">
        <f t="shared" si="0"/>
        <v>40</v>
      </c>
      <c r="N4" s="109">
        <f t="shared" si="0"/>
        <v>10</v>
      </c>
      <c r="O4" s="109">
        <f t="shared" ref="O4:Z13" si="1">INDEX(scorematrix,MATCH($C4,renners,0),MATCH(O$3,etappes,0))</f>
        <v>10</v>
      </c>
      <c r="P4" s="109">
        <f t="shared" si="1"/>
        <v>10</v>
      </c>
      <c r="Q4" s="109">
        <f t="shared" si="1"/>
        <v>24</v>
      </c>
      <c r="R4" s="109">
        <f t="shared" si="1"/>
        <v>10</v>
      </c>
      <c r="S4" s="109">
        <f t="shared" si="1"/>
        <v>43</v>
      </c>
      <c r="T4" s="109">
        <f t="shared" si="1"/>
        <v>12</v>
      </c>
      <c r="U4" s="109">
        <f t="shared" si="1"/>
        <v>44</v>
      </c>
      <c r="V4" s="109">
        <f t="shared" si="1"/>
        <v>37</v>
      </c>
      <c r="W4" s="109">
        <f t="shared" si="1"/>
        <v>13</v>
      </c>
      <c r="X4" s="109">
        <f t="shared" si="1"/>
        <v>34</v>
      </c>
      <c r="Y4" s="109">
        <f t="shared" si="1"/>
        <v>12</v>
      </c>
      <c r="Z4" s="109">
        <f t="shared" si="1"/>
        <v>65</v>
      </c>
      <c r="AA4" s="172">
        <f t="shared" ref="AA4:AA20" si="2">SUM(E4:Z4)</f>
        <v>463</v>
      </c>
      <c r="AB4" s="108" t="str">
        <f t="shared" ref="AB4:AB20" si="3">C4</f>
        <v>Roglic</v>
      </c>
    </row>
    <row r="5" spans="2:28">
      <c r="B5" s="322"/>
      <c r="C5" s="324" t="s">
        <v>106</v>
      </c>
      <c r="D5" s="259" t="s">
        <v>177</v>
      </c>
      <c r="E5" s="109">
        <f t="shared" si="0"/>
        <v>0</v>
      </c>
      <c r="F5" s="109">
        <f t="shared" si="0"/>
        <v>1</v>
      </c>
      <c r="G5" s="109">
        <f t="shared" si="0"/>
        <v>4</v>
      </c>
      <c r="H5" s="109">
        <f t="shared" si="0"/>
        <v>19</v>
      </c>
      <c r="I5" s="109">
        <f t="shared" si="0"/>
        <v>5</v>
      </c>
      <c r="J5" s="109">
        <f t="shared" si="0"/>
        <v>16</v>
      </c>
      <c r="K5" s="109">
        <f t="shared" si="0"/>
        <v>6</v>
      </c>
      <c r="L5" s="109">
        <f t="shared" si="0"/>
        <v>0</v>
      </c>
      <c r="M5" s="109">
        <f t="shared" si="0"/>
        <v>9</v>
      </c>
      <c r="N5" s="109">
        <f t="shared" si="0"/>
        <v>0</v>
      </c>
      <c r="O5" s="109">
        <f t="shared" si="1"/>
        <v>0</v>
      </c>
      <c r="P5" s="109">
        <f t="shared" si="1"/>
        <v>0</v>
      </c>
      <c r="Q5" s="109">
        <f t="shared" si="1"/>
        <v>0</v>
      </c>
      <c r="R5" s="109">
        <f t="shared" si="1"/>
        <v>0</v>
      </c>
      <c r="S5" s="109">
        <f t="shared" si="1"/>
        <v>15</v>
      </c>
      <c r="T5" s="109">
        <f t="shared" si="1"/>
        <v>2</v>
      </c>
      <c r="U5" s="109">
        <f t="shared" si="1"/>
        <v>18</v>
      </c>
      <c r="V5" s="109">
        <f t="shared" si="1"/>
        <v>18</v>
      </c>
      <c r="W5" s="109">
        <f t="shared" si="1"/>
        <v>2</v>
      </c>
      <c r="X5" s="109">
        <f t="shared" si="1"/>
        <v>34</v>
      </c>
      <c r="Y5" s="109">
        <f t="shared" si="1"/>
        <v>4</v>
      </c>
      <c r="Z5" s="109">
        <f t="shared" si="1"/>
        <v>38</v>
      </c>
      <c r="AA5" s="172">
        <f t="shared" si="2"/>
        <v>191</v>
      </c>
      <c r="AB5" s="108" t="str">
        <f t="shared" si="3"/>
        <v>Dumoulin</v>
      </c>
    </row>
    <row r="6" spans="2:28">
      <c r="B6" s="322"/>
      <c r="C6" s="324" t="s">
        <v>136</v>
      </c>
      <c r="D6" s="259" t="s">
        <v>177</v>
      </c>
      <c r="E6" s="109">
        <f t="shared" si="0"/>
        <v>0</v>
      </c>
      <c r="F6" s="109">
        <f t="shared" si="0"/>
        <v>14</v>
      </c>
      <c r="G6" s="109">
        <f t="shared" si="0"/>
        <v>8</v>
      </c>
      <c r="H6" s="109">
        <f t="shared" si="0"/>
        <v>28</v>
      </c>
      <c r="I6" s="109">
        <f t="shared" si="0"/>
        <v>18</v>
      </c>
      <c r="J6" s="109">
        <f t="shared" si="0"/>
        <v>28</v>
      </c>
      <c r="K6" s="109">
        <f t="shared" si="0"/>
        <v>30</v>
      </c>
      <c r="L6" s="109">
        <f t="shared" si="0"/>
        <v>24</v>
      </c>
      <c r="M6" s="109">
        <f t="shared" si="0"/>
        <v>38</v>
      </c>
      <c r="N6" s="109">
        <f t="shared" si="0"/>
        <v>14</v>
      </c>
      <c r="O6" s="109">
        <f t="shared" si="1"/>
        <v>14</v>
      </c>
      <c r="P6" s="109">
        <f t="shared" si="1"/>
        <v>14</v>
      </c>
      <c r="Q6" s="109">
        <f t="shared" si="1"/>
        <v>20</v>
      </c>
      <c r="R6" s="109">
        <f t="shared" si="1"/>
        <v>12</v>
      </c>
      <c r="S6" s="109">
        <f t="shared" si="1"/>
        <v>3</v>
      </c>
      <c r="T6" s="109">
        <f t="shared" si="1"/>
        <v>3</v>
      </c>
      <c r="U6" s="109">
        <f t="shared" si="1"/>
        <v>0</v>
      </c>
      <c r="V6" s="109">
        <f t="shared" si="1"/>
        <v>0</v>
      </c>
      <c r="W6" s="109">
        <f t="shared" si="1"/>
        <v>0</v>
      </c>
      <c r="X6" s="109">
        <f t="shared" si="1"/>
        <v>0</v>
      </c>
      <c r="Y6" s="109">
        <f t="shared" si="1"/>
        <v>0</v>
      </c>
      <c r="Z6" s="109">
        <f t="shared" si="1"/>
        <v>0</v>
      </c>
      <c r="AA6" s="172">
        <f t="shared" si="2"/>
        <v>268</v>
      </c>
      <c r="AB6" s="108" t="str">
        <f t="shared" si="3"/>
        <v>Bernal</v>
      </c>
    </row>
    <row r="7" spans="2:28">
      <c r="B7" s="322"/>
      <c r="C7" s="324" t="s">
        <v>86</v>
      </c>
      <c r="D7" s="259" t="s">
        <v>177</v>
      </c>
      <c r="E7" s="109">
        <f t="shared" si="0"/>
        <v>0</v>
      </c>
      <c r="F7" s="109">
        <f t="shared" si="0"/>
        <v>0</v>
      </c>
      <c r="G7" s="109">
        <f t="shared" si="0"/>
        <v>0</v>
      </c>
      <c r="H7" s="109">
        <f t="shared" si="0"/>
        <v>18</v>
      </c>
      <c r="I7" s="109">
        <f t="shared" si="0"/>
        <v>0</v>
      </c>
      <c r="J7" s="109">
        <f t="shared" si="0"/>
        <v>12</v>
      </c>
      <c r="K7" s="109">
        <f t="shared" si="0"/>
        <v>10</v>
      </c>
      <c r="L7" s="109">
        <f t="shared" si="0"/>
        <v>0</v>
      </c>
      <c r="M7" s="350"/>
      <c r="N7" s="350"/>
      <c r="O7" s="350"/>
      <c r="P7" s="350"/>
      <c r="Q7" s="350"/>
      <c r="R7" s="350"/>
      <c r="S7" s="350"/>
      <c r="T7" s="350"/>
      <c r="U7" s="350"/>
      <c r="V7" s="350"/>
      <c r="W7" s="350"/>
      <c r="X7" s="350"/>
      <c r="Y7" s="350"/>
      <c r="Z7" s="350"/>
      <c r="AA7" s="172">
        <f t="shared" si="2"/>
        <v>40</v>
      </c>
      <c r="AB7" s="108" t="str">
        <f t="shared" si="3"/>
        <v>Pinot</v>
      </c>
    </row>
    <row r="8" spans="2:28">
      <c r="B8" s="322"/>
      <c r="C8" s="324" t="s">
        <v>199</v>
      </c>
      <c r="D8" s="259" t="s">
        <v>177</v>
      </c>
      <c r="E8" s="109">
        <f t="shared" si="0"/>
        <v>11</v>
      </c>
      <c r="F8" s="109">
        <f t="shared" si="0"/>
        <v>27</v>
      </c>
      <c r="G8" s="109">
        <f t="shared" si="0"/>
        <v>11</v>
      </c>
      <c r="H8" s="109">
        <f t="shared" si="0"/>
        <v>44</v>
      </c>
      <c r="I8" s="109">
        <f t="shared" si="0"/>
        <v>15</v>
      </c>
      <c r="J8" s="109">
        <f t="shared" si="0"/>
        <v>28</v>
      </c>
      <c r="K8" s="109">
        <f t="shared" si="0"/>
        <v>2</v>
      </c>
      <c r="L8" s="109">
        <f t="shared" si="0"/>
        <v>23</v>
      </c>
      <c r="M8" s="109">
        <f t="shared" si="0"/>
        <v>43</v>
      </c>
      <c r="N8" s="109">
        <f t="shared" si="0"/>
        <v>8</v>
      </c>
      <c r="O8" s="109">
        <f t="shared" si="1"/>
        <v>8</v>
      </c>
      <c r="P8" s="109">
        <f t="shared" si="1"/>
        <v>8</v>
      </c>
      <c r="Q8" s="109">
        <f t="shared" si="1"/>
        <v>27</v>
      </c>
      <c r="R8" s="109">
        <f t="shared" si="1"/>
        <v>28</v>
      </c>
      <c r="S8" s="109">
        <f t="shared" si="1"/>
        <v>53</v>
      </c>
      <c r="T8" s="109">
        <f t="shared" si="1"/>
        <v>17</v>
      </c>
      <c r="U8" s="109">
        <f t="shared" si="1"/>
        <v>45</v>
      </c>
      <c r="V8" s="109">
        <f t="shared" si="1"/>
        <v>40</v>
      </c>
      <c r="W8" s="109">
        <f t="shared" si="1"/>
        <v>18</v>
      </c>
      <c r="X8" s="109">
        <f t="shared" si="1"/>
        <v>55</v>
      </c>
      <c r="Y8" s="109">
        <f t="shared" si="1"/>
        <v>20</v>
      </c>
      <c r="Z8" s="109">
        <f t="shared" si="1"/>
        <v>90</v>
      </c>
      <c r="AA8" s="172">
        <f t="shared" si="2"/>
        <v>621</v>
      </c>
      <c r="AB8" s="108" t="str">
        <f t="shared" si="3"/>
        <v>Pogacar</v>
      </c>
    </row>
    <row r="9" spans="2:28">
      <c r="B9" s="322"/>
      <c r="C9" s="324" t="s">
        <v>132</v>
      </c>
      <c r="D9" s="259" t="s">
        <v>177</v>
      </c>
      <c r="E9" s="109">
        <f t="shared" si="0"/>
        <v>0</v>
      </c>
      <c r="F9" s="109">
        <f t="shared" si="0"/>
        <v>8</v>
      </c>
      <c r="G9" s="109">
        <f t="shared" si="0"/>
        <v>0</v>
      </c>
      <c r="H9" s="109">
        <f t="shared" si="0"/>
        <v>26</v>
      </c>
      <c r="I9" s="109">
        <f t="shared" si="0"/>
        <v>4</v>
      </c>
      <c r="J9" s="109">
        <f t="shared" si="0"/>
        <v>16</v>
      </c>
      <c r="K9" s="109">
        <f t="shared" si="0"/>
        <v>5</v>
      </c>
      <c r="L9" s="109">
        <f t="shared" si="0"/>
        <v>14</v>
      </c>
      <c r="M9" s="109">
        <f t="shared" si="0"/>
        <v>21</v>
      </c>
      <c r="N9" s="109">
        <f t="shared" si="0"/>
        <v>6</v>
      </c>
      <c r="O9" s="109">
        <f t="shared" si="1"/>
        <v>6</v>
      </c>
      <c r="P9" s="109">
        <f t="shared" si="1"/>
        <v>6</v>
      </c>
      <c r="Q9" s="109">
        <f t="shared" si="1"/>
        <v>6</v>
      </c>
      <c r="R9" s="109">
        <f t="shared" si="1"/>
        <v>6</v>
      </c>
      <c r="S9" s="109">
        <f t="shared" si="1"/>
        <v>10</v>
      </c>
      <c r="T9" s="109">
        <f t="shared" si="1"/>
        <v>1</v>
      </c>
      <c r="U9" s="109">
        <f t="shared" si="1"/>
        <v>0</v>
      </c>
      <c r="V9" s="109">
        <f t="shared" si="1"/>
        <v>0</v>
      </c>
      <c r="W9" s="109">
        <f t="shared" si="1"/>
        <v>0</v>
      </c>
      <c r="X9" s="109">
        <f t="shared" si="1"/>
        <v>0</v>
      </c>
      <c r="Y9" s="109">
        <f t="shared" si="1"/>
        <v>0</v>
      </c>
      <c r="Z9" s="109">
        <f t="shared" si="1"/>
        <v>18</v>
      </c>
      <c r="AA9" s="172">
        <f t="shared" si="2"/>
        <v>153</v>
      </c>
      <c r="AB9" s="108" t="str">
        <f t="shared" si="3"/>
        <v>Quintana</v>
      </c>
    </row>
    <row r="10" spans="2:28">
      <c r="B10" s="322"/>
      <c r="C10" s="324" t="s">
        <v>171</v>
      </c>
      <c r="D10" s="259" t="s">
        <v>177</v>
      </c>
      <c r="E10" s="109">
        <f t="shared" si="0"/>
        <v>0</v>
      </c>
      <c r="F10" s="109">
        <f t="shared" si="0"/>
        <v>0</v>
      </c>
      <c r="G10" s="109">
        <f t="shared" si="0"/>
        <v>0</v>
      </c>
      <c r="H10" s="109">
        <f t="shared" si="0"/>
        <v>9</v>
      </c>
      <c r="I10" s="109">
        <f t="shared" si="0"/>
        <v>0</v>
      </c>
      <c r="J10" s="109">
        <f t="shared" si="0"/>
        <v>7</v>
      </c>
      <c r="K10" s="109">
        <f t="shared" si="0"/>
        <v>7</v>
      </c>
      <c r="L10" s="109">
        <f t="shared" si="0"/>
        <v>0</v>
      </c>
      <c r="M10" s="109">
        <f t="shared" si="0"/>
        <v>0</v>
      </c>
      <c r="N10" s="109">
        <f t="shared" si="0"/>
        <v>0</v>
      </c>
      <c r="O10" s="109">
        <f t="shared" si="1"/>
        <v>0</v>
      </c>
      <c r="P10" s="109">
        <f t="shared" si="1"/>
        <v>0</v>
      </c>
      <c r="Q10" s="109">
        <f t="shared" si="1"/>
        <v>0</v>
      </c>
      <c r="R10" s="109">
        <f t="shared" si="1"/>
        <v>0</v>
      </c>
      <c r="S10" s="109">
        <f t="shared" si="1"/>
        <v>0</v>
      </c>
      <c r="T10" s="109">
        <f t="shared" si="1"/>
        <v>0</v>
      </c>
      <c r="U10" s="109">
        <f t="shared" si="1"/>
        <v>0</v>
      </c>
      <c r="V10" s="109">
        <f t="shared" si="1"/>
        <v>0</v>
      </c>
      <c r="W10" s="109">
        <f t="shared" si="1"/>
        <v>0</v>
      </c>
      <c r="X10" s="109">
        <f t="shared" si="1"/>
        <v>0</v>
      </c>
      <c r="Y10" s="109">
        <f t="shared" si="1"/>
        <v>0</v>
      </c>
      <c r="Z10" s="109">
        <f t="shared" si="1"/>
        <v>0</v>
      </c>
      <c r="AA10" s="172">
        <f t="shared" si="2"/>
        <v>23</v>
      </c>
      <c r="AB10" s="108" t="str">
        <f t="shared" si="3"/>
        <v>Buchmann</v>
      </c>
    </row>
    <row r="11" spans="2:28">
      <c r="B11" s="322" t="s">
        <v>208</v>
      </c>
      <c r="C11" s="324" t="s">
        <v>204</v>
      </c>
      <c r="D11" s="259" t="s">
        <v>177</v>
      </c>
      <c r="E11" s="109">
        <f t="shared" si="0"/>
        <v>0</v>
      </c>
      <c r="F11" s="109">
        <f t="shared" si="0"/>
        <v>10</v>
      </c>
      <c r="G11" s="109">
        <f t="shared" si="0"/>
        <v>0</v>
      </c>
      <c r="H11" s="109">
        <f t="shared" si="0"/>
        <v>21</v>
      </c>
      <c r="I11" s="109">
        <f t="shared" si="0"/>
        <v>9</v>
      </c>
      <c r="J11" s="109">
        <f t="shared" si="0"/>
        <v>1</v>
      </c>
      <c r="K11" s="109">
        <f t="shared" si="0"/>
        <v>3</v>
      </c>
      <c r="L11" s="109">
        <f t="shared" si="0"/>
        <v>19</v>
      </c>
      <c r="M11" s="109">
        <f t="shared" si="0"/>
        <v>12</v>
      </c>
      <c r="N11" s="109">
        <f t="shared" si="0"/>
        <v>2</v>
      </c>
      <c r="O11" s="109">
        <f t="shared" si="1"/>
        <v>2</v>
      </c>
      <c r="P11" s="109">
        <f t="shared" si="1"/>
        <v>2</v>
      </c>
      <c r="Q11" s="109">
        <f t="shared" si="1"/>
        <v>15</v>
      </c>
      <c r="R11" s="109">
        <f t="shared" si="1"/>
        <v>5</v>
      </c>
      <c r="S11" s="109">
        <f t="shared" si="1"/>
        <v>31</v>
      </c>
      <c r="T11" s="109">
        <f t="shared" si="1"/>
        <v>13</v>
      </c>
      <c r="U11" s="109">
        <f t="shared" si="1"/>
        <v>46</v>
      </c>
      <c r="V11" s="109">
        <f t="shared" si="1"/>
        <v>23</v>
      </c>
      <c r="W11" s="109">
        <f t="shared" si="1"/>
        <v>9</v>
      </c>
      <c r="X11" s="109">
        <f t="shared" si="1"/>
        <v>6</v>
      </c>
      <c r="Y11" s="109">
        <f t="shared" si="1"/>
        <v>6</v>
      </c>
      <c r="Z11" s="109">
        <f t="shared" si="1"/>
        <v>41</v>
      </c>
      <c r="AA11" s="172">
        <f t="shared" si="2"/>
        <v>276</v>
      </c>
      <c r="AB11" s="108" t="str">
        <f t="shared" si="3"/>
        <v>Lopez</v>
      </c>
    </row>
    <row r="12" spans="2:28">
      <c r="B12" s="322"/>
      <c r="C12" s="324" t="s">
        <v>133</v>
      </c>
      <c r="D12" s="259" t="s">
        <v>177</v>
      </c>
      <c r="E12" s="109">
        <f t="shared" si="0"/>
        <v>0</v>
      </c>
      <c r="F12" s="109">
        <f t="shared" si="0"/>
        <v>0</v>
      </c>
      <c r="G12" s="109">
        <f t="shared" si="0"/>
        <v>0</v>
      </c>
      <c r="H12" s="109">
        <f t="shared" si="0"/>
        <v>17</v>
      </c>
      <c r="I12" s="109">
        <f t="shared" si="0"/>
        <v>0</v>
      </c>
      <c r="J12" s="109">
        <f t="shared" si="0"/>
        <v>0</v>
      </c>
      <c r="K12" s="109">
        <f t="shared" si="0"/>
        <v>0</v>
      </c>
      <c r="L12" s="109">
        <f t="shared" si="0"/>
        <v>12</v>
      </c>
      <c r="M12" s="109">
        <f t="shared" si="0"/>
        <v>23</v>
      </c>
      <c r="N12" s="109">
        <f t="shared" si="0"/>
        <v>1</v>
      </c>
      <c r="O12" s="109">
        <f t="shared" si="1"/>
        <v>1</v>
      </c>
      <c r="P12" s="109">
        <f t="shared" si="1"/>
        <v>1</v>
      </c>
      <c r="Q12" s="109">
        <f t="shared" si="1"/>
        <v>14</v>
      </c>
      <c r="R12" s="109">
        <f t="shared" si="1"/>
        <v>3</v>
      </c>
      <c r="S12" s="109">
        <f t="shared" si="1"/>
        <v>23</v>
      </c>
      <c r="T12" s="109">
        <f t="shared" si="1"/>
        <v>4</v>
      </c>
      <c r="U12" s="109">
        <f t="shared" si="1"/>
        <v>23</v>
      </c>
      <c r="V12" s="109">
        <f t="shared" si="1"/>
        <v>24</v>
      </c>
      <c r="W12" s="109">
        <f t="shared" si="1"/>
        <v>6</v>
      </c>
      <c r="X12" s="109">
        <f t="shared" si="1"/>
        <v>19</v>
      </c>
      <c r="Y12" s="109">
        <f t="shared" si="1"/>
        <v>7</v>
      </c>
      <c r="Z12" s="109">
        <f t="shared" si="1"/>
        <v>48</v>
      </c>
      <c r="AA12" s="172">
        <f t="shared" si="2"/>
        <v>226</v>
      </c>
      <c r="AB12" s="108" t="str">
        <f t="shared" si="3"/>
        <v>Landa</v>
      </c>
    </row>
    <row r="13" spans="2:28">
      <c r="B13" s="322"/>
      <c r="C13" s="324" t="s">
        <v>108</v>
      </c>
      <c r="D13" s="259" t="s">
        <v>177</v>
      </c>
      <c r="E13" s="109">
        <f t="shared" si="0"/>
        <v>0</v>
      </c>
      <c r="F13" s="109">
        <f t="shared" si="0"/>
        <v>0</v>
      </c>
      <c r="G13" s="109">
        <f t="shared" si="0"/>
        <v>0</v>
      </c>
      <c r="H13" s="109">
        <f t="shared" si="0"/>
        <v>10</v>
      </c>
      <c r="I13" s="109">
        <f t="shared" si="0"/>
        <v>1</v>
      </c>
      <c r="J13" s="109">
        <f t="shared" si="0"/>
        <v>10</v>
      </c>
      <c r="K13" s="109">
        <f t="shared" si="0"/>
        <v>14</v>
      </c>
      <c r="L13" s="109">
        <f t="shared" si="0"/>
        <v>23</v>
      </c>
      <c r="M13" s="109">
        <f t="shared" si="0"/>
        <v>25</v>
      </c>
      <c r="N13" s="109">
        <f t="shared" si="0"/>
        <v>7</v>
      </c>
      <c r="O13" s="109">
        <f t="shared" si="1"/>
        <v>7</v>
      </c>
      <c r="P13" s="109">
        <f t="shared" si="1"/>
        <v>7</v>
      </c>
      <c r="Q13" s="109">
        <f t="shared" si="1"/>
        <v>0</v>
      </c>
      <c r="R13" s="109">
        <f t="shared" si="1"/>
        <v>0</v>
      </c>
      <c r="S13" s="109">
        <f t="shared" si="1"/>
        <v>0</v>
      </c>
      <c r="T13" s="109">
        <f t="shared" si="1"/>
        <v>0</v>
      </c>
      <c r="U13" s="109">
        <f t="shared" si="1"/>
        <v>0</v>
      </c>
      <c r="V13" s="109">
        <f t="shared" si="1"/>
        <v>0</v>
      </c>
      <c r="W13" s="109">
        <f t="shared" si="1"/>
        <v>0</v>
      </c>
      <c r="X13" s="109">
        <f t="shared" si="1"/>
        <v>0</v>
      </c>
      <c r="Y13" s="109">
        <f t="shared" si="1"/>
        <v>0</v>
      </c>
      <c r="Z13" s="109">
        <f t="shared" si="1"/>
        <v>0</v>
      </c>
      <c r="AA13" s="172">
        <f t="shared" si="2"/>
        <v>104</v>
      </c>
      <c r="AB13" s="108" t="str">
        <f t="shared" si="3"/>
        <v>Bardet</v>
      </c>
    </row>
    <row r="14" spans="2:28">
      <c r="B14" s="322"/>
      <c r="C14" s="324" t="s">
        <v>53</v>
      </c>
      <c r="D14" s="259" t="s">
        <v>177</v>
      </c>
      <c r="E14" s="109">
        <f t="shared" ref="E14:N20" si="4">INDEX(scorematrix,MATCH($C14,renners,0),MATCH(E$3,etappes,0))</f>
        <v>0</v>
      </c>
      <c r="F14" s="109">
        <f t="shared" si="4"/>
        <v>20</v>
      </c>
      <c r="G14" s="109">
        <f t="shared" si="4"/>
        <v>0</v>
      </c>
      <c r="H14" s="109">
        <f t="shared" si="4"/>
        <v>13</v>
      </c>
      <c r="I14" s="109">
        <f t="shared" si="4"/>
        <v>0</v>
      </c>
      <c r="J14" s="109">
        <f t="shared" si="4"/>
        <v>20</v>
      </c>
      <c r="K14" s="109">
        <f t="shared" si="4"/>
        <v>0</v>
      </c>
      <c r="L14" s="109">
        <f t="shared" si="4"/>
        <v>0</v>
      </c>
      <c r="M14" s="109">
        <f t="shared" si="4"/>
        <v>20</v>
      </c>
      <c r="N14" s="109">
        <f t="shared" si="4"/>
        <v>0</v>
      </c>
      <c r="O14" s="109">
        <f t="shared" ref="O14:Z20" si="5">INDEX(scorematrix,MATCH($C14,renners,0),MATCH(O$3,etappes,0))</f>
        <v>0</v>
      </c>
      <c r="P14" s="109">
        <f t="shared" si="5"/>
        <v>6</v>
      </c>
      <c r="Q14" s="109">
        <f t="shared" si="5"/>
        <v>0</v>
      </c>
      <c r="R14" s="354"/>
      <c r="S14" s="354"/>
      <c r="T14" s="354"/>
      <c r="U14" s="354"/>
      <c r="V14" s="354"/>
      <c r="W14" s="354"/>
      <c r="X14" s="354"/>
      <c r="Y14" s="354"/>
      <c r="Z14" s="354"/>
      <c r="AA14" s="172">
        <f t="shared" si="2"/>
        <v>79</v>
      </c>
      <c r="AB14" s="108" t="str">
        <f t="shared" si="3"/>
        <v>Mollema</v>
      </c>
    </row>
    <row r="15" spans="2:28">
      <c r="B15" s="322"/>
      <c r="C15" s="324" t="s">
        <v>72</v>
      </c>
      <c r="D15" s="259" t="s">
        <v>10</v>
      </c>
      <c r="E15" s="109">
        <f t="shared" si="4"/>
        <v>31</v>
      </c>
      <c r="F15" s="109">
        <f t="shared" si="4"/>
        <v>4</v>
      </c>
      <c r="G15" s="109">
        <f t="shared" si="4"/>
        <v>25</v>
      </c>
      <c r="H15" s="109">
        <f t="shared" si="4"/>
        <v>5</v>
      </c>
      <c r="I15" s="109">
        <f t="shared" si="4"/>
        <v>28</v>
      </c>
      <c r="J15" s="109">
        <f t="shared" si="4"/>
        <v>4</v>
      </c>
      <c r="K15" s="109">
        <f t="shared" si="4"/>
        <v>18</v>
      </c>
      <c r="L15" s="109">
        <f t="shared" si="4"/>
        <v>5</v>
      </c>
      <c r="M15" s="109">
        <f t="shared" si="4"/>
        <v>5</v>
      </c>
      <c r="N15" s="109">
        <f t="shared" si="4"/>
        <v>30</v>
      </c>
      <c r="O15" s="109">
        <f t="shared" si="5"/>
        <v>4</v>
      </c>
      <c r="P15" s="109">
        <f t="shared" si="5"/>
        <v>17</v>
      </c>
      <c r="Q15" s="109">
        <f t="shared" si="5"/>
        <v>4</v>
      </c>
      <c r="R15" s="109">
        <f t="shared" si="5"/>
        <v>28</v>
      </c>
      <c r="S15" s="109">
        <f t="shared" si="5"/>
        <v>4</v>
      </c>
      <c r="T15" s="109">
        <f t="shared" si="5"/>
        <v>4</v>
      </c>
      <c r="U15" s="109">
        <f t="shared" si="5"/>
        <v>4</v>
      </c>
      <c r="V15" s="109">
        <f t="shared" si="5"/>
        <v>4</v>
      </c>
      <c r="W15" s="109">
        <f t="shared" si="5"/>
        <v>21</v>
      </c>
      <c r="X15" s="109">
        <f t="shared" si="5"/>
        <v>4</v>
      </c>
      <c r="Y15" s="109">
        <f t="shared" si="5"/>
        <v>30</v>
      </c>
      <c r="Z15" s="109">
        <f t="shared" si="5"/>
        <v>7</v>
      </c>
      <c r="AA15" s="172">
        <f t="shared" si="2"/>
        <v>286</v>
      </c>
      <c r="AB15" s="108" t="str">
        <f t="shared" si="3"/>
        <v>Sagan</v>
      </c>
    </row>
    <row r="16" spans="2:28">
      <c r="B16" s="322" t="s">
        <v>190</v>
      </c>
      <c r="C16" s="324" t="s">
        <v>191</v>
      </c>
      <c r="D16" s="259" t="s">
        <v>10</v>
      </c>
      <c r="E16" s="109">
        <f t="shared" si="4"/>
        <v>33</v>
      </c>
      <c r="F16" s="109">
        <f t="shared" si="4"/>
        <v>2</v>
      </c>
      <c r="G16" s="109">
        <f t="shared" si="4"/>
        <v>33</v>
      </c>
      <c r="H16" s="109">
        <f t="shared" si="4"/>
        <v>4</v>
      </c>
      <c r="I16" s="109">
        <f t="shared" si="4"/>
        <v>31</v>
      </c>
      <c r="J16" s="109">
        <f t="shared" si="4"/>
        <v>5</v>
      </c>
      <c r="K16" s="109">
        <f t="shared" si="4"/>
        <v>4</v>
      </c>
      <c r="L16" s="109">
        <f t="shared" si="4"/>
        <v>4</v>
      </c>
      <c r="M16" s="109">
        <f t="shared" si="4"/>
        <v>4</v>
      </c>
      <c r="N16" s="109">
        <f t="shared" si="4"/>
        <v>40</v>
      </c>
      <c r="O16" s="109">
        <f t="shared" si="5"/>
        <v>35</v>
      </c>
      <c r="P16" s="109">
        <f t="shared" si="5"/>
        <v>5</v>
      </c>
      <c r="Q16" s="109">
        <f t="shared" si="5"/>
        <v>5</v>
      </c>
      <c r="R16" s="109">
        <f t="shared" si="5"/>
        <v>5</v>
      </c>
      <c r="S16" s="109">
        <f t="shared" si="5"/>
        <v>5</v>
      </c>
      <c r="T16" s="109">
        <f t="shared" si="5"/>
        <v>5</v>
      </c>
      <c r="U16" s="109">
        <f t="shared" si="5"/>
        <v>5</v>
      </c>
      <c r="V16" s="109">
        <f t="shared" si="5"/>
        <v>5</v>
      </c>
      <c r="W16" s="109">
        <f t="shared" si="5"/>
        <v>23</v>
      </c>
      <c r="X16" s="109">
        <f t="shared" si="5"/>
        <v>5</v>
      </c>
      <c r="Y16" s="109">
        <f t="shared" si="5"/>
        <v>40</v>
      </c>
      <c r="Z16" s="109">
        <f t="shared" si="5"/>
        <v>10</v>
      </c>
      <c r="AA16" s="172">
        <f t="shared" si="2"/>
        <v>308</v>
      </c>
      <c r="AB16" s="108" t="str">
        <f t="shared" si="3"/>
        <v>Bennett</v>
      </c>
    </row>
    <row r="17" spans="2:28">
      <c r="B17" s="322"/>
      <c r="C17" s="324" t="s">
        <v>167</v>
      </c>
      <c r="D17" s="259" t="s">
        <v>10</v>
      </c>
      <c r="E17" s="109">
        <f t="shared" si="4"/>
        <v>25</v>
      </c>
      <c r="F17" s="109">
        <f t="shared" si="4"/>
        <v>0</v>
      </c>
      <c r="G17" s="109">
        <f t="shared" si="4"/>
        <v>0</v>
      </c>
      <c r="H17" s="109">
        <f t="shared" si="4"/>
        <v>0</v>
      </c>
      <c r="I17" s="109">
        <f t="shared" si="4"/>
        <v>0</v>
      </c>
      <c r="J17" s="109">
        <f t="shared" si="4"/>
        <v>0</v>
      </c>
      <c r="K17" s="109">
        <f t="shared" si="4"/>
        <v>0</v>
      </c>
      <c r="L17" s="109">
        <f t="shared" si="4"/>
        <v>0</v>
      </c>
      <c r="M17" s="109">
        <f t="shared" si="4"/>
        <v>0</v>
      </c>
      <c r="N17" s="109">
        <f t="shared" si="4"/>
        <v>24</v>
      </c>
      <c r="O17" s="109">
        <f t="shared" si="5"/>
        <v>9</v>
      </c>
      <c r="P17" s="109">
        <f t="shared" si="5"/>
        <v>0</v>
      </c>
      <c r="Q17" s="109">
        <f t="shared" si="5"/>
        <v>0</v>
      </c>
      <c r="R17" s="109">
        <f t="shared" si="5"/>
        <v>0</v>
      </c>
      <c r="S17" s="109">
        <f t="shared" si="5"/>
        <v>0</v>
      </c>
      <c r="T17" s="109">
        <f t="shared" si="5"/>
        <v>0</v>
      </c>
      <c r="U17" s="109">
        <f t="shared" si="5"/>
        <v>0</v>
      </c>
      <c r="V17" s="109">
        <f t="shared" si="5"/>
        <v>0</v>
      </c>
      <c r="W17" s="109">
        <f t="shared" si="5"/>
        <v>0</v>
      </c>
      <c r="X17" s="109">
        <f t="shared" si="5"/>
        <v>0</v>
      </c>
      <c r="Y17" s="109">
        <f t="shared" si="5"/>
        <v>22</v>
      </c>
      <c r="Z17" s="109">
        <f t="shared" si="5"/>
        <v>0</v>
      </c>
      <c r="AA17" s="172">
        <f t="shared" si="2"/>
        <v>80</v>
      </c>
      <c r="AB17" s="108" t="str">
        <f t="shared" si="3"/>
        <v>Viviani</v>
      </c>
    </row>
    <row r="18" spans="2:28">
      <c r="B18" s="322"/>
      <c r="C18" s="324" t="s">
        <v>201</v>
      </c>
      <c r="D18" s="259" t="s">
        <v>10</v>
      </c>
      <c r="E18" s="109">
        <f t="shared" si="4"/>
        <v>23</v>
      </c>
      <c r="F18" s="109">
        <f t="shared" si="4"/>
        <v>0</v>
      </c>
      <c r="G18" s="109">
        <f t="shared" si="4"/>
        <v>26</v>
      </c>
      <c r="H18" s="109">
        <f t="shared" si="4"/>
        <v>1</v>
      </c>
      <c r="I18" s="109">
        <f t="shared" si="4"/>
        <v>15</v>
      </c>
      <c r="J18" s="109">
        <f t="shared" si="4"/>
        <v>0</v>
      </c>
      <c r="K18" s="109">
        <f t="shared" si="4"/>
        <v>0</v>
      </c>
      <c r="L18" s="109">
        <f t="shared" si="4"/>
        <v>0</v>
      </c>
      <c r="M18" s="352"/>
      <c r="N18" s="352"/>
      <c r="O18" s="352"/>
      <c r="P18" s="352"/>
      <c r="Q18" s="352"/>
      <c r="R18" s="352"/>
      <c r="S18" s="352"/>
      <c r="T18" s="352"/>
      <c r="U18" s="352"/>
      <c r="V18" s="352"/>
      <c r="W18" s="352"/>
      <c r="X18" s="352"/>
      <c r="Y18" s="352"/>
      <c r="Z18" s="352"/>
      <c r="AA18" s="172">
        <f t="shared" si="2"/>
        <v>65</v>
      </c>
      <c r="AB18" s="108" t="str">
        <f t="shared" si="3"/>
        <v>Nizzolo</v>
      </c>
    </row>
    <row r="19" spans="2:28">
      <c r="B19" s="322"/>
      <c r="C19" s="324" t="s">
        <v>165</v>
      </c>
      <c r="D19" s="259" t="s">
        <v>10</v>
      </c>
      <c r="E19" s="109">
        <f t="shared" si="4"/>
        <v>7</v>
      </c>
      <c r="F19" s="109">
        <f t="shared" si="4"/>
        <v>0</v>
      </c>
      <c r="G19" s="109">
        <f t="shared" si="4"/>
        <v>36</v>
      </c>
      <c r="H19" s="109">
        <f t="shared" si="4"/>
        <v>0</v>
      </c>
      <c r="I19" s="109">
        <f t="shared" si="4"/>
        <v>20</v>
      </c>
      <c r="J19" s="109">
        <f t="shared" si="4"/>
        <v>2</v>
      </c>
      <c r="K19" s="109">
        <f t="shared" si="4"/>
        <v>0</v>
      </c>
      <c r="L19" s="109">
        <f t="shared" si="4"/>
        <v>0</v>
      </c>
      <c r="M19" s="109">
        <f t="shared" si="4"/>
        <v>0</v>
      </c>
      <c r="N19" s="109">
        <f t="shared" si="4"/>
        <v>30</v>
      </c>
      <c r="O19" s="109">
        <f t="shared" si="5"/>
        <v>37</v>
      </c>
      <c r="P19" s="109">
        <f t="shared" si="5"/>
        <v>2</v>
      </c>
      <c r="Q19" s="109">
        <f t="shared" si="5"/>
        <v>2</v>
      </c>
      <c r="R19" s="109">
        <f t="shared" si="5"/>
        <v>1</v>
      </c>
      <c r="S19" s="109">
        <f t="shared" si="5"/>
        <v>1</v>
      </c>
      <c r="T19" s="109">
        <f t="shared" si="5"/>
        <v>1</v>
      </c>
      <c r="U19" s="109">
        <f t="shared" si="5"/>
        <v>1</v>
      </c>
      <c r="V19" s="109">
        <f t="shared" si="5"/>
        <v>1</v>
      </c>
      <c r="W19" s="109">
        <f t="shared" si="5"/>
        <v>1</v>
      </c>
      <c r="X19" s="109">
        <f t="shared" si="5"/>
        <v>0</v>
      </c>
      <c r="Y19" s="109">
        <f t="shared" si="5"/>
        <v>19</v>
      </c>
      <c r="Z19" s="109">
        <f t="shared" si="5"/>
        <v>0</v>
      </c>
      <c r="AA19" s="172">
        <f t="shared" si="2"/>
        <v>161</v>
      </c>
      <c r="AB19" s="108" t="str">
        <f t="shared" si="3"/>
        <v>Ewan</v>
      </c>
    </row>
    <row r="20" spans="2:28" s="157" customFormat="1">
      <c r="B20" s="322"/>
      <c r="C20" s="324" t="s">
        <v>154</v>
      </c>
      <c r="D20" s="259" t="s">
        <v>109</v>
      </c>
      <c r="E20" s="109">
        <f t="shared" si="4"/>
        <v>0</v>
      </c>
      <c r="F20" s="109">
        <f t="shared" si="4"/>
        <v>46</v>
      </c>
      <c r="G20" s="109">
        <f t="shared" si="4"/>
        <v>10</v>
      </c>
      <c r="H20" s="109">
        <f t="shared" si="4"/>
        <v>32</v>
      </c>
      <c r="I20" s="109">
        <f t="shared" si="4"/>
        <v>10</v>
      </c>
      <c r="J20" s="109">
        <f t="shared" si="4"/>
        <v>22</v>
      </c>
      <c r="K20" s="109">
        <f t="shared" si="4"/>
        <v>14</v>
      </c>
      <c r="L20" s="109">
        <f t="shared" si="4"/>
        <v>0</v>
      </c>
      <c r="M20" s="109">
        <f t="shared" si="4"/>
        <v>0</v>
      </c>
      <c r="N20" s="109">
        <f t="shared" si="4"/>
        <v>0</v>
      </c>
      <c r="O20" s="109">
        <f t="shared" si="5"/>
        <v>0</v>
      </c>
      <c r="P20" s="109">
        <f t="shared" si="5"/>
        <v>15</v>
      </c>
      <c r="Q20" s="109">
        <f t="shared" si="5"/>
        <v>0</v>
      </c>
      <c r="R20" s="109">
        <f t="shared" si="5"/>
        <v>0</v>
      </c>
      <c r="S20" s="109">
        <f t="shared" si="5"/>
        <v>0</v>
      </c>
      <c r="T20" s="109">
        <f t="shared" si="5"/>
        <v>16</v>
      </c>
      <c r="U20" s="109">
        <f t="shared" si="5"/>
        <v>0</v>
      </c>
      <c r="V20" s="109">
        <f t="shared" si="5"/>
        <v>0</v>
      </c>
      <c r="W20" s="109">
        <f t="shared" si="5"/>
        <v>0</v>
      </c>
      <c r="X20" s="109">
        <f t="shared" si="5"/>
        <v>0</v>
      </c>
      <c r="Y20" s="109">
        <f t="shared" si="5"/>
        <v>0</v>
      </c>
      <c r="Z20" s="109">
        <f t="shared" si="5"/>
        <v>0</v>
      </c>
      <c r="AA20" s="172">
        <f t="shared" si="2"/>
        <v>165</v>
      </c>
      <c r="AB20" s="108" t="str">
        <f t="shared" si="3"/>
        <v>Alaphilippe</v>
      </c>
    </row>
    <row r="21" spans="2:28" s="158" customFormat="1">
      <c r="B21" s="325"/>
      <c r="C21" s="326"/>
      <c r="D21" s="165"/>
      <c r="E21" s="167"/>
      <c r="F21" s="167"/>
      <c r="G21" s="167"/>
      <c r="H21" s="167"/>
      <c r="I21" s="167"/>
      <c r="J21" s="167"/>
      <c r="K21" s="167"/>
      <c r="L21" s="167"/>
      <c r="M21" s="167">
        <f>M24+M26</f>
        <v>39</v>
      </c>
      <c r="N21" s="167">
        <f t="shared" ref="N21:Q21" si="6">N24+N26</f>
        <v>8</v>
      </c>
      <c r="O21" s="167">
        <f t="shared" si="6"/>
        <v>8</v>
      </c>
      <c r="P21" s="167">
        <f t="shared" si="6"/>
        <v>8</v>
      </c>
      <c r="Q21" s="167">
        <f t="shared" si="6"/>
        <v>0</v>
      </c>
      <c r="R21" s="167">
        <f t="shared" ref="R21:Z21" si="7">R24+R26+R25</f>
        <v>17</v>
      </c>
      <c r="S21" s="167">
        <f t="shared" si="7"/>
        <v>12</v>
      </c>
      <c r="T21" s="167">
        <f t="shared" si="7"/>
        <v>30</v>
      </c>
      <c r="U21" s="167">
        <f t="shared" si="7"/>
        <v>27</v>
      </c>
      <c r="V21" s="167">
        <f t="shared" si="7"/>
        <v>43</v>
      </c>
      <c r="W21" s="167">
        <f t="shared" si="7"/>
        <v>12</v>
      </c>
      <c r="X21" s="167">
        <f t="shared" si="7"/>
        <v>4</v>
      </c>
      <c r="Y21" s="167">
        <f t="shared" si="7"/>
        <v>19</v>
      </c>
      <c r="Z21" s="167">
        <f t="shared" si="7"/>
        <v>63</v>
      </c>
      <c r="AA21" s="225">
        <f t="shared" ref="AA21" si="8">SUM(E21:Z21)</f>
        <v>290</v>
      </c>
    </row>
    <row r="22" spans="2:28" s="112" customFormat="1">
      <c r="B22" s="327"/>
      <c r="C22" s="328"/>
      <c r="D22" s="166"/>
      <c r="E22" s="159">
        <f t="shared" ref="E22:AA22" si="9">SUM(E4:E21)</f>
        <v>130</v>
      </c>
      <c r="F22" s="159">
        <f t="shared" ref="F22" si="10">SUM(F4:F21)</f>
        <v>132</v>
      </c>
      <c r="G22" s="159">
        <f>SUM(G4:G21)</f>
        <v>153</v>
      </c>
      <c r="H22" s="159">
        <f t="shared" si="9"/>
        <v>293</v>
      </c>
      <c r="I22" s="159">
        <f t="shared" si="9"/>
        <v>168</v>
      </c>
      <c r="J22" s="159">
        <f t="shared" si="9"/>
        <v>182</v>
      </c>
      <c r="K22" s="159">
        <f t="shared" si="9"/>
        <v>124</v>
      </c>
      <c r="L22" s="159">
        <f t="shared" si="9"/>
        <v>143</v>
      </c>
      <c r="M22" s="159">
        <f t="shared" si="9"/>
        <v>279</v>
      </c>
      <c r="N22" s="159">
        <f t="shared" si="9"/>
        <v>180</v>
      </c>
      <c r="O22" s="159">
        <f t="shared" si="9"/>
        <v>141</v>
      </c>
      <c r="P22" s="159">
        <f t="shared" si="9"/>
        <v>101</v>
      </c>
      <c r="Q22" s="159">
        <f t="shared" si="9"/>
        <v>117</v>
      </c>
      <c r="R22" s="159">
        <f t="shared" si="9"/>
        <v>115</v>
      </c>
      <c r="S22" s="159">
        <f t="shared" si="9"/>
        <v>200</v>
      </c>
      <c r="T22" s="159">
        <f t="shared" si="9"/>
        <v>108</v>
      </c>
      <c r="U22" s="159">
        <f t="shared" si="9"/>
        <v>213</v>
      </c>
      <c r="V22" s="159">
        <f t="shared" si="9"/>
        <v>195</v>
      </c>
      <c r="W22" s="159">
        <f t="shared" si="9"/>
        <v>105</v>
      </c>
      <c r="X22" s="159">
        <f t="shared" si="9"/>
        <v>161</v>
      </c>
      <c r="Y22" s="159">
        <f t="shared" si="9"/>
        <v>179</v>
      </c>
      <c r="Z22" s="159">
        <f t="shared" si="9"/>
        <v>380</v>
      </c>
      <c r="AA22" s="222">
        <f t="shared" si="9"/>
        <v>3799</v>
      </c>
    </row>
    <row r="23" spans="2:28" s="160" customFormat="1">
      <c r="B23" s="329"/>
      <c r="C23" s="330"/>
      <c r="D23" s="16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2:28" s="162" customFormat="1">
      <c r="B24" s="322"/>
      <c r="C24" s="331" t="s">
        <v>187</v>
      </c>
      <c r="D24" s="262" t="s">
        <v>177</v>
      </c>
      <c r="E24" s="179">
        <f t="shared" ref="E24:Z26" si="11">INDEX(scorematrix,MATCH($C24,renners,0),MATCH(E$3,etappes,0))</f>
        <v>0</v>
      </c>
      <c r="F24" s="179">
        <f t="shared" si="11"/>
        <v>8</v>
      </c>
      <c r="G24" s="179">
        <f t="shared" si="11"/>
        <v>0</v>
      </c>
      <c r="H24" s="179">
        <f t="shared" si="11"/>
        <v>0</v>
      </c>
      <c r="I24" s="179">
        <f t="shared" si="11"/>
        <v>0</v>
      </c>
      <c r="J24" s="179">
        <f t="shared" si="11"/>
        <v>17</v>
      </c>
      <c r="K24" s="179">
        <f t="shared" si="11"/>
        <v>0</v>
      </c>
      <c r="L24" s="179">
        <f t="shared" si="11"/>
        <v>0</v>
      </c>
      <c r="M24" s="349">
        <f t="shared" si="11"/>
        <v>12</v>
      </c>
      <c r="N24" s="349">
        <f t="shared" si="11"/>
        <v>0</v>
      </c>
      <c r="O24" s="349">
        <f t="shared" si="11"/>
        <v>0</v>
      </c>
      <c r="P24" s="349">
        <f t="shared" si="11"/>
        <v>0</v>
      </c>
      <c r="Q24" s="349">
        <f t="shared" si="11"/>
        <v>0</v>
      </c>
      <c r="R24" s="349">
        <f t="shared" si="11"/>
        <v>0</v>
      </c>
      <c r="S24" s="349">
        <f t="shared" si="11"/>
        <v>0</v>
      </c>
      <c r="T24" s="349">
        <f t="shared" si="11"/>
        <v>30</v>
      </c>
      <c r="U24" s="349">
        <f t="shared" si="11"/>
        <v>15</v>
      </c>
      <c r="V24" s="349">
        <f t="shared" si="11"/>
        <v>35</v>
      </c>
      <c r="W24" s="349">
        <f t="shared" si="11"/>
        <v>5</v>
      </c>
      <c r="X24" s="349">
        <f t="shared" si="11"/>
        <v>4</v>
      </c>
      <c r="Y24" s="349">
        <f t="shared" si="11"/>
        <v>4</v>
      </c>
      <c r="Z24" s="349">
        <f t="shared" si="11"/>
        <v>33</v>
      </c>
      <c r="AA24" s="290">
        <f>SUM(E24:Z24)</f>
        <v>163</v>
      </c>
    </row>
    <row r="25" spans="2:28" s="162" customFormat="1">
      <c r="B25" s="322"/>
      <c r="C25" s="331" t="s">
        <v>151</v>
      </c>
      <c r="D25" s="262" t="s">
        <v>10</v>
      </c>
      <c r="E25" s="179">
        <f t="shared" si="11"/>
        <v>0</v>
      </c>
      <c r="F25" s="179">
        <f t="shared" si="11"/>
        <v>0</v>
      </c>
      <c r="G25" s="179">
        <f t="shared" si="11"/>
        <v>0</v>
      </c>
      <c r="H25" s="179">
        <f t="shared" si="11"/>
        <v>0</v>
      </c>
      <c r="I25" s="179">
        <f t="shared" si="11"/>
        <v>0</v>
      </c>
      <c r="J25" s="179">
        <f t="shared" si="11"/>
        <v>0</v>
      </c>
      <c r="K25" s="179">
        <f t="shared" si="11"/>
        <v>0</v>
      </c>
      <c r="L25" s="179">
        <f t="shared" si="11"/>
        <v>0</v>
      </c>
      <c r="M25" s="179">
        <f t="shared" si="11"/>
        <v>0</v>
      </c>
      <c r="N25" s="179">
        <f t="shared" si="11"/>
        <v>0</v>
      </c>
      <c r="O25" s="179">
        <f t="shared" si="11"/>
        <v>0</v>
      </c>
      <c r="P25" s="179">
        <f t="shared" si="11"/>
        <v>0</v>
      </c>
      <c r="Q25" s="179">
        <f t="shared" si="11"/>
        <v>0</v>
      </c>
      <c r="R25" s="353">
        <f t="shared" si="11"/>
        <v>17</v>
      </c>
      <c r="S25" s="353">
        <f t="shared" si="11"/>
        <v>0</v>
      </c>
      <c r="T25" s="353">
        <f t="shared" si="11"/>
        <v>0</v>
      </c>
      <c r="U25" s="353">
        <f t="shared" si="11"/>
        <v>0</v>
      </c>
      <c r="V25" s="353">
        <f t="shared" si="11"/>
        <v>0</v>
      </c>
      <c r="W25" s="353">
        <f t="shared" si="11"/>
        <v>7</v>
      </c>
      <c r="X25" s="353">
        <f t="shared" si="11"/>
        <v>0</v>
      </c>
      <c r="Y25" s="353">
        <f t="shared" si="11"/>
        <v>15</v>
      </c>
      <c r="Z25" s="353">
        <f t="shared" si="11"/>
        <v>0</v>
      </c>
      <c r="AA25" s="290">
        <f>SUM(E25:Z25)</f>
        <v>39</v>
      </c>
    </row>
    <row r="26" spans="2:28" s="162" customFormat="1">
      <c r="B26" s="322" t="s">
        <v>157</v>
      </c>
      <c r="C26" s="331" t="s">
        <v>159</v>
      </c>
      <c r="D26" s="262" t="s">
        <v>177</v>
      </c>
      <c r="E26" s="179">
        <f t="shared" si="11"/>
        <v>0</v>
      </c>
      <c r="F26" s="179">
        <f t="shared" si="11"/>
        <v>15</v>
      </c>
      <c r="G26" s="179">
        <f t="shared" si="11"/>
        <v>2</v>
      </c>
      <c r="H26" s="179">
        <f t="shared" si="11"/>
        <v>32</v>
      </c>
      <c r="I26" s="179">
        <f t="shared" si="11"/>
        <v>7</v>
      </c>
      <c r="J26" s="179">
        <f t="shared" si="11"/>
        <v>7</v>
      </c>
      <c r="K26" s="179">
        <f t="shared" si="11"/>
        <v>14</v>
      </c>
      <c r="L26" s="179">
        <f t="shared" si="11"/>
        <v>19</v>
      </c>
      <c r="M26" s="351">
        <f t="shared" si="11"/>
        <v>27</v>
      </c>
      <c r="N26" s="351">
        <f t="shared" si="11"/>
        <v>8</v>
      </c>
      <c r="O26" s="351">
        <f t="shared" si="11"/>
        <v>8</v>
      </c>
      <c r="P26" s="351">
        <f t="shared" si="11"/>
        <v>8</v>
      </c>
      <c r="Q26" s="351">
        <f t="shared" si="11"/>
        <v>0</v>
      </c>
      <c r="R26" s="351">
        <f t="shared" si="11"/>
        <v>0</v>
      </c>
      <c r="S26" s="351">
        <f t="shared" si="11"/>
        <v>12</v>
      </c>
      <c r="T26" s="351">
        <f t="shared" si="11"/>
        <v>0</v>
      </c>
      <c r="U26" s="351">
        <f t="shared" si="11"/>
        <v>12</v>
      </c>
      <c r="V26" s="351">
        <f t="shared" si="11"/>
        <v>8</v>
      </c>
      <c r="W26" s="351">
        <f t="shared" si="11"/>
        <v>0</v>
      </c>
      <c r="X26" s="351">
        <f t="shared" si="11"/>
        <v>0</v>
      </c>
      <c r="Y26" s="351">
        <f t="shared" si="11"/>
        <v>0</v>
      </c>
      <c r="Z26" s="351">
        <f t="shared" si="11"/>
        <v>30</v>
      </c>
      <c r="AA26" s="290">
        <f>SUM(E26:Z26)</f>
        <v>209</v>
      </c>
    </row>
    <row r="28" spans="2:28">
      <c r="C28" s="291" t="s">
        <v>163</v>
      </c>
      <c r="D28" s="292">
        <f>COUNTIF($D$4:$D$21,C28)</f>
        <v>0</v>
      </c>
    </row>
    <row r="29" spans="2:28">
      <c r="C29" s="293" t="s">
        <v>10</v>
      </c>
      <c r="D29" s="292">
        <f>COUNTIF($D$4:$D$21,C29)</f>
        <v>5</v>
      </c>
    </row>
    <row r="30" spans="2:28">
      <c r="C30" s="293" t="s">
        <v>109</v>
      </c>
      <c r="D30" s="292">
        <f>COUNTIF($D$4:$D$21,C30)</f>
        <v>1</v>
      </c>
    </row>
  </sheetData>
  <sortState ref="B4:AB20">
    <sortCondition ref="D4:D20"/>
    <sortCondition ref="C4:C20"/>
  </sortState>
  <phoneticPr fontId="0" type="noConversion"/>
  <dataValidations count="1">
    <dataValidation type="list" allowBlank="1" showInputMessage="1" showErrorMessage="1" prompt="selecteer type renner:" sqref="D4:D20">
      <formula1>type_renner</formula1>
    </dataValidation>
  </dataValidations>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Werkbladen</vt:lpstr>
      </vt:variant>
      <vt:variant>
        <vt:i4>24</vt:i4>
      </vt:variant>
      <vt:variant>
        <vt:lpstr>Grafieken</vt:lpstr>
      </vt:variant>
      <vt:variant>
        <vt:i4>3</vt:i4>
      </vt:variant>
      <vt:variant>
        <vt:lpstr>Benoemde bereiken</vt:lpstr>
      </vt:variant>
      <vt:variant>
        <vt:i4>9</vt:i4>
      </vt:variant>
    </vt:vector>
  </HeadingPairs>
  <TitlesOfParts>
    <vt:vector size="36" baseType="lpstr">
      <vt:lpstr>Etappes</vt:lpstr>
      <vt:lpstr>originaliteit</vt:lpstr>
      <vt:lpstr>Score</vt:lpstr>
      <vt:lpstr>Teams</vt:lpstr>
      <vt:lpstr>Britless</vt:lpstr>
      <vt:lpstr>Lothar</vt:lpstr>
      <vt:lpstr>Lange</vt:lpstr>
      <vt:lpstr>Selfkant</vt:lpstr>
      <vt:lpstr>TTT</vt:lpstr>
      <vt:lpstr>Freaky</vt:lpstr>
      <vt:lpstr>Majella</vt:lpstr>
      <vt:lpstr>Kol</vt:lpstr>
      <vt:lpstr>Bangkok</vt:lpstr>
      <vt:lpstr>Ami</vt:lpstr>
      <vt:lpstr>Niet</vt:lpstr>
      <vt:lpstr>Casper</vt:lpstr>
      <vt:lpstr>Vino</vt:lpstr>
      <vt:lpstr>Omer</vt:lpstr>
      <vt:lpstr>BertT</vt:lpstr>
      <vt:lpstr>vrij1</vt:lpstr>
      <vt:lpstr>Vod</vt:lpstr>
      <vt:lpstr>HANDLEIDING</vt:lpstr>
      <vt:lpstr>Blad1</vt:lpstr>
      <vt:lpstr>originaliteit (start)</vt:lpstr>
      <vt:lpstr>Grafiek</vt:lpstr>
      <vt:lpstr>Grafiek (2)</vt:lpstr>
      <vt:lpstr>Grafiek (3)</vt:lpstr>
      <vt:lpstr>Etappes!Afdrukbereik</vt:lpstr>
      <vt:lpstr>originaliteit!Afdrukbereik</vt:lpstr>
      <vt:lpstr>'originaliteit (start)'!Afdrukbereik</vt:lpstr>
      <vt:lpstr>etappes</vt:lpstr>
      <vt:lpstr>'originaliteit (start)'!lijst_sheets</vt:lpstr>
      <vt:lpstr>lijst_sheets</vt:lpstr>
      <vt:lpstr>lijst_teams</vt:lpstr>
      <vt:lpstr>renners</vt:lpstr>
      <vt:lpstr>scorematrix</vt:lpstr>
    </vt:vector>
  </TitlesOfParts>
  <Company>Universiteit Utrecht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Berkhout</dc:creator>
  <cp:lastModifiedBy>Ernest</cp:lastModifiedBy>
  <cp:lastPrinted>2008-07-22T15:56:34Z</cp:lastPrinted>
  <dcterms:created xsi:type="dcterms:W3CDTF">2000-07-22T17:05:22Z</dcterms:created>
  <dcterms:modified xsi:type="dcterms:W3CDTF">2020-09-23T19:01:54Z</dcterms:modified>
</cp:coreProperties>
</file>