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chartsheets/sheet2.xml" ContentType="application/vnd.openxmlformats-officedocument.spreadsheetml.chartsheet+xml"/>
  <Override PartName="/xl/chartsheets/sheet3.xml" ContentType="application/vnd.openxmlformats-officedocument.spreadsheetml.chartsheet+xml"/>
  <Override PartName="/xl/worksheets/sheet19.xml" ContentType="application/vnd.openxmlformats-officedocument.spreadsheetml.worksheet+xml"/>
  <Override PartName="/xl/sharedStrings.xml" ContentType="application/vnd.openxmlformats-officedocument.spreadsheetml.sharedStrings+xml"/>
  <Override PartName="/xl/chartsheets/sheet1.xml" ContentType="application/vnd.openxmlformats-officedocument.spreadsheetml.chartsheet+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440" yWindow="1680" windowWidth="15480" windowHeight="11640" tabRatio="890"/>
  </bookViews>
  <sheets>
    <sheet name="Etappes" sheetId="2" r:id="rId1"/>
    <sheet name="Grafiek" sheetId="18" r:id="rId2"/>
    <sheet name="Grafiek (2)" sheetId="47" r:id="rId3"/>
    <sheet name="originaliteit" sheetId="19" r:id="rId4"/>
    <sheet name="Grafiek (3)" sheetId="49" r:id="rId5"/>
    <sheet name="Score" sheetId="10" r:id="rId6"/>
    <sheet name="Teams" sheetId="9" r:id="rId7"/>
    <sheet name="Lego" sheetId="25" r:id="rId8"/>
    <sheet name="Bangkok" sheetId="36" r:id="rId9"/>
    <sheet name="Tin" sheetId="12" r:id="rId10"/>
    <sheet name="Niet" sheetId="30" state="hidden" r:id="rId11"/>
    <sheet name="Casper" sheetId="33" state="hidden" r:id="rId12"/>
    <sheet name="Vino" sheetId="32" state="hidden" r:id="rId13"/>
    <sheet name="Omer" sheetId="15" state="hidden" r:id="rId14"/>
    <sheet name="TTT" sheetId="34" state="hidden" r:id="rId15"/>
    <sheet name="BertT" sheetId="17" state="hidden" r:id="rId16"/>
    <sheet name="Lange" sheetId="14" r:id="rId17"/>
    <sheet name="Gran" sheetId="40" r:id="rId18"/>
    <sheet name="Selfkant" sheetId="37" r:id="rId19"/>
    <sheet name="Wadaf" sheetId="35" r:id="rId20"/>
    <sheet name="Freaky" sheetId="16" r:id="rId21"/>
    <sheet name="Lothar" sheetId="21" r:id="rId22"/>
    <sheet name="Ami" sheetId="45" r:id="rId23"/>
    <sheet name="IJff" sheetId="28" r:id="rId24"/>
    <sheet name="HANDLEIDING" sheetId="43" r:id="rId25"/>
  </sheets>
  <definedNames>
    <definedName name="aantal_deelnemers">COUNTA(originaliteit!$1:$1)</definedName>
    <definedName name="_xlnm.Print_Area" localSheetId="0">Etappes!$A$1:$Z$81</definedName>
    <definedName name="_xlnm.Print_Area" localSheetId="3">originaliteit!$A$1:$M$66</definedName>
    <definedName name="etappes">Score!$B$1:$Z$1</definedName>
    <definedName name="lijst_sheets">originaliteit!$B$1:$L$1</definedName>
    <definedName name="lijst_teams">Etappes!$B$3:$B$19</definedName>
    <definedName name="renners">Score!$B:$B</definedName>
    <definedName name="scorematrix">Score!$B:$Z</definedName>
    <definedName name="TABLE" localSheetId="15">BertT!#REF!</definedName>
    <definedName name="TABLE" localSheetId="11">Casper!#REF!</definedName>
    <definedName name="TABLE" localSheetId="13">Omer!#REF!</definedName>
    <definedName name="TABLE" localSheetId="14">TTT!#REF!</definedName>
    <definedName name="TABLE" localSheetId="12">Vino!#REF!</definedName>
    <definedName name="TABLE_2" localSheetId="15">BertT!#REF!</definedName>
    <definedName name="TABLE_2" localSheetId="11">Casper!#REF!</definedName>
    <definedName name="TABLE_2" localSheetId="13">Omer!#REF!</definedName>
    <definedName name="TABLE_2" localSheetId="14">TTT!#REF!</definedName>
    <definedName name="TABLE_2" localSheetId="12">Vino!#REF!</definedName>
    <definedName name="TABLE_3" localSheetId="15">BertT!#REF!</definedName>
    <definedName name="TABLE_3" localSheetId="11">Casper!#REF!</definedName>
    <definedName name="TABLE_3" localSheetId="13">Omer!#REF!</definedName>
    <definedName name="TABLE_3" localSheetId="14">TTT!#REF!</definedName>
    <definedName name="TABLE_3" localSheetId="12">Vino!#REF!</definedName>
  </definedNames>
  <calcPr calcId="125725"/>
</workbook>
</file>

<file path=xl/calcChain.xml><?xml version="1.0" encoding="utf-8"?>
<calcChain xmlns="http://schemas.openxmlformats.org/spreadsheetml/2006/main">
  <c r="Y39" i="10"/>
  <c r="Y3"/>
  <c r="W3"/>
  <c r="W12"/>
  <c r="W10"/>
  <c r="W14"/>
  <c r="W22"/>
  <c r="W45"/>
  <c r="W49"/>
  <c r="W15"/>
  <c r="W6"/>
  <c r="W28"/>
  <c r="V42"/>
  <c r="V39"/>
  <c r="V3"/>
  <c r="V43"/>
  <c r="V36"/>
  <c r="V21"/>
  <c r="V49"/>
  <c r="V41"/>
  <c r="U3"/>
  <c r="U43"/>
  <c r="U36"/>
  <c r="U17"/>
  <c r="U21"/>
  <c r="U49"/>
  <c r="U40"/>
  <c r="U31"/>
  <c r="U47"/>
  <c r="T18"/>
  <c r="T3"/>
  <c r="T17"/>
  <c r="T21"/>
  <c r="T49"/>
  <c r="T4"/>
  <c r="T43"/>
  <c r="S17"/>
  <c r="S39"/>
  <c r="S48"/>
  <c r="U24" i="36" s="1"/>
  <c r="U21" s="1"/>
  <c r="S47" i="10"/>
  <c r="T24" i="36"/>
  <c r="R45" i="10"/>
  <c r="E25" i="36"/>
  <c r="F25"/>
  <c r="G25"/>
  <c r="H25"/>
  <c r="I25"/>
  <c r="J25"/>
  <c r="K25"/>
  <c r="L25"/>
  <c r="M25"/>
  <c r="N25"/>
  <c r="O25"/>
  <c r="P25"/>
  <c r="Q25"/>
  <c r="R25"/>
  <c r="S25"/>
  <c r="T25"/>
  <c r="U25"/>
  <c r="V25"/>
  <c r="W25"/>
  <c r="X25"/>
  <c r="X21" s="1"/>
  <c r="Y25"/>
  <c r="Z25"/>
  <c r="E26"/>
  <c r="F26"/>
  <c r="G26"/>
  <c r="H26"/>
  <c r="I26"/>
  <c r="J26"/>
  <c r="K26"/>
  <c r="L26"/>
  <c r="M26"/>
  <c r="N26"/>
  <c r="O26"/>
  <c r="P26"/>
  <c r="Q26"/>
  <c r="R26"/>
  <c r="S26"/>
  <c r="T26"/>
  <c r="U26"/>
  <c r="V26"/>
  <c r="W26"/>
  <c r="X26"/>
  <c r="Y26"/>
  <c r="Y21" s="1"/>
  <c r="Z26"/>
  <c r="Z24"/>
  <c r="Y24"/>
  <c r="X24"/>
  <c r="W24"/>
  <c r="V24"/>
  <c r="S24"/>
  <c r="R24"/>
  <c r="Q24"/>
  <c r="P24"/>
  <c r="O24"/>
  <c r="N24"/>
  <c r="M24"/>
  <c r="L24"/>
  <c r="K24"/>
  <c r="J24"/>
  <c r="I24"/>
  <c r="H24"/>
  <c r="G24"/>
  <c r="F24"/>
  <c r="E24"/>
  <c r="Q12" i="10"/>
  <c r="Q45"/>
  <c r="Q14"/>
  <c r="Q22"/>
  <c r="P3"/>
  <c r="R12"/>
  <c r="P12"/>
  <c r="R14"/>
  <c r="P14"/>
  <c r="R10"/>
  <c r="Q10"/>
  <c r="P10"/>
  <c r="R22"/>
  <c r="P22"/>
  <c r="P45"/>
  <c r="Q36"/>
  <c r="P36"/>
  <c r="R19"/>
  <c r="Q19"/>
  <c r="P19"/>
  <c r="R21"/>
  <c r="Q21"/>
  <c r="P21"/>
  <c r="R49"/>
  <c r="Q49"/>
  <c r="P49"/>
  <c r="R51"/>
  <c r="Q51"/>
  <c r="P51"/>
  <c r="P48"/>
  <c r="P39"/>
  <c r="O45"/>
  <c r="O14"/>
  <c r="O19"/>
  <c r="O21"/>
  <c r="O49"/>
  <c r="O51"/>
  <c r="O50"/>
  <c r="N3"/>
  <c r="N18"/>
  <c r="N42"/>
  <c r="N36"/>
  <c r="N21"/>
  <c r="N49"/>
  <c r="N51"/>
  <c r="N43"/>
  <c r="N39"/>
  <c r="N35"/>
  <c r="M21"/>
  <c r="M31"/>
  <c r="M45"/>
  <c r="M36"/>
  <c r="M19"/>
  <c r="M49"/>
  <c r="M51"/>
  <c r="M17"/>
  <c r="M43"/>
  <c r="M8"/>
  <c r="M32"/>
  <c r="L4"/>
  <c r="L21"/>
  <c r="L19"/>
  <c r="L49"/>
  <c r="L41"/>
  <c r="L51"/>
  <c r="L18"/>
  <c r="L43"/>
  <c r="J42"/>
  <c r="J45"/>
  <c r="J36"/>
  <c r="J4"/>
  <c r="J48"/>
  <c r="J50"/>
  <c r="J19"/>
  <c r="J51"/>
  <c r="J43"/>
  <c r="J21"/>
  <c r="J27"/>
  <c r="J2"/>
  <c r="J49"/>
  <c r="J32"/>
  <c r="I12"/>
  <c r="I14"/>
  <c r="I10"/>
  <c r="I45"/>
  <c r="I22"/>
  <c r="I4"/>
  <c r="I28"/>
  <c r="K1" i="9"/>
  <c r="K2"/>
  <c r="K3"/>
  <c r="K4"/>
  <c r="K5"/>
  <c r="K6"/>
  <c r="K7"/>
  <c r="K8"/>
  <c r="K9"/>
  <c r="K10"/>
  <c r="K11"/>
  <c r="K12"/>
  <c r="K13"/>
  <c r="K14"/>
  <c r="K15"/>
  <c r="K16"/>
  <c r="K17"/>
  <c r="K18"/>
  <c r="K19"/>
  <c r="K20"/>
  <c r="K21"/>
  <c r="K22"/>
  <c r="K23"/>
  <c r="K24"/>
  <c r="K25"/>
  <c r="K26"/>
  <c r="H42" i="10"/>
  <c r="H12"/>
  <c r="H14"/>
  <c r="H45"/>
  <c r="H48"/>
  <c r="H50"/>
  <c r="H19"/>
  <c r="H33"/>
  <c r="H21"/>
  <c r="H28"/>
  <c r="H6"/>
  <c r="G45"/>
  <c r="F3" i="36"/>
  <c r="G3"/>
  <c r="H3"/>
  <c r="I3"/>
  <c r="J3"/>
  <c r="K3"/>
  <c r="L3"/>
  <c r="M3"/>
  <c r="N3"/>
  <c r="O3"/>
  <c r="P3"/>
  <c r="Q3"/>
  <c r="R3"/>
  <c r="S3"/>
  <c r="T3"/>
  <c r="U3"/>
  <c r="V3"/>
  <c r="W3"/>
  <c r="X3"/>
  <c r="Y3"/>
  <c r="H28" i="9"/>
  <c r="C27"/>
  <c r="G50" i="10"/>
  <c r="G33"/>
  <c r="G10"/>
  <c r="G14"/>
  <c r="G22"/>
  <c r="G11"/>
  <c r="G12"/>
  <c r="G15"/>
  <c r="G6"/>
  <c r="G28"/>
  <c r="D30" i="40"/>
  <c r="T30" i="9" s="1"/>
  <c r="D29" i="40"/>
  <c r="T29" i="9" s="1"/>
  <c r="D28" i="40"/>
  <c r="T28" i="9" s="1"/>
  <c r="D30" i="14"/>
  <c r="N30" i="9" s="1"/>
  <c r="D29" i="14"/>
  <c r="N29" i="9" s="1"/>
  <c r="D28" i="14"/>
  <c r="N28" i="9" s="1"/>
  <c r="D30" i="25"/>
  <c r="R30" i="9" s="1"/>
  <c r="D29" i="25"/>
  <c r="R29" i="9" s="1"/>
  <c r="D28" i="25"/>
  <c r="R28" i="9" s="1"/>
  <c r="D30" i="45"/>
  <c r="L30" i="9" s="1"/>
  <c r="D29" i="45"/>
  <c r="L29" i="9" s="1"/>
  <c r="D28" i="45"/>
  <c r="L28" i="9" s="1"/>
  <c r="D30" i="12"/>
  <c r="J30" i="9" s="1"/>
  <c r="D29" i="12"/>
  <c r="J29" i="9" s="1"/>
  <c r="D28" i="12"/>
  <c r="J28" i="9" s="1"/>
  <c r="D30" i="16"/>
  <c r="F30" i="9" s="1"/>
  <c r="D29" i="16"/>
  <c r="F29" i="9" s="1"/>
  <c r="D28" i="16"/>
  <c r="F28" i="9" s="1"/>
  <c r="D30" i="35"/>
  <c r="P30" i="9" s="1"/>
  <c r="D29" i="35"/>
  <c r="P29" i="9" s="1"/>
  <c r="D28" i="35"/>
  <c r="P28" i="9" s="1"/>
  <c r="D30" i="37"/>
  <c r="H30" i="9" s="1"/>
  <c r="D29" i="37"/>
  <c r="H29" i="9" s="1"/>
  <c r="D28" i="37"/>
  <c r="D30" i="36"/>
  <c r="V30" i="9" s="1"/>
  <c r="D29" i="36"/>
  <c r="V29" i="9" s="1"/>
  <c r="D28" i="36"/>
  <c r="V28" i="9" s="1"/>
  <c r="D30" i="28"/>
  <c r="B30" i="9" s="1"/>
  <c r="D29" i="28"/>
  <c r="B29" i="9" s="1"/>
  <c r="D28" i="28"/>
  <c r="B28" i="9" s="1"/>
  <c r="D30" i="21"/>
  <c r="D30" i="9" s="1"/>
  <c r="D29" i="21"/>
  <c r="D29" i="9" s="1"/>
  <c r="D28" i="21"/>
  <c r="D28" i="9" s="1"/>
  <c r="AA26" i="36" l="1"/>
  <c r="AA25"/>
  <c r="AA24"/>
  <c r="F42" i="10"/>
  <c r="F10"/>
  <c r="F33"/>
  <c r="F14"/>
  <c r="F45"/>
  <c r="F48"/>
  <c r="F50"/>
  <c r="F19"/>
  <c r="F7"/>
  <c r="F6"/>
  <c r="D50"/>
  <c r="E50"/>
  <c r="F9" i="19"/>
  <c r="B9"/>
  <c r="J9"/>
  <c r="H9"/>
  <c r="D9"/>
  <c r="K9"/>
  <c r="I9"/>
  <c r="G9"/>
  <c r="C9"/>
  <c r="E9"/>
  <c r="X50" i="10" l="1"/>
  <c r="Z50" s="1"/>
  <c r="E42"/>
  <c r="E45"/>
  <c r="E48"/>
  <c r="E19"/>
  <c r="E51"/>
  <c r="E33"/>
  <c r="E21"/>
  <c r="E2"/>
  <c r="E49"/>
  <c r="E36"/>
  <c r="E44"/>
  <c r="E32"/>
  <c r="D33"/>
  <c r="D10"/>
  <c r="D9"/>
  <c r="D45"/>
  <c r="D22"/>
  <c r="D51"/>
  <c r="D48"/>
  <c r="D16"/>
  <c r="C16"/>
  <c r="C9"/>
  <c r="C33"/>
  <c r="C25"/>
  <c r="C36"/>
  <c r="C21"/>
  <c r="X32"/>
  <c r="Z32" s="1"/>
  <c r="N27" i="19" s="1"/>
  <c r="U26" i="9"/>
  <c r="U25"/>
  <c r="U24"/>
  <c r="U23"/>
  <c r="U22"/>
  <c r="U21"/>
  <c r="U20"/>
  <c r="U19"/>
  <c r="U18"/>
  <c r="U17"/>
  <c r="U16"/>
  <c r="U15"/>
  <c r="U14"/>
  <c r="U13"/>
  <c r="U12"/>
  <c r="U11"/>
  <c r="U10"/>
  <c r="U9"/>
  <c r="U8"/>
  <c r="U7"/>
  <c r="U6"/>
  <c r="U5"/>
  <c r="U4"/>
  <c r="U1"/>
  <c r="U3"/>
  <c r="D27" i="19"/>
  <c r="C27"/>
  <c r="I27"/>
  <c r="K27"/>
  <c r="J27"/>
  <c r="L27"/>
  <c r="G27"/>
  <c r="F27"/>
  <c r="B27"/>
  <c r="X39" i="10" l="1"/>
  <c r="X38"/>
  <c r="X37"/>
  <c r="Z37" s="1"/>
  <c r="X36"/>
  <c r="J41" i="19"/>
  <c r="J11"/>
  <c r="J13"/>
  <c r="F25"/>
  <c r="C12"/>
  <c r="E40"/>
  <c r="J31"/>
  <c r="D3"/>
  <c r="C40"/>
  <c r="K3"/>
  <c r="E25"/>
  <c r="B6"/>
  <c r="K31"/>
  <c r="E13"/>
  <c r="H31"/>
  <c r="H39"/>
  <c r="H3"/>
  <c r="I2"/>
  <c r="D13"/>
  <c r="K7"/>
  <c r="G3"/>
  <c r="D40"/>
  <c r="B2"/>
  <c r="E39"/>
  <c r="B3"/>
  <c r="I31"/>
  <c r="H13"/>
  <c r="F41"/>
  <c r="J2"/>
  <c r="D6"/>
  <c r="H14"/>
  <c r="C31"/>
  <c r="H11"/>
  <c r="D14"/>
  <c r="H6"/>
  <c r="E7"/>
  <c r="I25"/>
  <c r="K39"/>
  <c r="B11"/>
  <c r="F6"/>
  <c r="I3"/>
  <c r="I12"/>
  <c r="D37"/>
  <c r="G12"/>
  <c r="L3"/>
  <c r="K13"/>
  <c r="B41"/>
  <c r="I6"/>
  <c r="L39"/>
  <c r="I54"/>
  <c r="L11"/>
  <c r="E3"/>
  <c r="H12"/>
  <c r="G41"/>
  <c r="E11"/>
  <c r="G25"/>
  <c r="K11"/>
  <c r="C37"/>
  <c r="J40"/>
  <c r="K54"/>
  <c r="J25"/>
  <c r="I13"/>
  <c r="L7"/>
  <c r="L12"/>
  <c r="J37"/>
  <c r="D54"/>
  <c r="B37"/>
  <c r="L25"/>
  <c r="I7"/>
  <c r="C3"/>
  <c r="H25"/>
  <c r="K40"/>
  <c r="E14"/>
  <c r="I11"/>
  <c r="H2"/>
  <c r="G14"/>
  <c r="J6"/>
  <c r="G54"/>
  <c r="E12"/>
  <c r="E41"/>
  <c r="K14"/>
  <c r="F3"/>
  <c r="F11"/>
  <c r="K37"/>
  <c r="J39"/>
  <c r="C2"/>
  <c r="I14"/>
  <c r="K2"/>
  <c r="E54"/>
  <c r="J14"/>
  <c r="G2"/>
  <c r="F2"/>
  <c r="L54"/>
  <c r="K12"/>
  <c r="E37"/>
  <c r="D2"/>
  <c r="E6"/>
  <c r="E31"/>
  <c r="F14"/>
  <c r="F12"/>
  <c r="C54"/>
  <c r="H37"/>
  <c r="L14"/>
  <c r="C14"/>
  <c r="D7"/>
  <c r="L31"/>
  <c r="G31"/>
  <c r="K25"/>
  <c r="E2"/>
  <c r="H54"/>
  <c r="C25"/>
  <c r="K6"/>
  <c r="L13"/>
  <c r="H7"/>
  <c r="J12"/>
  <c r="J54"/>
  <c r="F54"/>
  <c r="D11"/>
  <c r="C13"/>
  <c r="C11"/>
  <c r="J7"/>
  <c r="B7"/>
  <c r="J3"/>
  <c r="L6"/>
  <c r="Z36" i="10" l="1"/>
  <c r="L25" i="9"/>
  <c r="Z39" i="10"/>
  <c r="Z38"/>
  <c r="N60" i="19"/>
  <c r="N61"/>
  <c r="B66" l="1"/>
  <c r="AB3" i="2"/>
  <c r="AB9" l="1"/>
  <c r="AB11"/>
  <c r="AB7" l="1"/>
  <c r="AB12"/>
  <c r="AB5"/>
  <c r="AB4"/>
  <c r="AB8"/>
  <c r="AB6"/>
  <c r="AB10"/>
  <c r="F44" i="19"/>
  <c r="L19"/>
  <c r="L5"/>
  <c r="F21"/>
  <c r="H43"/>
  <c r="L33"/>
  <c r="C26"/>
  <c r="I35"/>
  <c r="I60"/>
  <c r="K61"/>
  <c r="G8"/>
  <c r="H56"/>
  <c r="L61"/>
  <c r="G59"/>
  <c r="E26"/>
  <c r="H28"/>
  <c r="J29"/>
  <c r="G4"/>
  <c r="L4"/>
  <c r="C56"/>
  <c r="G28"/>
  <c r="K55"/>
  <c r="H59"/>
  <c r="L28"/>
  <c r="J61"/>
  <c r="J8"/>
  <c r="J30"/>
  <c r="K22"/>
  <c r="F29"/>
  <c r="D57"/>
  <c r="E59"/>
  <c r="C15"/>
  <c r="F58"/>
  <c r="D45"/>
  <c r="L17"/>
  <c r="J20"/>
  <c r="I57"/>
  <c r="I29"/>
  <c r="B44"/>
  <c r="G29"/>
  <c r="G36"/>
  <c r="D19"/>
  <c r="G58"/>
  <c r="K4"/>
  <c r="G35"/>
  <c r="K28"/>
  <c r="C59"/>
  <c r="F16"/>
  <c r="E58"/>
  <c r="I21"/>
  <c r="E36"/>
  <c r="C48"/>
  <c r="E8"/>
  <c r="D46"/>
  <c r="E57"/>
  <c r="B51"/>
  <c r="E20"/>
  <c r="J21"/>
  <c r="D60"/>
  <c r="K18"/>
  <c r="D20"/>
  <c r="G61"/>
  <c r="D23"/>
  <c r="D58"/>
  <c r="D5"/>
  <c r="E15"/>
  <c r="L22"/>
  <c r="B24"/>
  <c r="L15"/>
  <c r="E17"/>
  <c r="D36"/>
  <c r="B10"/>
  <c r="K56"/>
  <c r="H18"/>
  <c r="J24"/>
  <c r="I61"/>
  <c r="D61"/>
  <c r="I8"/>
  <c r="F24"/>
  <c r="J34"/>
  <c r="F23"/>
  <c r="K5"/>
  <c r="C4"/>
  <c r="I17"/>
  <c r="F15"/>
  <c r="F30"/>
  <c r="F57"/>
  <c r="I5"/>
  <c r="K20"/>
  <c r="C55"/>
  <c r="C36"/>
  <c r="I28"/>
  <c r="B32"/>
  <c r="L55"/>
  <c r="B29"/>
  <c r="F4"/>
  <c r="F8"/>
  <c r="J15"/>
  <c r="D38"/>
  <c r="J55"/>
  <c r="H48"/>
  <c r="E55"/>
  <c r="J33"/>
  <c r="J4"/>
  <c r="C23"/>
  <c r="I22"/>
  <c r="J26"/>
  <c r="J17"/>
  <c r="K15"/>
  <c r="C58"/>
  <c r="D55"/>
  <c r="I34"/>
  <c r="H58"/>
  <c r="B8"/>
  <c r="J60"/>
  <c r="H22"/>
  <c r="K35"/>
  <c r="F55"/>
  <c r="G26"/>
  <c r="F36"/>
  <c r="K19"/>
  <c r="J18"/>
  <c r="H19"/>
  <c r="H60"/>
  <c r="H5"/>
  <c r="I58"/>
  <c r="I59"/>
  <c r="I4"/>
  <c r="I33"/>
  <c r="C21"/>
  <c r="E45"/>
  <c r="G38"/>
  <c r="G43"/>
  <c r="L56"/>
  <c r="D42"/>
  <c r="B17"/>
  <c r="K21"/>
  <c r="H21"/>
  <c r="L35"/>
  <c r="H57"/>
  <c r="C57"/>
  <c r="I55"/>
  <c r="J10"/>
  <c r="K10"/>
  <c r="J16"/>
  <c r="G60"/>
  <c r="L32"/>
  <c r="C45"/>
  <c r="I36"/>
  <c r="B60"/>
  <c r="B30"/>
  <c r="F19"/>
  <c r="L59"/>
  <c r="L57"/>
  <c r="D33"/>
  <c r="G17"/>
  <c r="D29"/>
  <c r="C10"/>
  <c r="L21"/>
  <c r="I43"/>
  <c r="F42"/>
  <c r="E5"/>
  <c r="F5"/>
  <c r="K38"/>
  <c r="E46"/>
  <c r="D34"/>
  <c r="L58"/>
  <c r="H35"/>
  <c r="C22"/>
  <c r="F59"/>
  <c r="E4"/>
  <c r="E32"/>
  <c r="L60"/>
  <c r="D28"/>
  <c r="C61"/>
  <c r="F61"/>
  <c r="E16"/>
  <c r="G56"/>
  <c r="G21"/>
  <c r="K33"/>
  <c r="K34"/>
  <c r="H32"/>
  <c r="H23"/>
  <c r="E61"/>
  <c r="I10"/>
  <c r="E60"/>
  <c r="I19"/>
  <c r="L29"/>
  <c r="F22"/>
  <c r="B23"/>
  <c r="L23"/>
  <c r="L38"/>
  <c r="C5"/>
  <c r="G42"/>
  <c r="C17"/>
  <c r="E24"/>
  <c r="D22"/>
  <c r="B18"/>
  <c r="D15"/>
  <c r="H8"/>
  <c r="F10"/>
  <c r="J57"/>
  <c r="D43"/>
  <c r="C42"/>
  <c r="H55"/>
  <c r="J22"/>
  <c r="E10"/>
  <c r="H15"/>
  <c r="B61"/>
  <c r="H30"/>
  <c r="D56"/>
  <c r="C30"/>
  <c r="C60"/>
  <c r="C8"/>
  <c r="C35"/>
  <c r="J58"/>
  <c r="B34"/>
  <c r="I15"/>
  <c r="L30"/>
  <c r="K16"/>
  <c r="I42"/>
  <c r="K58"/>
  <c r="L24"/>
  <c r="B52"/>
  <c r="G19"/>
  <c r="E18"/>
  <c r="H61"/>
  <c r="C24"/>
  <c r="K17"/>
  <c r="C32"/>
  <c r="E19"/>
  <c r="F32"/>
  <c r="H10"/>
  <c r="F60"/>
  <c r="I30"/>
  <c r="G5"/>
  <c r="D4"/>
  <c r="I56"/>
  <c r="E23"/>
  <c r="L34"/>
  <c r="E56"/>
  <c r="H38"/>
  <c r="G22"/>
  <c r="F35"/>
  <c r="C16"/>
  <c r="E30"/>
  <c r="G49"/>
  <c r="H20"/>
  <c r="D18"/>
  <c r="K24"/>
  <c r="D8"/>
  <c r="B59"/>
  <c r="D10"/>
  <c r="C18"/>
  <c r="B21"/>
  <c r="C43"/>
  <c r="J56"/>
  <c r="I23"/>
  <c r="B20"/>
  <c r="J5"/>
  <c r="G55"/>
  <c r="D24"/>
  <c r="L8"/>
  <c r="K32"/>
  <c r="E44"/>
  <c r="K29"/>
  <c r="D17"/>
  <c r="B33"/>
  <c r="J28"/>
  <c r="G57"/>
  <c r="K60"/>
  <c r="D59"/>
  <c r="D16"/>
  <c r="J23"/>
  <c r="B28"/>
  <c r="H4"/>
  <c r="D26"/>
  <c r="G34"/>
  <c r="B36"/>
  <c r="F38"/>
  <c r="C19"/>
  <c r="G24"/>
  <c r="L20"/>
  <c r="K57"/>
  <c r="H17"/>
  <c r="K59"/>
  <c r="J59"/>
  <c r="Z24" i="40" l="1"/>
  <c r="Z25"/>
  <c r="Z26"/>
  <c r="X23" i="10"/>
  <c r="Z23" s="1"/>
  <c r="X46"/>
  <c r="X53"/>
  <c r="Z26" i="12"/>
  <c r="Z25"/>
  <c r="Z24"/>
  <c r="Z26" i="35"/>
  <c r="Z25"/>
  <c r="Z24"/>
  <c r="Z26" i="37"/>
  <c r="Z25"/>
  <c r="Z24"/>
  <c r="Z26" i="25"/>
  <c r="Z25"/>
  <c r="Z24"/>
  <c r="Z26" i="14"/>
  <c r="Z25"/>
  <c r="Z24"/>
  <c r="Z26" i="28"/>
  <c r="Z25"/>
  <c r="Z24"/>
  <c r="Z26" i="16"/>
  <c r="Z25"/>
  <c r="Z24"/>
  <c r="Z26" i="45"/>
  <c r="Z25"/>
  <c r="Z24"/>
  <c r="Z26" i="30"/>
  <c r="Z25"/>
  <c r="Z24"/>
  <c r="Z24" i="21"/>
  <c r="Z26"/>
  <c r="Z25"/>
  <c r="X54" i="10"/>
  <c r="X52"/>
  <c r="X51"/>
  <c r="X49"/>
  <c r="X48"/>
  <c r="X47"/>
  <c r="X45"/>
  <c r="X44"/>
  <c r="X43"/>
  <c r="X42"/>
  <c r="X41"/>
  <c r="X40"/>
  <c r="X35"/>
  <c r="X34"/>
  <c r="X33"/>
  <c r="L24" i="9" s="1"/>
  <c r="X31" i="10"/>
  <c r="X29"/>
  <c r="X28"/>
  <c r="X27"/>
  <c r="X26"/>
  <c r="X25"/>
  <c r="L9" i="9" s="1"/>
  <c r="X24" i="10"/>
  <c r="X22"/>
  <c r="X21"/>
  <c r="X20"/>
  <c r="X19"/>
  <c r="X18"/>
  <c r="X17"/>
  <c r="X16"/>
  <c r="X15"/>
  <c r="X14"/>
  <c r="L26" i="9" s="1"/>
  <c r="X13" i="10"/>
  <c r="X12"/>
  <c r="X11"/>
  <c r="X10"/>
  <c r="X9"/>
  <c r="X8"/>
  <c r="X7"/>
  <c r="X6"/>
  <c r="X5"/>
  <c r="X4"/>
  <c r="X3"/>
  <c r="X2"/>
  <c r="S20" i="9"/>
  <c r="S21"/>
  <c r="S22"/>
  <c r="S23"/>
  <c r="S24"/>
  <c r="S25"/>
  <c r="S26"/>
  <c r="S3"/>
  <c r="L11" l="1"/>
  <c r="L15"/>
  <c r="L8"/>
  <c r="L17"/>
  <c r="L10"/>
  <c r="L7"/>
  <c r="L6"/>
  <c r="L5"/>
  <c r="L18"/>
  <c r="L19"/>
  <c r="L13"/>
  <c r="L20"/>
  <c r="L14"/>
  <c r="L16"/>
  <c r="X30" i="10"/>
  <c r="L12" i="9" s="1"/>
  <c r="L4" l="1"/>
  <c r="L22" s="1"/>
  <c r="Z49" i="10"/>
  <c r="Z47"/>
  <c r="Z24"/>
  <c r="Z31"/>
  <c r="Z12"/>
  <c r="Z48"/>
  <c r="N24" i="19" l="1"/>
  <c r="N59"/>
  <c r="AB20" i="45"/>
  <c r="Z20"/>
  <c r="AB19"/>
  <c r="Z19"/>
  <c r="AB18"/>
  <c r="Z18"/>
  <c r="AB17"/>
  <c r="Z17"/>
  <c r="AB16"/>
  <c r="Z16"/>
  <c r="AB15"/>
  <c r="Z15"/>
  <c r="AB14"/>
  <c r="Z14"/>
  <c r="AB13"/>
  <c r="Z13"/>
  <c r="AB12"/>
  <c r="Z12"/>
  <c r="AB11"/>
  <c r="Z11"/>
  <c r="AB10"/>
  <c r="Z10"/>
  <c r="AB9"/>
  <c r="Z9"/>
  <c r="AB8"/>
  <c r="Z8"/>
  <c r="AB7"/>
  <c r="Z7"/>
  <c r="AB6"/>
  <c r="Z6"/>
  <c r="AB5"/>
  <c r="Z5"/>
  <c r="AB4"/>
  <c r="Z4"/>
  <c r="F20" l="1"/>
  <c r="F26"/>
  <c r="F25"/>
  <c r="F24"/>
  <c r="H20"/>
  <c r="H26"/>
  <c r="H21" s="1"/>
  <c r="H25"/>
  <c r="H24"/>
  <c r="J20"/>
  <c r="J26"/>
  <c r="J25"/>
  <c r="J24"/>
  <c r="L20"/>
  <c r="L26"/>
  <c r="L25"/>
  <c r="L24"/>
  <c r="N20"/>
  <c r="N26"/>
  <c r="N25"/>
  <c r="N24"/>
  <c r="P20"/>
  <c r="P26"/>
  <c r="P25"/>
  <c r="P24"/>
  <c r="R20"/>
  <c r="R26"/>
  <c r="R25"/>
  <c r="R24"/>
  <c r="T20"/>
  <c r="T26"/>
  <c r="T25"/>
  <c r="T24"/>
  <c r="V20"/>
  <c r="V26"/>
  <c r="V25"/>
  <c r="V24"/>
  <c r="X20"/>
  <c r="X26"/>
  <c r="X25"/>
  <c r="X24"/>
  <c r="E20"/>
  <c r="E26"/>
  <c r="E25"/>
  <c r="E24"/>
  <c r="G20"/>
  <c r="G26"/>
  <c r="G25"/>
  <c r="G24"/>
  <c r="I20"/>
  <c r="I26"/>
  <c r="I25"/>
  <c r="I24"/>
  <c r="K20"/>
  <c r="K26"/>
  <c r="K25"/>
  <c r="K24"/>
  <c r="M20"/>
  <c r="M26"/>
  <c r="M25"/>
  <c r="M24"/>
  <c r="O20"/>
  <c r="O26"/>
  <c r="O25"/>
  <c r="O24"/>
  <c r="Q20"/>
  <c r="Q26"/>
  <c r="Q25"/>
  <c r="Q24"/>
  <c r="S20"/>
  <c r="S26"/>
  <c r="S25"/>
  <c r="S24"/>
  <c r="U20"/>
  <c r="U26"/>
  <c r="U25"/>
  <c r="U24"/>
  <c r="W20"/>
  <c r="W26"/>
  <c r="W25"/>
  <c r="W24"/>
  <c r="Y20"/>
  <c r="Y26"/>
  <c r="Y25"/>
  <c r="Y24"/>
  <c r="L4"/>
  <c r="H4"/>
  <c r="P4"/>
  <c r="F4"/>
  <c r="J4"/>
  <c r="N4"/>
  <c r="Z22"/>
  <c r="R4"/>
  <c r="T4"/>
  <c r="V4"/>
  <c r="X4"/>
  <c r="F5"/>
  <c r="H5"/>
  <c r="J5"/>
  <c r="L5"/>
  <c r="N5"/>
  <c r="P5"/>
  <c r="R5"/>
  <c r="T5"/>
  <c r="V5"/>
  <c r="X5"/>
  <c r="F6"/>
  <c r="H6"/>
  <c r="J6"/>
  <c r="L6"/>
  <c r="N6"/>
  <c r="P6"/>
  <c r="R6"/>
  <c r="T6"/>
  <c r="V6"/>
  <c r="X6"/>
  <c r="F7"/>
  <c r="H7"/>
  <c r="J7"/>
  <c r="L7"/>
  <c r="N7"/>
  <c r="P7"/>
  <c r="R7"/>
  <c r="T7"/>
  <c r="V7"/>
  <c r="X7"/>
  <c r="F8"/>
  <c r="H8"/>
  <c r="J8"/>
  <c r="L8"/>
  <c r="N8"/>
  <c r="P8"/>
  <c r="R8"/>
  <c r="T8"/>
  <c r="V8"/>
  <c r="X8"/>
  <c r="F9"/>
  <c r="H9"/>
  <c r="J9"/>
  <c r="L9"/>
  <c r="N9"/>
  <c r="P9"/>
  <c r="R9"/>
  <c r="T9"/>
  <c r="V9"/>
  <c r="X9"/>
  <c r="F10"/>
  <c r="H10"/>
  <c r="J10"/>
  <c r="L10"/>
  <c r="N10"/>
  <c r="P10"/>
  <c r="R10"/>
  <c r="T10"/>
  <c r="V10"/>
  <c r="X10"/>
  <c r="F11"/>
  <c r="H11"/>
  <c r="J11"/>
  <c r="L11"/>
  <c r="N11"/>
  <c r="P11"/>
  <c r="R11"/>
  <c r="T11"/>
  <c r="V11"/>
  <c r="X11"/>
  <c r="F12"/>
  <c r="H12"/>
  <c r="J12"/>
  <c r="L12"/>
  <c r="N12"/>
  <c r="P12"/>
  <c r="R12"/>
  <c r="T12"/>
  <c r="V12"/>
  <c r="X12"/>
  <c r="F13"/>
  <c r="H13"/>
  <c r="J13"/>
  <c r="L13"/>
  <c r="N13"/>
  <c r="P13"/>
  <c r="R13"/>
  <c r="T13"/>
  <c r="V13"/>
  <c r="X13"/>
  <c r="F14"/>
  <c r="H14"/>
  <c r="J14"/>
  <c r="L14"/>
  <c r="N14"/>
  <c r="P14"/>
  <c r="R14"/>
  <c r="T14"/>
  <c r="V14"/>
  <c r="X14"/>
  <c r="F15"/>
  <c r="H15"/>
  <c r="J15"/>
  <c r="L15"/>
  <c r="N15"/>
  <c r="P15"/>
  <c r="R15"/>
  <c r="T15"/>
  <c r="V15"/>
  <c r="X15"/>
  <c r="F16"/>
  <c r="H16"/>
  <c r="J16"/>
  <c r="L16"/>
  <c r="N16"/>
  <c r="P16"/>
  <c r="R16"/>
  <c r="T16"/>
  <c r="V16"/>
  <c r="X16"/>
  <c r="F17"/>
  <c r="H17"/>
  <c r="J17"/>
  <c r="L17"/>
  <c r="N17"/>
  <c r="P17"/>
  <c r="R17"/>
  <c r="T17"/>
  <c r="V17"/>
  <c r="X17"/>
  <c r="F18"/>
  <c r="H18"/>
  <c r="J18"/>
  <c r="L18"/>
  <c r="N18"/>
  <c r="P18"/>
  <c r="R18"/>
  <c r="T18"/>
  <c r="V18"/>
  <c r="X18"/>
  <c r="F19"/>
  <c r="H19"/>
  <c r="J19"/>
  <c r="L19"/>
  <c r="N19"/>
  <c r="P19"/>
  <c r="R19"/>
  <c r="T19"/>
  <c r="V19"/>
  <c r="X19"/>
  <c r="E4"/>
  <c r="G4"/>
  <c r="I4"/>
  <c r="K4"/>
  <c r="M4"/>
  <c r="O4"/>
  <c r="Q4"/>
  <c r="S4"/>
  <c r="U4"/>
  <c r="W4"/>
  <c r="Y4"/>
  <c r="E5"/>
  <c r="G5"/>
  <c r="I5"/>
  <c r="K5"/>
  <c r="M5"/>
  <c r="O5"/>
  <c r="Q5"/>
  <c r="S5"/>
  <c r="U5"/>
  <c r="W5"/>
  <c r="Y5"/>
  <c r="E6"/>
  <c r="G6"/>
  <c r="I6"/>
  <c r="K6"/>
  <c r="M6"/>
  <c r="O6"/>
  <c r="Q6"/>
  <c r="S6"/>
  <c r="U6"/>
  <c r="W6"/>
  <c r="Y6"/>
  <c r="E7"/>
  <c r="G7"/>
  <c r="I7"/>
  <c r="K7"/>
  <c r="M7"/>
  <c r="O7"/>
  <c r="Q7"/>
  <c r="S7"/>
  <c r="U7"/>
  <c r="W7"/>
  <c r="Y7"/>
  <c r="E8"/>
  <c r="G8"/>
  <c r="I8"/>
  <c r="K8"/>
  <c r="M8"/>
  <c r="O8"/>
  <c r="Q8"/>
  <c r="S8"/>
  <c r="U8"/>
  <c r="W8"/>
  <c r="Y8"/>
  <c r="E9"/>
  <c r="G9"/>
  <c r="I9"/>
  <c r="K9"/>
  <c r="M9"/>
  <c r="O9"/>
  <c r="Q9"/>
  <c r="S9"/>
  <c r="U9"/>
  <c r="W9"/>
  <c r="Y9"/>
  <c r="E10"/>
  <c r="G10"/>
  <c r="I10"/>
  <c r="K10"/>
  <c r="M10"/>
  <c r="O10"/>
  <c r="Q10"/>
  <c r="S10"/>
  <c r="U10"/>
  <c r="W10"/>
  <c r="Y10"/>
  <c r="E11"/>
  <c r="G11"/>
  <c r="I11"/>
  <c r="K11"/>
  <c r="M11"/>
  <c r="O11"/>
  <c r="Q11"/>
  <c r="S11"/>
  <c r="U11"/>
  <c r="W11"/>
  <c r="Y11"/>
  <c r="E12"/>
  <c r="G12"/>
  <c r="I12"/>
  <c r="K12"/>
  <c r="M12"/>
  <c r="O12"/>
  <c r="Q12"/>
  <c r="S12"/>
  <c r="U12"/>
  <c r="W12"/>
  <c r="Y12"/>
  <c r="E13"/>
  <c r="G13"/>
  <c r="I13"/>
  <c r="K13"/>
  <c r="M13"/>
  <c r="O13"/>
  <c r="Q13"/>
  <c r="S13"/>
  <c r="U13"/>
  <c r="W13"/>
  <c r="Y13"/>
  <c r="E14"/>
  <c r="G14"/>
  <c r="I14"/>
  <c r="K14"/>
  <c r="M14"/>
  <c r="O14"/>
  <c r="Q14"/>
  <c r="S14"/>
  <c r="U14"/>
  <c r="W14"/>
  <c r="Y14"/>
  <c r="E15"/>
  <c r="G15"/>
  <c r="I15"/>
  <c r="K15"/>
  <c r="M15"/>
  <c r="O15"/>
  <c r="Q15"/>
  <c r="S15"/>
  <c r="U15"/>
  <c r="W15"/>
  <c r="Y15"/>
  <c r="E16"/>
  <c r="G16"/>
  <c r="I16"/>
  <c r="K16"/>
  <c r="M16"/>
  <c r="O16"/>
  <c r="Q16"/>
  <c r="S16"/>
  <c r="U16"/>
  <c r="W16"/>
  <c r="Y16"/>
  <c r="E17"/>
  <c r="G17"/>
  <c r="I17"/>
  <c r="K17"/>
  <c r="M17"/>
  <c r="O17"/>
  <c r="Q17"/>
  <c r="S17"/>
  <c r="U17"/>
  <c r="W17"/>
  <c r="Y17"/>
  <c r="E18"/>
  <c r="G18"/>
  <c r="I18"/>
  <c r="K18"/>
  <c r="M18"/>
  <c r="O18"/>
  <c r="Q18"/>
  <c r="S18"/>
  <c r="U18"/>
  <c r="W18"/>
  <c r="Y18"/>
  <c r="E19"/>
  <c r="G19"/>
  <c r="I19"/>
  <c r="K19"/>
  <c r="M19"/>
  <c r="O19"/>
  <c r="Q19"/>
  <c r="S19"/>
  <c r="U19"/>
  <c r="W19"/>
  <c r="Y19"/>
  <c r="AB14" i="2"/>
  <c r="AB15"/>
  <c r="AB16"/>
  <c r="AB17"/>
  <c r="AB18"/>
  <c r="AB19"/>
  <c r="AB13"/>
  <c r="J14"/>
  <c r="M14"/>
  <c r="B15"/>
  <c r="B11"/>
  <c r="X14"/>
  <c r="C16"/>
  <c r="P19"/>
  <c r="N18"/>
  <c r="F15"/>
  <c r="W14"/>
  <c r="P15"/>
  <c r="K14"/>
  <c r="R18"/>
  <c r="E16"/>
  <c r="E15"/>
  <c r="U15"/>
  <c r="B17"/>
  <c r="O15"/>
  <c r="I17"/>
  <c r="U14"/>
  <c r="Q15"/>
  <c r="T15"/>
  <c r="G19"/>
  <c r="L15"/>
  <c r="U18"/>
  <c r="O19"/>
  <c r="Q18"/>
  <c r="J17"/>
  <c r="T14"/>
  <c r="I15"/>
  <c r="H14"/>
  <c r="W17"/>
  <c r="X19"/>
  <c r="G18"/>
  <c r="E19"/>
  <c r="G15"/>
  <c r="I19"/>
  <c r="H17"/>
  <c r="Q19"/>
  <c r="P18"/>
  <c r="U17"/>
  <c r="D19"/>
  <c r="S15"/>
  <c r="L14"/>
  <c r="C18"/>
  <c r="E14"/>
  <c r="V16"/>
  <c r="R19"/>
  <c r="D14"/>
  <c r="T16"/>
  <c r="B10"/>
  <c r="N19"/>
  <c r="M15"/>
  <c r="O16"/>
  <c r="B14"/>
  <c r="B16"/>
  <c r="C19"/>
  <c r="W15"/>
  <c r="K17"/>
  <c r="I14"/>
  <c r="N14"/>
  <c r="V15"/>
  <c r="T19"/>
  <c r="I18"/>
  <c r="H18"/>
  <c r="P17"/>
  <c r="K18"/>
  <c r="X18"/>
  <c r="S17"/>
  <c r="V17"/>
  <c r="Q14"/>
  <c r="R14"/>
  <c r="B19"/>
  <c r="W18"/>
  <c r="M18"/>
  <c r="K19"/>
  <c r="U16"/>
  <c r="R16"/>
  <c r="E17"/>
  <c r="D15"/>
  <c r="P14"/>
  <c r="E18"/>
  <c r="M19"/>
  <c r="R15"/>
  <c r="T18"/>
  <c r="K15"/>
  <c r="N16"/>
  <c r="H19"/>
  <c r="T17"/>
  <c r="H15"/>
  <c r="J18"/>
  <c r="W19"/>
  <c r="F16"/>
  <c r="V14"/>
  <c r="G17"/>
  <c r="D18"/>
  <c r="L19"/>
  <c r="F17"/>
  <c r="N17"/>
  <c r="V19"/>
  <c r="D16"/>
  <c r="C14"/>
  <c r="G16"/>
  <c r="P16"/>
  <c r="F19"/>
  <c r="M16"/>
  <c r="H16"/>
  <c r="S18"/>
  <c r="Q16"/>
  <c r="O18"/>
  <c r="Q17"/>
  <c r="F14"/>
  <c r="L16"/>
  <c r="J19"/>
  <c r="F18"/>
  <c r="X16"/>
  <c r="J15"/>
  <c r="O17"/>
  <c r="N15"/>
  <c r="R17"/>
  <c r="S16"/>
  <c r="U19"/>
  <c r="L17"/>
  <c r="X15"/>
  <c r="C17"/>
  <c r="M17"/>
  <c r="K16"/>
  <c r="X17"/>
  <c r="G14"/>
  <c r="S14"/>
  <c r="J16"/>
  <c r="C15"/>
  <c r="B18"/>
  <c r="S19"/>
  <c r="L18"/>
  <c r="I16"/>
  <c r="O14"/>
  <c r="D17"/>
  <c r="W16"/>
  <c r="V18"/>
  <c r="Y19" l="1"/>
  <c r="Z19" s="1"/>
  <c r="Y17"/>
  <c r="Z17" s="1"/>
  <c r="Y15"/>
  <c r="Z15" s="1"/>
  <c r="Y18"/>
  <c r="Z18" s="1"/>
  <c r="Y16"/>
  <c r="Z16" s="1"/>
  <c r="Y14"/>
  <c r="Z14" s="1"/>
  <c r="AA18"/>
  <c r="AA19"/>
  <c r="AA17"/>
  <c r="AA15"/>
  <c r="AA16"/>
  <c r="AA14"/>
  <c r="B30"/>
  <c r="B45" s="1"/>
  <c r="AA20" i="45"/>
  <c r="P22"/>
  <c r="H22"/>
  <c r="N22"/>
  <c r="J22"/>
  <c r="F22"/>
  <c r="L22"/>
  <c r="E22"/>
  <c r="AA4"/>
  <c r="AA18"/>
  <c r="AA16"/>
  <c r="AA14"/>
  <c r="AA12"/>
  <c r="AA10"/>
  <c r="AA8"/>
  <c r="AA6"/>
  <c r="Y22"/>
  <c r="U22"/>
  <c r="Q22"/>
  <c r="M22"/>
  <c r="I22"/>
  <c r="V22"/>
  <c r="R22"/>
  <c r="AA19"/>
  <c r="AA17"/>
  <c r="AA15"/>
  <c r="AA13"/>
  <c r="AA11"/>
  <c r="AA9"/>
  <c r="AA7"/>
  <c r="AA5"/>
  <c r="W22"/>
  <c r="S22"/>
  <c r="O22"/>
  <c r="K22"/>
  <c r="G22"/>
  <c r="X22"/>
  <c r="T22"/>
  <c r="AB30" i="2" l="1"/>
  <c r="AB45"/>
  <c r="AA22" i="45"/>
  <c r="Z20" i="12" l="1"/>
  <c r="Z19"/>
  <c r="Z18"/>
  <c r="Z17"/>
  <c r="Z16"/>
  <c r="Z15"/>
  <c r="Z14"/>
  <c r="Z13"/>
  <c r="Z12"/>
  <c r="Z11"/>
  <c r="Z10"/>
  <c r="Z9"/>
  <c r="Z8"/>
  <c r="Z7"/>
  <c r="Z6"/>
  <c r="Z5"/>
  <c r="Z4"/>
  <c r="Z20" i="35"/>
  <c r="Z19"/>
  <c r="Z18"/>
  <c r="Z17"/>
  <c r="Z16"/>
  <c r="Z15"/>
  <c r="Z14"/>
  <c r="Z13"/>
  <c r="Z12"/>
  <c r="Z11"/>
  <c r="Z10"/>
  <c r="Z9"/>
  <c r="Z8"/>
  <c r="Z7"/>
  <c r="Z6"/>
  <c r="Z5"/>
  <c r="Z4"/>
  <c r="Z20" i="37"/>
  <c r="Z19"/>
  <c r="Z18"/>
  <c r="Z17"/>
  <c r="Z16"/>
  <c r="Z15"/>
  <c r="Z14"/>
  <c r="Z13"/>
  <c r="Z12"/>
  <c r="Z11"/>
  <c r="Z10"/>
  <c r="Z9"/>
  <c r="Z8"/>
  <c r="Z7"/>
  <c r="Z6"/>
  <c r="Z5"/>
  <c r="Z4"/>
  <c r="Z20" i="25"/>
  <c r="Z19"/>
  <c r="Z18"/>
  <c r="Z17"/>
  <c r="Z16"/>
  <c r="Z15"/>
  <c r="Z14"/>
  <c r="Z13"/>
  <c r="Z12"/>
  <c r="Z11"/>
  <c r="Z10"/>
  <c r="Z9"/>
  <c r="Z8"/>
  <c r="Z7"/>
  <c r="Z6"/>
  <c r="Z5"/>
  <c r="Z4"/>
  <c r="Z20" i="14"/>
  <c r="Z19"/>
  <c r="Z18"/>
  <c r="Z17"/>
  <c r="Z16"/>
  <c r="Z15"/>
  <c r="Z14"/>
  <c r="Z13"/>
  <c r="Z12"/>
  <c r="Z11"/>
  <c r="Z10"/>
  <c r="Z9"/>
  <c r="Z8"/>
  <c r="Z7"/>
  <c r="Z6"/>
  <c r="Z5"/>
  <c r="Z4"/>
  <c r="Z20" i="28"/>
  <c r="Z19"/>
  <c r="Z18"/>
  <c r="Z17"/>
  <c r="Z16"/>
  <c r="Z15"/>
  <c r="Z14"/>
  <c r="Z13"/>
  <c r="Z12"/>
  <c r="Z11"/>
  <c r="Z10"/>
  <c r="Z9"/>
  <c r="Z8"/>
  <c r="Z7"/>
  <c r="Z6"/>
  <c r="Z5"/>
  <c r="Z4"/>
  <c r="Z20" i="16"/>
  <c r="Z19"/>
  <c r="Z18"/>
  <c r="Z17"/>
  <c r="Z16"/>
  <c r="Z15"/>
  <c r="Z14"/>
  <c r="Z13"/>
  <c r="Z12"/>
  <c r="Z11"/>
  <c r="Z10"/>
  <c r="Z9"/>
  <c r="Z8"/>
  <c r="Z7"/>
  <c r="Z6"/>
  <c r="Z5"/>
  <c r="Z4"/>
  <c r="Z20" i="40"/>
  <c r="Z19"/>
  <c r="Z18"/>
  <c r="Z17"/>
  <c r="Z16"/>
  <c r="Z15"/>
  <c r="Z14"/>
  <c r="Z13"/>
  <c r="Z12"/>
  <c r="Z11"/>
  <c r="Z10"/>
  <c r="Z9"/>
  <c r="Z8"/>
  <c r="Z7"/>
  <c r="Z6"/>
  <c r="Z5"/>
  <c r="Z4"/>
  <c r="Z20" i="30"/>
  <c r="Z19"/>
  <c r="Z18"/>
  <c r="Z17"/>
  <c r="Z16"/>
  <c r="Z15"/>
  <c r="Z14"/>
  <c r="Z13"/>
  <c r="Z12"/>
  <c r="Z11"/>
  <c r="Z10"/>
  <c r="Z9"/>
  <c r="Z8"/>
  <c r="Z7"/>
  <c r="Z6"/>
  <c r="Z5"/>
  <c r="Z4"/>
  <c r="Z4" i="21"/>
  <c r="Z5"/>
  <c r="Z6"/>
  <c r="Z7"/>
  <c r="Z8"/>
  <c r="Z9"/>
  <c r="Z10"/>
  <c r="Z11"/>
  <c r="Z12"/>
  <c r="Z13"/>
  <c r="Z14"/>
  <c r="Z15"/>
  <c r="Z16"/>
  <c r="Z17"/>
  <c r="Z18"/>
  <c r="Z19"/>
  <c r="Z20"/>
  <c r="F26" i="30" l="1"/>
  <c r="F25"/>
  <c r="F24"/>
  <c r="H26"/>
  <c r="H25"/>
  <c r="H24"/>
  <c r="J26"/>
  <c r="J25"/>
  <c r="J24"/>
  <c r="L26"/>
  <c r="L25"/>
  <c r="L24"/>
  <c r="N26"/>
  <c r="N25"/>
  <c r="N24"/>
  <c r="P26"/>
  <c r="P25"/>
  <c r="P24"/>
  <c r="R26"/>
  <c r="R25"/>
  <c r="R24"/>
  <c r="T26"/>
  <c r="T25"/>
  <c r="T24"/>
  <c r="V26"/>
  <c r="V25"/>
  <c r="V24"/>
  <c r="X26"/>
  <c r="X25"/>
  <c r="X24"/>
  <c r="F20" i="40"/>
  <c r="F26"/>
  <c r="F25"/>
  <c r="F24"/>
  <c r="H20"/>
  <c r="H26"/>
  <c r="H25"/>
  <c r="H21" s="1"/>
  <c r="H24"/>
  <c r="J20"/>
  <c r="J24"/>
  <c r="J25"/>
  <c r="J26"/>
  <c r="L20"/>
  <c r="L24"/>
  <c r="L25"/>
  <c r="L26"/>
  <c r="N20"/>
  <c r="N24"/>
  <c r="N25"/>
  <c r="N26"/>
  <c r="P20"/>
  <c r="P24"/>
  <c r="P25"/>
  <c r="P26"/>
  <c r="R20"/>
  <c r="R24"/>
  <c r="R25"/>
  <c r="R26"/>
  <c r="T20"/>
  <c r="T24"/>
  <c r="T25"/>
  <c r="T26"/>
  <c r="V20"/>
  <c r="V24"/>
  <c r="V25"/>
  <c r="V26"/>
  <c r="X20"/>
  <c r="X24"/>
  <c r="X25"/>
  <c r="X26"/>
  <c r="X21" s="1"/>
  <c r="F20" i="16"/>
  <c r="F26"/>
  <c r="F25"/>
  <c r="F24"/>
  <c r="H20"/>
  <c r="H26"/>
  <c r="H25"/>
  <c r="H24"/>
  <c r="J20"/>
  <c r="J26"/>
  <c r="J25"/>
  <c r="J24"/>
  <c r="L20"/>
  <c r="L26"/>
  <c r="L25"/>
  <c r="L24"/>
  <c r="N20"/>
  <c r="N26"/>
  <c r="N25"/>
  <c r="N24"/>
  <c r="P20"/>
  <c r="P26"/>
  <c r="P25"/>
  <c r="P24"/>
  <c r="R20"/>
  <c r="R26"/>
  <c r="R25"/>
  <c r="R24"/>
  <c r="T20"/>
  <c r="T26"/>
  <c r="T25"/>
  <c r="T24"/>
  <c r="V20"/>
  <c r="V26"/>
  <c r="V25"/>
  <c r="V21" s="1"/>
  <c r="V24"/>
  <c r="X20"/>
  <c r="X26"/>
  <c r="X25"/>
  <c r="X24"/>
  <c r="X21" s="1"/>
  <c r="F5" i="28"/>
  <c r="F26"/>
  <c r="F25"/>
  <c r="F24"/>
  <c r="H4"/>
  <c r="H26"/>
  <c r="H25"/>
  <c r="H24"/>
  <c r="J5"/>
  <c r="J26"/>
  <c r="J25"/>
  <c r="J24"/>
  <c r="L4"/>
  <c r="L26"/>
  <c r="L25"/>
  <c r="L24"/>
  <c r="N4"/>
  <c r="N26"/>
  <c r="N25"/>
  <c r="N24"/>
  <c r="P4"/>
  <c r="P26"/>
  <c r="P25"/>
  <c r="P24"/>
  <c r="P21" s="1"/>
  <c r="R4"/>
  <c r="R26"/>
  <c r="R25"/>
  <c r="R24"/>
  <c r="T4"/>
  <c r="T26"/>
  <c r="T25"/>
  <c r="T24"/>
  <c r="V4"/>
  <c r="V26"/>
  <c r="V25"/>
  <c r="V24"/>
  <c r="X4"/>
  <c r="X26"/>
  <c r="X25"/>
  <c r="X24"/>
  <c r="F20" i="14"/>
  <c r="F26"/>
  <c r="F25"/>
  <c r="F24"/>
  <c r="H20"/>
  <c r="H26"/>
  <c r="H25"/>
  <c r="H24"/>
  <c r="J20"/>
  <c r="J26"/>
  <c r="J25"/>
  <c r="J24"/>
  <c r="L20"/>
  <c r="L26"/>
  <c r="L25"/>
  <c r="L24"/>
  <c r="N20"/>
  <c r="N26"/>
  <c r="N25"/>
  <c r="N24"/>
  <c r="P20"/>
  <c r="P26"/>
  <c r="P25"/>
  <c r="P24"/>
  <c r="R20"/>
  <c r="R26"/>
  <c r="R25"/>
  <c r="R24"/>
  <c r="T20"/>
  <c r="T26"/>
  <c r="T25"/>
  <c r="T24"/>
  <c r="V20"/>
  <c r="V26"/>
  <c r="V25"/>
  <c r="V24"/>
  <c r="X20"/>
  <c r="X26"/>
  <c r="X25"/>
  <c r="X24"/>
  <c r="F20" i="25"/>
  <c r="F26"/>
  <c r="F25"/>
  <c r="F24"/>
  <c r="H20"/>
  <c r="H26"/>
  <c r="H25"/>
  <c r="H21" s="1"/>
  <c r="H24"/>
  <c r="J20"/>
  <c r="J26"/>
  <c r="J25"/>
  <c r="J24"/>
  <c r="L20"/>
  <c r="L26"/>
  <c r="L25"/>
  <c r="L24"/>
  <c r="N20"/>
  <c r="N26"/>
  <c r="N25"/>
  <c r="N24"/>
  <c r="P20"/>
  <c r="P26"/>
  <c r="P25"/>
  <c r="P24"/>
  <c r="R20"/>
  <c r="R26"/>
  <c r="R25"/>
  <c r="R24"/>
  <c r="T20"/>
  <c r="T26"/>
  <c r="T25"/>
  <c r="T24"/>
  <c r="V20"/>
  <c r="V26"/>
  <c r="V25"/>
  <c r="V24"/>
  <c r="X20"/>
  <c r="X26"/>
  <c r="X25"/>
  <c r="X24"/>
  <c r="X21" s="1"/>
  <c r="F4" i="37"/>
  <c r="F26"/>
  <c r="F25"/>
  <c r="F24"/>
  <c r="H5"/>
  <c r="H26"/>
  <c r="H25"/>
  <c r="H24"/>
  <c r="J4"/>
  <c r="J26"/>
  <c r="J25"/>
  <c r="J24"/>
  <c r="L5"/>
  <c r="L26"/>
  <c r="L25"/>
  <c r="L24"/>
  <c r="N4"/>
  <c r="N26"/>
  <c r="N25"/>
  <c r="N24"/>
  <c r="P5"/>
  <c r="P26"/>
  <c r="P25"/>
  <c r="P24"/>
  <c r="R4"/>
  <c r="R26"/>
  <c r="R25"/>
  <c r="R24"/>
  <c r="T5"/>
  <c r="T26"/>
  <c r="T25"/>
  <c r="T24"/>
  <c r="V4"/>
  <c r="V26"/>
  <c r="V25"/>
  <c r="V24"/>
  <c r="X4"/>
  <c r="X26"/>
  <c r="X21" s="1"/>
  <c r="X25"/>
  <c r="X24"/>
  <c r="F4" i="35"/>
  <c r="F26"/>
  <c r="F25"/>
  <c r="F24"/>
  <c r="H4"/>
  <c r="H26"/>
  <c r="H25"/>
  <c r="H24"/>
  <c r="J4"/>
  <c r="J26"/>
  <c r="J25"/>
  <c r="J24"/>
  <c r="L4"/>
  <c r="L26"/>
  <c r="L25"/>
  <c r="L24"/>
  <c r="N26"/>
  <c r="N25"/>
  <c r="N24"/>
  <c r="P26"/>
  <c r="P25"/>
  <c r="P24"/>
  <c r="R26"/>
  <c r="R25"/>
  <c r="R24"/>
  <c r="T26"/>
  <c r="T25"/>
  <c r="T24"/>
  <c r="V26"/>
  <c r="V25"/>
  <c r="V24"/>
  <c r="X26"/>
  <c r="X25"/>
  <c r="X24"/>
  <c r="X21" s="1"/>
  <c r="F20" i="12"/>
  <c r="F26"/>
  <c r="F25"/>
  <c r="F24"/>
  <c r="H20"/>
  <c r="H26"/>
  <c r="H25"/>
  <c r="H24"/>
  <c r="J20"/>
  <c r="J26"/>
  <c r="J25"/>
  <c r="J24"/>
  <c r="L20"/>
  <c r="L26"/>
  <c r="L25"/>
  <c r="L24"/>
  <c r="N20"/>
  <c r="N26"/>
  <c r="N25"/>
  <c r="N24"/>
  <c r="P20"/>
  <c r="P26"/>
  <c r="P25"/>
  <c r="P24"/>
  <c r="R20"/>
  <c r="R26"/>
  <c r="R25"/>
  <c r="R24"/>
  <c r="T20"/>
  <c r="T26"/>
  <c r="T25"/>
  <c r="T24"/>
  <c r="V20"/>
  <c r="V26"/>
  <c r="V25"/>
  <c r="V24"/>
  <c r="X20"/>
  <c r="X26"/>
  <c r="X25"/>
  <c r="X24"/>
  <c r="E8" i="30"/>
  <c r="E26"/>
  <c r="E25"/>
  <c r="E24"/>
  <c r="G7"/>
  <c r="G26"/>
  <c r="G25"/>
  <c r="G24"/>
  <c r="I8"/>
  <c r="I26"/>
  <c r="I25"/>
  <c r="I24"/>
  <c r="K7"/>
  <c r="K26"/>
  <c r="K25"/>
  <c r="K24"/>
  <c r="M8"/>
  <c r="M26"/>
  <c r="M25"/>
  <c r="M24"/>
  <c r="O7"/>
  <c r="O26"/>
  <c r="O25"/>
  <c r="O24"/>
  <c r="Q7"/>
  <c r="Q26"/>
  <c r="Q25"/>
  <c r="Q24"/>
  <c r="S7"/>
  <c r="S26"/>
  <c r="S25"/>
  <c r="S24"/>
  <c r="U7"/>
  <c r="U26"/>
  <c r="U25"/>
  <c r="U24"/>
  <c r="W7"/>
  <c r="W26"/>
  <c r="W25"/>
  <c r="W24"/>
  <c r="Y7"/>
  <c r="Y26"/>
  <c r="Y25"/>
  <c r="Y24"/>
  <c r="E20" i="40"/>
  <c r="E26"/>
  <c r="E25"/>
  <c r="E24"/>
  <c r="G20"/>
  <c r="G26"/>
  <c r="G25"/>
  <c r="G24"/>
  <c r="I20"/>
  <c r="I24"/>
  <c r="I25"/>
  <c r="I26"/>
  <c r="K20"/>
  <c r="K24"/>
  <c r="K25"/>
  <c r="K26"/>
  <c r="M20"/>
  <c r="M24"/>
  <c r="M25"/>
  <c r="M26"/>
  <c r="O20"/>
  <c r="O24"/>
  <c r="O25"/>
  <c r="O26"/>
  <c r="Q20"/>
  <c r="Q24"/>
  <c r="Q25"/>
  <c r="Q26"/>
  <c r="S20"/>
  <c r="S24"/>
  <c r="S25"/>
  <c r="S26"/>
  <c r="U20"/>
  <c r="U24"/>
  <c r="U25"/>
  <c r="U26"/>
  <c r="W20"/>
  <c r="W24"/>
  <c r="W25"/>
  <c r="W26"/>
  <c r="Y20"/>
  <c r="Y24"/>
  <c r="Y25"/>
  <c r="Y26"/>
  <c r="E20" i="16"/>
  <c r="E26"/>
  <c r="E25"/>
  <c r="E24"/>
  <c r="G20"/>
  <c r="G26"/>
  <c r="G25"/>
  <c r="G24"/>
  <c r="I20"/>
  <c r="I26"/>
  <c r="I25"/>
  <c r="I24"/>
  <c r="K20"/>
  <c r="K26"/>
  <c r="K25"/>
  <c r="K24"/>
  <c r="M20"/>
  <c r="M26"/>
  <c r="M25"/>
  <c r="M24"/>
  <c r="O20"/>
  <c r="O26"/>
  <c r="O25"/>
  <c r="O24"/>
  <c r="Q20"/>
  <c r="Q26"/>
  <c r="Q25"/>
  <c r="Q24"/>
  <c r="S20"/>
  <c r="S26"/>
  <c r="S25"/>
  <c r="S24"/>
  <c r="U20"/>
  <c r="U26"/>
  <c r="U25"/>
  <c r="U24"/>
  <c r="W20"/>
  <c r="W26"/>
  <c r="W21" s="1"/>
  <c r="W25"/>
  <c r="W24"/>
  <c r="Y20"/>
  <c r="Y26"/>
  <c r="Y25"/>
  <c r="Y24"/>
  <c r="E8" i="28"/>
  <c r="E26"/>
  <c r="E25"/>
  <c r="E24"/>
  <c r="G8"/>
  <c r="G26"/>
  <c r="G25"/>
  <c r="G24"/>
  <c r="I8"/>
  <c r="I26"/>
  <c r="I25"/>
  <c r="I24"/>
  <c r="K8"/>
  <c r="K26"/>
  <c r="K25"/>
  <c r="K24"/>
  <c r="M7"/>
  <c r="M26"/>
  <c r="M25"/>
  <c r="M24"/>
  <c r="O7"/>
  <c r="O26"/>
  <c r="O25"/>
  <c r="O24"/>
  <c r="Q7"/>
  <c r="Q26"/>
  <c r="Q25"/>
  <c r="Q24"/>
  <c r="S7"/>
  <c r="S26"/>
  <c r="S25"/>
  <c r="S24"/>
  <c r="U7"/>
  <c r="U26"/>
  <c r="U25"/>
  <c r="U24"/>
  <c r="W7"/>
  <c r="W26"/>
  <c r="W25"/>
  <c r="W24"/>
  <c r="Y7"/>
  <c r="Y26"/>
  <c r="Y25"/>
  <c r="Y24"/>
  <c r="E20" i="14"/>
  <c r="E26"/>
  <c r="E25"/>
  <c r="E24"/>
  <c r="G20"/>
  <c r="G26"/>
  <c r="G25"/>
  <c r="G24"/>
  <c r="I20"/>
  <c r="I26"/>
  <c r="I25"/>
  <c r="I24"/>
  <c r="I21" s="1"/>
  <c r="K20"/>
  <c r="K26"/>
  <c r="K25"/>
  <c r="K24"/>
  <c r="M20"/>
  <c r="M26"/>
  <c r="M25"/>
  <c r="M24"/>
  <c r="O20"/>
  <c r="O26"/>
  <c r="O25"/>
  <c r="O24"/>
  <c r="Q20"/>
  <c r="Q26"/>
  <c r="Q25"/>
  <c r="Q24"/>
  <c r="S20"/>
  <c r="S26"/>
  <c r="S25"/>
  <c r="S24"/>
  <c r="U20"/>
  <c r="U26"/>
  <c r="U25"/>
  <c r="U24"/>
  <c r="W20"/>
  <c r="W26"/>
  <c r="W25"/>
  <c r="W24"/>
  <c r="Y20"/>
  <c r="Y26"/>
  <c r="Y25"/>
  <c r="Y24"/>
  <c r="E20" i="25"/>
  <c r="E26"/>
  <c r="E25"/>
  <c r="E24"/>
  <c r="G20"/>
  <c r="G26"/>
  <c r="G25"/>
  <c r="G24"/>
  <c r="I20"/>
  <c r="I26"/>
  <c r="I25"/>
  <c r="I24"/>
  <c r="K20"/>
  <c r="K26"/>
  <c r="K25"/>
  <c r="K24"/>
  <c r="M20"/>
  <c r="M26"/>
  <c r="M25"/>
  <c r="M24"/>
  <c r="O20"/>
  <c r="O26"/>
  <c r="O25"/>
  <c r="O24"/>
  <c r="Q20"/>
  <c r="Q26"/>
  <c r="Q25"/>
  <c r="Q24"/>
  <c r="S20"/>
  <c r="S26"/>
  <c r="S25"/>
  <c r="S24"/>
  <c r="U20"/>
  <c r="U26"/>
  <c r="U25"/>
  <c r="U24"/>
  <c r="W20"/>
  <c r="W26"/>
  <c r="W25"/>
  <c r="W24"/>
  <c r="Y20"/>
  <c r="Y26"/>
  <c r="Y25"/>
  <c r="Y24"/>
  <c r="E6" i="37"/>
  <c r="E26"/>
  <c r="E25"/>
  <c r="E24"/>
  <c r="G6"/>
  <c r="G26"/>
  <c r="G25"/>
  <c r="G24"/>
  <c r="I6"/>
  <c r="I26"/>
  <c r="I25"/>
  <c r="I24"/>
  <c r="K6"/>
  <c r="K26"/>
  <c r="K25"/>
  <c r="K24"/>
  <c r="M6"/>
  <c r="M26"/>
  <c r="M25"/>
  <c r="M24"/>
  <c r="O6"/>
  <c r="O26"/>
  <c r="O25"/>
  <c r="O24"/>
  <c r="Q6"/>
  <c r="Q26"/>
  <c r="Q25"/>
  <c r="Q24"/>
  <c r="S5"/>
  <c r="S26"/>
  <c r="S25"/>
  <c r="S24"/>
  <c r="U5"/>
  <c r="U26"/>
  <c r="U25"/>
  <c r="U24"/>
  <c r="W5"/>
  <c r="W26"/>
  <c r="W25"/>
  <c r="W24"/>
  <c r="W21" s="1"/>
  <c r="Y5"/>
  <c r="Y26"/>
  <c r="Y25"/>
  <c r="Y24"/>
  <c r="E14" i="35"/>
  <c r="E26"/>
  <c r="E25"/>
  <c r="E24"/>
  <c r="G14"/>
  <c r="G26"/>
  <c r="G25"/>
  <c r="G24"/>
  <c r="I13"/>
  <c r="I26"/>
  <c r="I25"/>
  <c r="I24"/>
  <c r="K14"/>
  <c r="K26"/>
  <c r="K25"/>
  <c r="K21" s="1"/>
  <c r="K24"/>
  <c r="M13"/>
  <c r="M26"/>
  <c r="M25"/>
  <c r="M24"/>
  <c r="O13"/>
  <c r="O26"/>
  <c r="O25"/>
  <c r="O24"/>
  <c r="Q13"/>
  <c r="Q26"/>
  <c r="Q25"/>
  <c r="Q24"/>
  <c r="S13"/>
  <c r="S26"/>
  <c r="S25"/>
  <c r="S24"/>
  <c r="U13"/>
  <c r="U26"/>
  <c r="U25"/>
  <c r="U24"/>
  <c r="W13"/>
  <c r="W26"/>
  <c r="W25"/>
  <c r="W24"/>
  <c r="Y13"/>
  <c r="Y26"/>
  <c r="Y25"/>
  <c r="Y24"/>
  <c r="E20" i="12"/>
  <c r="E26"/>
  <c r="E25"/>
  <c r="E24"/>
  <c r="G20"/>
  <c r="G26"/>
  <c r="G25"/>
  <c r="G24"/>
  <c r="I20"/>
  <c r="I26"/>
  <c r="I21" s="1"/>
  <c r="I25"/>
  <c r="I24"/>
  <c r="K20"/>
  <c r="K26"/>
  <c r="K25"/>
  <c r="K24"/>
  <c r="M20"/>
  <c r="M26"/>
  <c r="M25"/>
  <c r="M24"/>
  <c r="O20"/>
  <c r="O26"/>
  <c r="O25"/>
  <c r="O24"/>
  <c r="Q20"/>
  <c r="Q26"/>
  <c r="Q25"/>
  <c r="Q24"/>
  <c r="S20"/>
  <c r="S26"/>
  <c r="S25"/>
  <c r="S24"/>
  <c r="U20"/>
  <c r="U26"/>
  <c r="U25"/>
  <c r="U24"/>
  <c r="W20"/>
  <c r="W26"/>
  <c r="W25"/>
  <c r="W24"/>
  <c r="Y20"/>
  <c r="Y26"/>
  <c r="Y25"/>
  <c r="Y24"/>
  <c r="T4" i="14"/>
  <c r="H4"/>
  <c r="P4"/>
  <c r="X4"/>
  <c r="F5"/>
  <c r="H4" i="37"/>
  <c r="P4"/>
  <c r="F5"/>
  <c r="N5"/>
  <c r="L4" i="14"/>
  <c r="L4" i="37"/>
  <c r="T4"/>
  <c r="J5"/>
  <c r="R5"/>
  <c r="G4" i="30"/>
  <c r="K4"/>
  <c r="O4"/>
  <c r="S4"/>
  <c r="W4"/>
  <c r="G5"/>
  <c r="K5"/>
  <c r="O5"/>
  <c r="F4" i="40"/>
  <c r="J4"/>
  <c r="N4"/>
  <c r="R4"/>
  <c r="V4"/>
  <c r="E4" i="16"/>
  <c r="I4"/>
  <c r="F4" i="28"/>
  <c r="J4"/>
  <c r="H5"/>
  <c r="G4" i="25"/>
  <c r="K4"/>
  <c r="H4" i="12"/>
  <c r="L4"/>
  <c r="P4"/>
  <c r="T4"/>
  <c r="X4"/>
  <c r="E4" i="30"/>
  <c r="I4"/>
  <c r="M4"/>
  <c r="Q4"/>
  <c r="U4"/>
  <c r="Y4"/>
  <c r="E5"/>
  <c r="I5"/>
  <c r="M5"/>
  <c r="H4" i="40"/>
  <c r="L4"/>
  <c r="P4"/>
  <c r="T4"/>
  <c r="X4"/>
  <c r="G4" i="16"/>
  <c r="K4"/>
  <c r="F4" i="14"/>
  <c r="J4"/>
  <c r="N4"/>
  <c r="R4"/>
  <c r="V4"/>
  <c r="H5"/>
  <c r="E4" i="25"/>
  <c r="I4"/>
  <c r="F4" i="12"/>
  <c r="J4"/>
  <c r="N4"/>
  <c r="R4"/>
  <c r="V4"/>
  <c r="H20" i="30"/>
  <c r="H19"/>
  <c r="H18"/>
  <c r="H17"/>
  <c r="H16"/>
  <c r="H15"/>
  <c r="H14"/>
  <c r="H13"/>
  <c r="H12"/>
  <c r="H11"/>
  <c r="H10"/>
  <c r="H9"/>
  <c r="H8"/>
  <c r="L20"/>
  <c r="L19"/>
  <c r="L18"/>
  <c r="L17"/>
  <c r="L16"/>
  <c r="L15"/>
  <c r="L14"/>
  <c r="L13"/>
  <c r="L12"/>
  <c r="L11"/>
  <c r="L10"/>
  <c r="L9"/>
  <c r="L8"/>
  <c r="P20"/>
  <c r="P19"/>
  <c r="P18"/>
  <c r="P17"/>
  <c r="P16"/>
  <c r="P15"/>
  <c r="P14"/>
  <c r="P13"/>
  <c r="P12"/>
  <c r="P11"/>
  <c r="P10"/>
  <c r="P9"/>
  <c r="P8"/>
  <c r="T20"/>
  <c r="T19"/>
  <c r="T18"/>
  <c r="T17"/>
  <c r="T16"/>
  <c r="T15"/>
  <c r="T14"/>
  <c r="T13"/>
  <c r="T12"/>
  <c r="T11"/>
  <c r="T10"/>
  <c r="T9"/>
  <c r="T8"/>
  <c r="X20"/>
  <c r="X19"/>
  <c r="X18"/>
  <c r="X17"/>
  <c r="X16"/>
  <c r="X15"/>
  <c r="X14"/>
  <c r="X13"/>
  <c r="X12"/>
  <c r="X11"/>
  <c r="X10"/>
  <c r="X9"/>
  <c r="X8"/>
  <c r="Q5"/>
  <c r="S5"/>
  <c r="U5"/>
  <c r="W5"/>
  <c r="Y5"/>
  <c r="E6"/>
  <c r="G6"/>
  <c r="I6"/>
  <c r="K6"/>
  <c r="M6"/>
  <c r="O6"/>
  <c r="Q6"/>
  <c r="S6"/>
  <c r="U6"/>
  <c r="W6"/>
  <c r="Y6"/>
  <c r="E7"/>
  <c r="I7"/>
  <c r="M7"/>
  <c r="F20"/>
  <c r="F19"/>
  <c r="F18"/>
  <c r="F17"/>
  <c r="F16"/>
  <c r="F15"/>
  <c r="F14"/>
  <c r="F13"/>
  <c r="F12"/>
  <c r="F11"/>
  <c r="F10"/>
  <c r="F9"/>
  <c r="F8"/>
  <c r="J20"/>
  <c r="J19"/>
  <c r="J18"/>
  <c r="J17"/>
  <c r="J16"/>
  <c r="J15"/>
  <c r="J14"/>
  <c r="J13"/>
  <c r="J12"/>
  <c r="J11"/>
  <c r="J10"/>
  <c r="J9"/>
  <c r="J8"/>
  <c r="N20"/>
  <c r="N19"/>
  <c r="N18"/>
  <c r="N17"/>
  <c r="N16"/>
  <c r="N15"/>
  <c r="N14"/>
  <c r="N13"/>
  <c r="N12"/>
  <c r="N11"/>
  <c r="N10"/>
  <c r="N9"/>
  <c r="N8"/>
  <c r="R20"/>
  <c r="R19"/>
  <c r="R18"/>
  <c r="R17"/>
  <c r="R16"/>
  <c r="R15"/>
  <c r="R14"/>
  <c r="R13"/>
  <c r="R12"/>
  <c r="R11"/>
  <c r="R10"/>
  <c r="R9"/>
  <c r="R8"/>
  <c r="V20"/>
  <c r="V19"/>
  <c r="V18"/>
  <c r="V17"/>
  <c r="V16"/>
  <c r="V15"/>
  <c r="V14"/>
  <c r="V13"/>
  <c r="V12"/>
  <c r="V11"/>
  <c r="V10"/>
  <c r="V9"/>
  <c r="V8"/>
  <c r="E20"/>
  <c r="E19"/>
  <c r="E18"/>
  <c r="E17"/>
  <c r="E16"/>
  <c r="E15"/>
  <c r="E14"/>
  <c r="E13"/>
  <c r="E12"/>
  <c r="E11"/>
  <c r="E10"/>
  <c r="E9"/>
  <c r="G20"/>
  <c r="G19"/>
  <c r="G18"/>
  <c r="G17"/>
  <c r="G16"/>
  <c r="G15"/>
  <c r="G14"/>
  <c r="G13"/>
  <c r="G12"/>
  <c r="G11"/>
  <c r="G10"/>
  <c r="G9"/>
  <c r="I20"/>
  <c r="I19"/>
  <c r="I18"/>
  <c r="I17"/>
  <c r="I16"/>
  <c r="I15"/>
  <c r="I14"/>
  <c r="I13"/>
  <c r="I12"/>
  <c r="I11"/>
  <c r="I10"/>
  <c r="I9"/>
  <c r="K20"/>
  <c r="K19"/>
  <c r="K18"/>
  <c r="K17"/>
  <c r="K16"/>
  <c r="K15"/>
  <c r="K14"/>
  <c r="K13"/>
  <c r="K12"/>
  <c r="K11"/>
  <c r="K10"/>
  <c r="K9"/>
  <c r="M20"/>
  <c r="M19"/>
  <c r="M18"/>
  <c r="M17"/>
  <c r="M16"/>
  <c r="M15"/>
  <c r="M14"/>
  <c r="M13"/>
  <c r="M12"/>
  <c r="M11"/>
  <c r="M10"/>
  <c r="M9"/>
  <c r="O20"/>
  <c r="O19"/>
  <c r="O18"/>
  <c r="O17"/>
  <c r="O16"/>
  <c r="O15"/>
  <c r="O14"/>
  <c r="O13"/>
  <c r="O12"/>
  <c r="O11"/>
  <c r="O10"/>
  <c r="O9"/>
  <c r="O8"/>
  <c r="Q20"/>
  <c r="Q19"/>
  <c r="Q18"/>
  <c r="Q17"/>
  <c r="Q16"/>
  <c r="Q15"/>
  <c r="Q14"/>
  <c r="Q13"/>
  <c r="Q12"/>
  <c r="Q11"/>
  <c r="Q10"/>
  <c r="Q9"/>
  <c r="Q8"/>
  <c r="S20"/>
  <c r="S19"/>
  <c r="S18"/>
  <c r="S17"/>
  <c r="S16"/>
  <c r="S15"/>
  <c r="S14"/>
  <c r="S13"/>
  <c r="S12"/>
  <c r="S11"/>
  <c r="S10"/>
  <c r="S9"/>
  <c r="S8"/>
  <c r="U20"/>
  <c r="U19"/>
  <c r="U18"/>
  <c r="U17"/>
  <c r="U16"/>
  <c r="U15"/>
  <c r="U14"/>
  <c r="U13"/>
  <c r="U12"/>
  <c r="U11"/>
  <c r="U10"/>
  <c r="U9"/>
  <c r="U8"/>
  <c r="W20"/>
  <c r="W19"/>
  <c r="W18"/>
  <c r="W17"/>
  <c r="W16"/>
  <c r="W15"/>
  <c r="W14"/>
  <c r="W13"/>
  <c r="W12"/>
  <c r="W11"/>
  <c r="W10"/>
  <c r="W9"/>
  <c r="W8"/>
  <c r="Y20"/>
  <c r="Y19"/>
  <c r="Y18"/>
  <c r="Y17"/>
  <c r="Y16"/>
  <c r="Y15"/>
  <c r="Y14"/>
  <c r="Y13"/>
  <c r="Y12"/>
  <c r="Y11"/>
  <c r="Y10"/>
  <c r="Y9"/>
  <c r="Y8"/>
  <c r="F4"/>
  <c r="H4"/>
  <c r="J4"/>
  <c r="L4"/>
  <c r="N4"/>
  <c r="P4"/>
  <c r="R4"/>
  <c r="T4"/>
  <c r="V4"/>
  <c r="X4"/>
  <c r="F5"/>
  <c r="H5"/>
  <c r="J5"/>
  <c r="L5"/>
  <c r="N5"/>
  <c r="P5"/>
  <c r="R5"/>
  <c r="T5"/>
  <c r="V5"/>
  <c r="X5"/>
  <c r="F6"/>
  <c r="H6"/>
  <c r="J6"/>
  <c r="L6"/>
  <c r="N6"/>
  <c r="P6"/>
  <c r="R6"/>
  <c r="T6"/>
  <c r="V6"/>
  <c r="X6"/>
  <c r="F7"/>
  <c r="H7"/>
  <c r="J7"/>
  <c r="L7"/>
  <c r="N7"/>
  <c r="P7"/>
  <c r="R7"/>
  <c r="T7"/>
  <c r="V7"/>
  <c r="X7"/>
  <c r="G8"/>
  <c r="K8"/>
  <c r="F20" i="28"/>
  <c r="F19"/>
  <c r="F18"/>
  <c r="F17"/>
  <c r="F16"/>
  <c r="F15"/>
  <c r="F14"/>
  <c r="F13"/>
  <c r="F12"/>
  <c r="F11"/>
  <c r="F10"/>
  <c r="F9"/>
  <c r="H20"/>
  <c r="H19"/>
  <c r="H18"/>
  <c r="H17"/>
  <c r="H16"/>
  <c r="H15"/>
  <c r="H14"/>
  <c r="H13"/>
  <c r="H12"/>
  <c r="H11"/>
  <c r="H10"/>
  <c r="H9"/>
  <c r="J20"/>
  <c r="J19"/>
  <c r="J18"/>
  <c r="J17"/>
  <c r="J16"/>
  <c r="J15"/>
  <c r="J14"/>
  <c r="J13"/>
  <c r="J12"/>
  <c r="J11"/>
  <c r="J10"/>
  <c r="J9"/>
  <c r="L20"/>
  <c r="L19"/>
  <c r="L18"/>
  <c r="L17"/>
  <c r="L16"/>
  <c r="L15"/>
  <c r="L14"/>
  <c r="L13"/>
  <c r="L12"/>
  <c r="L11"/>
  <c r="L10"/>
  <c r="L9"/>
  <c r="N20"/>
  <c r="N19"/>
  <c r="N18"/>
  <c r="N17"/>
  <c r="N16"/>
  <c r="N15"/>
  <c r="N14"/>
  <c r="N13"/>
  <c r="N12"/>
  <c r="N11"/>
  <c r="N10"/>
  <c r="N9"/>
  <c r="N8"/>
  <c r="P20"/>
  <c r="P19"/>
  <c r="P18"/>
  <c r="P17"/>
  <c r="P16"/>
  <c r="P15"/>
  <c r="P14"/>
  <c r="P13"/>
  <c r="P12"/>
  <c r="P11"/>
  <c r="P10"/>
  <c r="P9"/>
  <c r="P8"/>
  <c r="R20"/>
  <c r="R19"/>
  <c r="R18"/>
  <c r="R17"/>
  <c r="R16"/>
  <c r="R15"/>
  <c r="R14"/>
  <c r="R13"/>
  <c r="R12"/>
  <c r="R11"/>
  <c r="R10"/>
  <c r="R9"/>
  <c r="R8"/>
  <c r="T20"/>
  <c r="T19"/>
  <c r="T18"/>
  <c r="T17"/>
  <c r="T16"/>
  <c r="T15"/>
  <c r="T14"/>
  <c r="T13"/>
  <c r="T12"/>
  <c r="T11"/>
  <c r="T10"/>
  <c r="T9"/>
  <c r="T8"/>
  <c r="V20"/>
  <c r="V19"/>
  <c r="V18"/>
  <c r="V17"/>
  <c r="V16"/>
  <c r="V15"/>
  <c r="V14"/>
  <c r="V13"/>
  <c r="V12"/>
  <c r="V11"/>
  <c r="V10"/>
  <c r="V9"/>
  <c r="V8"/>
  <c r="X20"/>
  <c r="X19"/>
  <c r="X18"/>
  <c r="X17"/>
  <c r="X16"/>
  <c r="X15"/>
  <c r="X14"/>
  <c r="X13"/>
  <c r="X12"/>
  <c r="X11"/>
  <c r="X10"/>
  <c r="X9"/>
  <c r="X8"/>
  <c r="E4" i="40"/>
  <c r="G4"/>
  <c r="I4"/>
  <c r="K4"/>
  <c r="M4"/>
  <c r="O4"/>
  <c r="Q4"/>
  <c r="S4"/>
  <c r="U4"/>
  <c r="W4"/>
  <c r="Y4"/>
  <c r="E5"/>
  <c r="G5"/>
  <c r="I5"/>
  <c r="K5"/>
  <c r="M5"/>
  <c r="O5"/>
  <c r="Q5"/>
  <c r="S5"/>
  <c r="U5"/>
  <c r="W5"/>
  <c r="Y5"/>
  <c r="E6"/>
  <c r="G6"/>
  <c r="I6"/>
  <c r="K6"/>
  <c r="M6"/>
  <c r="O6"/>
  <c r="Q6"/>
  <c r="S6"/>
  <c r="U6"/>
  <c r="W6"/>
  <c r="Y6"/>
  <c r="E7"/>
  <c r="G7"/>
  <c r="I7"/>
  <c r="K7"/>
  <c r="M7"/>
  <c r="O7"/>
  <c r="Q7"/>
  <c r="S7"/>
  <c r="U7"/>
  <c r="W7"/>
  <c r="Y7"/>
  <c r="E8"/>
  <c r="G8"/>
  <c r="I8"/>
  <c r="K8"/>
  <c r="M8"/>
  <c r="O8"/>
  <c r="Q8"/>
  <c r="S8"/>
  <c r="U8"/>
  <c r="W8"/>
  <c r="Y8"/>
  <c r="E9"/>
  <c r="G9"/>
  <c r="I9"/>
  <c r="K9"/>
  <c r="M9"/>
  <c r="O9"/>
  <c r="Q9"/>
  <c r="S9"/>
  <c r="U9"/>
  <c r="W9"/>
  <c r="Y9"/>
  <c r="E10"/>
  <c r="G10"/>
  <c r="I10"/>
  <c r="K10"/>
  <c r="M10"/>
  <c r="O10"/>
  <c r="Q10"/>
  <c r="S10"/>
  <c r="U10"/>
  <c r="W10"/>
  <c r="Y10"/>
  <c r="E11"/>
  <c r="G11"/>
  <c r="I11"/>
  <c r="K11"/>
  <c r="M11"/>
  <c r="O11"/>
  <c r="Q11"/>
  <c r="S11"/>
  <c r="U11"/>
  <c r="W11"/>
  <c r="Y11"/>
  <c r="E12"/>
  <c r="G12"/>
  <c r="I12"/>
  <c r="K12"/>
  <c r="M12"/>
  <c r="O12"/>
  <c r="Q12"/>
  <c r="S12"/>
  <c r="U12"/>
  <c r="W12"/>
  <c r="Y12"/>
  <c r="E13"/>
  <c r="G13"/>
  <c r="I13"/>
  <c r="K13"/>
  <c r="M13"/>
  <c r="O13"/>
  <c r="Q13"/>
  <c r="S13"/>
  <c r="U13"/>
  <c r="W13"/>
  <c r="Y13"/>
  <c r="E14"/>
  <c r="G14"/>
  <c r="I14"/>
  <c r="K14"/>
  <c r="M14"/>
  <c r="O14"/>
  <c r="Q14"/>
  <c r="S14"/>
  <c r="U14"/>
  <c r="W14"/>
  <c r="Y14"/>
  <c r="E15"/>
  <c r="G15"/>
  <c r="I15"/>
  <c r="K15"/>
  <c r="M15"/>
  <c r="O15"/>
  <c r="Q15"/>
  <c r="S15"/>
  <c r="U15"/>
  <c r="W15"/>
  <c r="Y15"/>
  <c r="E16"/>
  <c r="G16"/>
  <c r="I16"/>
  <c r="K16"/>
  <c r="M16"/>
  <c r="O16"/>
  <c r="Q16"/>
  <c r="S16"/>
  <c r="U16"/>
  <c r="W16"/>
  <c r="Y16"/>
  <c r="E17"/>
  <c r="G17"/>
  <c r="I17"/>
  <c r="K17"/>
  <c r="M17"/>
  <c r="O17"/>
  <c r="Q17"/>
  <c r="S17"/>
  <c r="U17"/>
  <c r="W17"/>
  <c r="Y17"/>
  <c r="E18"/>
  <c r="G18"/>
  <c r="I18"/>
  <c r="K18"/>
  <c r="M18"/>
  <c r="O18"/>
  <c r="Q18"/>
  <c r="S18"/>
  <c r="U18"/>
  <c r="W18"/>
  <c r="Y18"/>
  <c r="E19"/>
  <c r="G19"/>
  <c r="I19"/>
  <c r="K19"/>
  <c r="M19"/>
  <c r="O19"/>
  <c r="Q19"/>
  <c r="S19"/>
  <c r="U19"/>
  <c r="W19"/>
  <c r="Y19"/>
  <c r="F4" i="16"/>
  <c r="H4"/>
  <c r="J4"/>
  <c r="L4"/>
  <c r="N4"/>
  <c r="P4"/>
  <c r="R4"/>
  <c r="T4"/>
  <c r="V4"/>
  <c r="X4"/>
  <c r="F5"/>
  <c r="H5"/>
  <c r="J5"/>
  <c r="L5"/>
  <c r="N5"/>
  <c r="P5"/>
  <c r="R5"/>
  <c r="T5"/>
  <c r="V5"/>
  <c r="X5"/>
  <c r="F6"/>
  <c r="H6"/>
  <c r="J6"/>
  <c r="L6"/>
  <c r="N6"/>
  <c r="P6"/>
  <c r="R6"/>
  <c r="T6"/>
  <c r="V6"/>
  <c r="X6"/>
  <c r="F7"/>
  <c r="H7"/>
  <c r="J7"/>
  <c r="L7"/>
  <c r="N7"/>
  <c r="P7"/>
  <c r="R7"/>
  <c r="T7"/>
  <c r="V7"/>
  <c r="X7"/>
  <c r="F8"/>
  <c r="H8"/>
  <c r="J8"/>
  <c r="L8"/>
  <c r="N8"/>
  <c r="P8"/>
  <c r="R8"/>
  <c r="T8"/>
  <c r="V8"/>
  <c r="X8"/>
  <c r="F9"/>
  <c r="H9"/>
  <c r="J9"/>
  <c r="L9"/>
  <c r="N9"/>
  <c r="P9"/>
  <c r="R9"/>
  <c r="T9"/>
  <c r="V9"/>
  <c r="X9"/>
  <c r="F10"/>
  <c r="H10"/>
  <c r="J10"/>
  <c r="L10"/>
  <c r="N10"/>
  <c r="P10"/>
  <c r="R10"/>
  <c r="T10"/>
  <c r="V10"/>
  <c r="X10"/>
  <c r="F11"/>
  <c r="H11"/>
  <c r="J11"/>
  <c r="L11"/>
  <c r="N11"/>
  <c r="P11"/>
  <c r="R11"/>
  <c r="T11"/>
  <c r="V11"/>
  <c r="X11"/>
  <c r="F12"/>
  <c r="H12"/>
  <c r="J12"/>
  <c r="L12"/>
  <c r="N12"/>
  <c r="P12"/>
  <c r="R12"/>
  <c r="T12"/>
  <c r="V12"/>
  <c r="X12"/>
  <c r="F13"/>
  <c r="H13"/>
  <c r="J13"/>
  <c r="L13"/>
  <c r="N13"/>
  <c r="P13"/>
  <c r="R13"/>
  <c r="T13"/>
  <c r="V13"/>
  <c r="X13"/>
  <c r="F14"/>
  <c r="H14"/>
  <c r="J14"/>
  <c r="L14"/>
  <c r="N14"/>
  <c r="P14"/>
  <c r="R14"/>
  <c r="T14"/>
  <c r="V14"/>
  <c r="X14"/>
  <c r="F15"/>
  <c r="H15"/>
  <c r="J15"/>
  <c r="L15"/>
  <c r="N15"/>
  <c r="P15"/>
  <c r="R15"/>
  <c r="T15"/>
  <c r="V15"/>
  <c r="X15"/>
  <c r="F16"/>
  <c r="H16"/>
  <c r="J16"/>
  <c r="L16"/>
  <c r="N16"/>
  <c r="P16"/>
  <c r="R16"/>
  <c r="T16"/>
  <c r="V16"/>
  <c r="X16"/>
  <c r="F17"/>
  <c r="H17"/>
  <c r="J17"/>
  <c r="L17"/>
  <c r="N17"/>
  <c r="P17"/>
  <c r="R17"/>
  <c r="T17"/>
  <c r="V17"/>
  <c r="X17"/>
  <c r="F18"/>
  <c r="H18"/>
  <c r="J18"/>
  <c r="L18"/>
  <c r="N18"/>
  <c r="P18"/>
  <c r="R18"/>
  <c r="T18"/>
  <c r="V18"/>
  <c r="X18"/>
  <c r="F19"/>
  <c r="H19"/>
  <c r="J19"/>
  <c r="L19"/>
  <c r="N19"/>
  <c r="P19"/>
  <c r="R19"/>
  <c r="T19"/>
  <c r="V19"/>
  <c r="X19"/>
  <c r="E4" i="28"/>
  <c r="G4"/>
  <c r="I4"/>
  <c r="K4"/>
  <c r="M4"/>
  <c r="O4"/>
  <c r="Q4"/>
  <c r="S4"/>
  <c r="U4"/>
  <c r="W4"/>
  <c r="Y4"/>
  <c r="E5"/>
  <c r="G5"/>
  <c r="I5"/>
  <c r="K5"/>
  <c r="M5"/>
  <c r="O5"/>
  <c r="Q5"/>
  <c r="S5"/>
  <c r="U5"/>
  <c r="W5"/>
  <c r="Y5"/>
  <c r="E6"/>
  <c r="G6"/>
  <c r="I6"/>
  <c r="K6"/>
  <c r="M6"/>
  <c r="O6"/>
  <c r="Q6"/>
  <c r="S6"/>
  <c r="U6"/>
  <c r="W6"/>
  <c r="Y6"/>
  <c r="E7"/>
  <c r="G7"/>
  <c r="I7"/>
  <c r="K7"/>
  <c r="E20"/>
  <c r="E19"/>
  <c r="E18"/>
  <c r="E17"/>
  <c r="E16"/>
  <c r="E15"/>
  <c r="E14"/>
  <c r="E13"/>
  <c r="E12"/>
  <c r="E11"/>
  <c r="E10"/>
  <c r="E9"/>
  <c r="G20"/>
  <c r="G19"/>
  <c r="G18"/>
  <c r="G17"/>
  <c r="G16"/>
  <c r="G15"/>
  <c r="G14"/>
  <c r="G13"/>
  <c r="G12"/>
  <c r="G11"/>
  <c r="G10"/>
  <c r="G9"/>
  <c r="I20"/>
  <c r="I19"/>
  <c r="I18"/>
  <c r="I17"/>
  <c r="I16"/>
  <c r="I15"/>
  <c r="I14"/>
  <c r="I13"/>
  <c r="I12"/>
  <c r="I11"/>
  <c r="I10"/>
  <c r="I9"/>
  <c r="K20"/>
  <c r="K19"/>
  <c r="K18"/>
  <c r="K17"/>
  <c r="K16"/>
  <c r="K15"/>
  <c r="K14"/>
  <c r="K13"/>
  <c r="K12"/>
  <c r="K11"/>
  <c r="K10"/>
  <c r="K9"/>
  <c r="M20"/>
  <c r="M19"/>
  <c r="M18"/>
  <c r="M17"/>
  <c r="M16"/>
  <c r="M15"/>
  <c r="M14"/>
  <c r="M13"/>
  <c r="M12"/>
  <c r="M11"/>
  <c r="M10"/>
  <c r="M9"/>
  <c r="M8"/>
  <c r="O20"/>
  <c r="O19"/>
  <c r="O18"/>
  <c r="O17"/>
  <c r="O16"/>
  <c r="O15"/>
  <c r="O14"/>
  <c r="O13"/>
  <c r="O12"/>
  <c r="O11"/>
  <c r="O10"/>
  <c r="O9"/>
  <c r="O8"/>
  <c r="Q20"/>
  <c r="Q19"/>
  <c r="Q18"/>
  <c r="Q17"/>
  <c r="Q16"/>
  <c r="Q15"/>
  <c r="Q14"/>
  <c r="Q13"/>
  <c r="Q12"/>
  <c r="Q11"/>
  <c r="Q10"/>
  <c r="Q9"/>
  <c r="Q8"/>
  <c r="S20"/>
  <c r="S19"/>
  <c r="S18"/>
  <c r="S17"/>
  <c r="S16"/>
  <c r="S15"/>
  <c r="S14"/>
  <c r="S13"/>
  <c r="S12"/>
  <c r="S11"/>
  <c r="S10"/>
  <c r="S9"/>
  <c r="S8"/>
  <c r="U20"/>
  <c r="U19"/>
  <c r="U18"/>
  <c r="U17"/>
  <c r="U16"/>
  <c r="U15"/>
  <c r="U14"/>
  <c r="U13"/>
  <c r="U12"/>
  <c r="U11"/>
  <c r="U10"/>
  <c r="U9"/>
  <c r="U8"/>
  <c r="W20"/>
  <c r="W19"/>
  <c r="W18"/>
  <c r="W17"/>
  <c r="W16"/>
  <c r="W15"/>
  <c r="W14"/>
  <c r="W13"/>
  <c r="W12"/>
  <c r="W11"/>
  <c r="W10"/>
  <c r="W9"/>
  <c r="W8"/>
  <c r="Y20"/>
  <c r="Y19"/>
  <c r="Y18"/>
  <c r="Y17"/>
  <c r="Y16"/>
  <c r="Y15"/>
  <c r="Y14"/>
  <c r="Y13"/>
  <c r="Y12"/>
  <c r="Y11"/>
  <c r="Y10"/>
  <c r="Y9"/>
  <c r="Y8"/>
  <c r="F5" i="40"/>
  <c r="H5"/>
  <c r="J5"/>
  <c r="L5"/>
  <c r="N5"/>
  <c r="P5"/>
  <c r="R5"/>
  <c r="T5"/>
  <c r="V5"/>
  <c r="X5"/>
  <c r="F6"/>
  <c r="H6"/>
  <c r="J6"/>
  <c r="L6"/>
  <c r="N6"/>
  <c r="P6"/>
  <c r="R6"/>
  <c r="T6"/>
  <c r="V6"/>
  <c r="X6"/>
  <c r="F7"/>
  <c r="H7"/>
  <c r="J7"/>
  <c r="L7"/>
  <c r="N7"/>
  <c r="P7"/>
  <c r="R7"/>
  <c r="T7"/>
  <c r="V7"/>
  <c r="X7"/>
  <c r="F8"/>
  <c r="H8"/>
  <c r="J8"/>
  <c r="L8"/>
  <c r="N8"/>
  <c r="P8"/>
  <c r="R8"/>
  <c r="T8"/>
  <c r="V8"/>
  <c r="X8"/>
  <c r="F9"/>
  <c r="H9"/>
  <c r="J9"/>
  <c r="L9"/>
  <c r="N9"/>
  <c r="P9"/>
  <c r="R9"/>
  <c r="T9"/>
  <c r="V9"/>
  <c r="X9"/>
  <c r="F10"/>
  <c r="H10"/>
  <c r="J10"/>
  <c r="L10"/>
  <c r="N10"/>
  <c r="P10"/>
  <c r="R10"/>
  <c r="T10"/>
  <c r="V10"/>
  <c r="X10"/>
  <c r="F11"/>
  <c r="H11"/>
  <c r="J11"/>
  <c r="L11"/>
  <c r="N11"/>
  <c r="P11"/>
  <c r="R11"/>
  <c r="T11"/>
  <c r="V11"/>
  <c r="X11"/>
  <c r="F12"/>
  <c r="H12"/>
  <c r="J12"/>
  <c r="L12"/>
  <c r="N12"/>
  <c r="P12"/>
  <c r="R12"/>
  <c r="T12"/>
  <c r="V12"/>
  <c r="X12"/>
  <c r="F13"/>
  <c r="H13"/>
  <c r="J13"/>
  <c r="L13"/>
  <c r="N13"/>
  <c r="P13"/>
  <c r="R13"/>
  <c r="T13"/>
  <c r="V13"/>
  <c r="X13"/>
  <c r="F14"/>
  <c r="H14"/>
  <c r="J14"/>
  <c r="L14"/>
  <c r="N14"/>
  <c r="P14"/>
  <c r="R14"/>
  <c r="T14"/>
  <c r="V14"/>
  <c r="X14"/>
  <c r="F15"/>
  <c r="H15"/>
  <c r="J15"/>
  <c r="L15"/>
  <c r="N15"/>
  <c r="P15"/>
  <c r="R15"/>
  <c r="T15"/>
  <c r="V15"/>
  <c r="X15"/>
  <c r="F16"/>
  <c r="H16"/>
  <c r="J16"/>
  <c r="L16"/>
  <c r="N16"/>
  <c r="P16"/>
  <c r="R16"/>
  <c r="T16"/>
  <c r="V16"/>
  <c r="X16"/>
  <c r="F17"/>
  <c r="H17"/>
  <c r="J17"/>
  <c r="L17"/>
  <c r="N17"/>
  <c r="P17"/>
  <c r="R17"/>
  <c r="T17"/>
  <c r="V17"/>
  <c r="X17"/>
  <c r="F18"/>
  <c r="H18"/>
  <c r="J18"/>
  <c r="L18"/>
  <c r="N18"/>
  <c r="P18"/>
  <c r="R18"/>
  <c r="T18"/>
  <c r="V18"/>
  <c r="X18"/>
  <c r="F19"/>
  <c r="H19"/>
  <c r="J19"/>
  <c r="L19"/>
  <c r="N19"/>
  <c r="P19"/>
  <c r="R19"/>
  <c r="T19"/>
  <c r="V19"/>
  <c r="X19"/>
  <c r="M4" i="16"/>
  <c r="O4"/>
  <c r="Q4"/>
  <c r="S4"/>
  <c r="U4"/>
  <c r="W4"/>
  <c r="Y4"/>
  <c r="E5"/>
  <c r="G5"/>
  <c r="I5"/>
  <c r="K5"/>
  <c r="M5"/>
  <c r="O5"/>
  <c r="Q5"/>
  <c r="S5"/>
  <c r="U5"/>
  <c r="W5"/>
  <c r="Y5"/>
  <c r="E6"/>
  <c r="G6"/>
  <c r="I6"/>
  <c r="K6"/>
  <c r="M6"/>
  <c r="O6"/>
  <c r="Q6"/>
  <c r="S6"/>
  <c r="U6"/>
  <c r="W6"/>
  <c r="Y6"/>
  <c r="E7"/>
  <c r="G7"/>
  <c r="I7"/>
  <c r="K7"/>
  <c r="M7"/>
  <c r="O7"/>
  <c r="Q7"/>
  <c r="S7"/>
  <c r="U7"/>
  <c r="W7"/>
  <c r="Y7"/>
  <c r="E8"/>
  <c r="G8"/>
  <c r="I8"/>
  <c r="K8"/>
  <c r="M8"/>
  <c r="O8"/>
  <c r="Q8"/>
  <c r="S8"/>
  <c r="U8"/>
  <c r="W8"/>
  <c r="Y8"/>
  <c r="E9"/>
  <c r="G9"/>
  <c r="I9"/>
  <c r="K9"/>
  <c r="M9"/>
  <c r="O9"/>
  <c r="Q9"/>
  <c r="S9"/>
  <c r="U9"/>
  <c r="W9"/>
  <c r="Y9"/>
  <c r="E10"/>
  <c r="G10"/>
  <c r="I10"/>
  <c r="K10"/>
  <c r="M10"/>
  <c r="O10"/>
  <c r="Q10"/>
  <c r="S10"/>
  <c r="U10"/>
  <c r="W10"/>
  <c r="Y10"/>
  <c r="E11"/>
  <c r="G11"/>
  <c r="I11"/>
  <c r="K11"/>
  <c r="M11"/>
  <c r="O11"/>
  <c r="Q11"/>
  <c r="S11"/>
  <c r="U11"/>
  <c r="W11"/>
  <c r="Y11"/>
  <c r="E12"/>
  <c r="G12"/>
  <c r="I12"/>
  <c r="K12"/>
  <c r="M12"/>
  <c r="O12"/>
  <c r="Q12"/>
  <c r="S12"/>
  <c r="U12"/>
  <c r="W12"/>
  <c r="Y12"/>
  <c r="E13"/>
  <c r="G13"/>
  <c r="I13"/>
  <c r="K13"/>
  <c r="M13"/>
  <c r="O13"/>
  <c r="Q13"/>
  <c r="S13"/>
  <c r="U13"/>
  <c r="W13"/>
  <c r="Y13"/>
  <c r="E14"/>
  <c r="G14"/>
  <c r="I14"/>
  <c r="K14"/>
  <c r="M14"/>
  <c r="O14"/>
  <c r="Q14"/>
  <c r="S14"/>
  <c r="U14"/>
  <c r="W14"/>
  <c r="Y14"/>
  <c r="E15"/>
  <c r="G15"/>
  <c r="I15"/>
  <c r="K15"/>
  <c r="M15"/>
  <c r="O15"/>
  <c r="Q15"/>
  <c r="S15"/>
  <c r="U15"/>
  <c r="W15"/>
  <c r="Y15"/>
  <c r="E16"/>
  <c r="G16"/>
  <c r="I16"/>
  <c r="K16"/>
  <c r="M16"/>
  <c r="O16"/>
  <c r="Q16"/>
  <c r="S16"/>
  <c r="U16"/>
  <c r="W16"/>
  <c r="Y16"/>
  <c r="E17"/>
  <c r="G17"/>
  <c r="I17"/>
  <c r="K17"/>
  <c r="M17"/>
  <c r="O17"/>
  <c r="Q17"/>
  <c r="S17"/>
  <c r="U17"/>
  <c r="W17"/>
  <c r="Y17"/>
  <c r="E18"/>
  <c r="G18"/>
  <c r="I18"/>
  <c r="K18"/>
  <c r="M18"/>
  <c r="O18"/>
  <c r="Q18"/>
  <c r="S18"/>
  <c r="U18"/>
  <c r="W18"/>
  <c r="Y18"/>
  <c r="E19"/>
  <c r="G19"/>
  <c r="I19"/>
  <c r="K19"/>
  <c r="M19"/>
  <c r="O19"/>
  <c r="Q19"/>
  <c r="S19"/>
  <c r="U19"/>
  <c r="W19"/>
  <c r="Y19"/>
  <c r="L5" i="28"/>
  <c r="N5"/>
  <c r="P5"/>
  <c r="R5"/>
  <c r="T5"/>
  <c r="V5"/>
  <c r="X5"/>
  <c r="F6"/>
  <c r="H6"/>
  <c r="J6"/>
  <c r="L6"/>
  <c r="N6"/>
  <c r="P6"/>
  <c r="R6"/>
  <c r="T6"/>
  <c r="V6"/>
  <c r="X6"/>
  <c r="F7"/>
  <c r="H7"/>
  <c r="J7"/>
  <c r="L7"/>
  <c r="N7"/>
  <c r="P7"/>
  <c r="R7"/>
  <c r="T7"/>
  <c r="V7"/>
  <c r="X7"/>
  <c r="F8"/>
  <c r="H8"/>
  <c r="J8"/>
  <c r="L8"/>
  <c r="F20" i="37"/>
  <c r="F19"/>
  <c r="F18"/>
  <c r="F17"/>
  <c r="F16"/>
  <c r="F15"/>
  <c r="F14"/>
  <c r="F13"/>
  <c r="F12"/>
  <c r="F11"/>
  <c r="F10"/>
  <c r="F9"/>
  <c r="F8"/>
  <c r="F7"/>
  <c r="H20"/>
  <c r="H19"/>
  <c r="H18"/>
  <c r="H17"/>
  <c r="H16"/>
  <c r="H15"/>
  <c r="H14"/>
  <c r="H13"/>
  <c r="H12"/>
  <c r="H11"/>
  <c r="H10"/>
  <c r="H9"/>
  <c r="H8"/>
  <c r="H7"/>
  <c r="J20"/>
  <c r="J19"/>
  <c r="J18"/>
  <c r="J17"/>
  <c r="J16"/>
  <c r="J15"/>
  <c r="J14"/>
  <c r="J13"/>
  <c r="J12"/>
  <c r="J11"/>
  <c r="J10"/>
  <c r="J9"/>
  <c r="J8"/>
  <c r="J7"/>
  <c r="L20"/>
  <c r="L19"/>
  <c r="L18"/>
  <c r="L17"/>
  <c r="L16"/>
  <c r="L15"/>
  <c r="L14"/>
  <c r="L13"/>
  <c r="L12"/>
  <c r="L11"/>
  <c r="L10"/>
  <c r="L9"/>
  <c r="L8"/>
  <c r="L7"/>
  <c r="N20"/>
  <c r="N19"/>
  <c r="N18"/>
  <c r="N17"/>
  <c r="N16"/>
  <c r="N15"/>
  <c r="N14"/>
  <c r="N13"/>
  <c r="N12"/>
  <c r="N11"/>
  <c r="N10"/>
  <c r="N9"/>
  <c r="N8"/>
  <c r="N7"/>
  <c r="P20"/>
  <c r="P19"/>
  <c r="P18"/>
  <c r="P17"/>
  <c r="P16"/>
  <c r="P15"/>
  <c r="P14"/>
  <c r="P13"/>
  <c r="P12"/>
  <c r="P11"/>
  <c r="P10"/>
  <c r="P9"/>
  <c r="P8"/>
  <c r="P7"/>
  <c r="R20"/>
  <c r="R19"/>
  <c r="R18"/>
  <c r="R17"/>
  <c r="R16"/>
  <c r="R15"/>
  <c r="R14"/>
  <c r="R13"/>
  <c r="R12"/>
  <c r="R11"/>
  <c r="R10"/>
  <c r="R9"/>
  <c r="R8"/>
  <c r="R7"/>
  <c r="T20"/>
  <c r="T19"/>
  <c r="T18"/>
  <c r="T17"/>
  <c r="T16"/>
  <c r="T15"/>
  <c r="T14"/>
  <c r="T13"/>
  <c r="T12"/>
  <c r="T11"/>
  <c r="T10"/>
  <c r="T9"/>
  <c r="T8"/>
  <c r="T7"/>
  <c r="T6"/>
  <c r="V20"/>
  <c r="V19"/>
  <c r="V18"/>
  <c r="V17"/>
  <c r="V16"/>
  <c r="V15"/>
  <c r="V14"/>
  <c r="V13"/>
  <c r="V12"/>
  <c r="V11"/>
  <c r="V10"/>
  <c r="V9"/>
  <c r="V8"/>
  <c r="V7"/>
  <c r="V6"/>
  <c r="X20"/>
  <c r="X19"/>
  <c r="X18"/>
  <c r="X17"/>
  <c r="X16"/>
  <c r="X15"/>
  <c r="X14"/>
  <c r="X13"/>
  <c r="X12"/>
  <c r="X11"/>
  <c r="X10"/>
  <c r="X9"/>
  <c r="X8"/>
  <c r="X7"/>
  <c r="X6"/>
  <c r="E4" i="14"/>
  <c r="G4"/>
  <c r="I4"/>
  <c r="K4"/>
  <c r="M4"/>
  <c r="O4"/>
  <c r="Q4"/>
  <c r="S4"/>
  <c r="U4"/>
  <c r="W4"/>
  <c r="Y4"/>
  <c r="E5"/>
  <c r="G5"/>
  <c r="I5"/>
  <c r="K5"/>
  <c r="M5"/>
  <c r="O5"/>
  <c r="Q5"/>
  <c r="S5"/>
  <c r="U5"/>
  <c r="W5"/>
  <c r="Y5"/>
  <c r="E6"/>
  <c r="G6"/>
  <c r="I6"/>
  <c r="K6"/>
  <c r="M6"/>
  <c r="O6"/>
  <c r="Q6"/>
  <c r="S6"/>
  <c r="U6"/>
  <c r="W6"/>
  <c r="Y6"/>
  <c r="E7"/>
  <c r="G7"/>
  <c r="I7"/>
  <c r="K7"/>
  <c r="M7"/>
  <c r="O7"/>
  <c r="Q7"/>
  <c r="S7"/>
  <c r="U7"/>
  <c r="W7"/>
  <c r="Y7"/>
  <c r="E8"/>
  <c r="G8"/>
  <c r="I8"/>
  <c r="K8"/>
  <c r="M8"/>
  <c r="O8"/>
  <c r="Q8"/>
  <c r="S8"/>
  <c r="U8"/>
  <c r="W8"/>
  <c r="Y8"/>
  <c r="E9"/>
  <c r="G9"/>
  <c r="I9"/>
  <c r="K9"/>
  <c r="M9"/>
  <c r="O9"/>
  <c r="Q9"/>
  <c r="S9"/>
  <c r="U9"/>
  <c r="W9"/>
  <c r="Y9"/>
  <c r="E10"/>
  <c r="G10"/>
  <c r="I10"/>
  <c r="K10"/>
  <c r="M10"/>
  <c r="O10"/>
  <c r="Q10"/>
  <c r="S10"/>
  <c r="U10"/>
  <c r="W10"/>
  <c r="Y10"/>
  <c r="E11"/>
  <c r="G11"/>
  <c r="I11"/>
  <c r="K11"/>
  <c r="M11"/>
  <c r="O11"/>
  <c r="Q11"/>
  <c r="S11"/>
  <c r="U11"/>
  <c r="W11"/>
  <c r="Y11"/>
  <c r="E12"/>
  <c r="G12"/>
  <c r="I12"/>
  <c r="K12"/>
  <c r="M12"/>
  <c r="O12"/>
  <c r="Q12"/>
  <c r="S12"/>
  <c r="U12"/>
  <c r="W12"/>
  <c r="Y12"/>
  <c r="E13"/>
  <c r="G13"/>
  <c r="I13"/>
  <c r="K13"/>
  <c r="M13"/>
  <c r="O13"/>
  <c r="Q13"/>
  <c r="S13"/>
  <c r="U13"/>
  <c r="W13"/>
  <c r="Y13"/>
  <c r="E14"/>
  <c r="G14"/>
  <c r="I14"/>
  <c r="K14"/>
  <c r="M14"/>
  <c r="O14"/>
  <c r="Q14"/>
  <c r="S14"/>
  <c r="U14"/>
  <c r="W14"/>
  <c r="Y14"/>
  <c r="E15"/>
  <c r="G15"/>
  <c r="I15"/>
  <c r="K15"/>
  <c r="M15"/>
  <c r="O15"/>
  <c r="Q15"/>
  <c r="S15"/>
  <c r="U15"/>
  <c r="W15"/>
  <c r="Y15"/>
  <c r="E16"/>
  <c r="G16"/>
  <c r="I16"/>
  <c r="K16"/>
  <c r="M16"/>
  <c r="O16"/>
  <c r="Q16"/>
  <c r="S16"/>
  <c r="U16"/>
  <c r="W16"/>
  <c r="Y16"/>
  <c r="E17"/>
  <c r="G17"/>
  <c r="I17"/>
  <c r="K17"/>
  <c r="M17"/>
  <c r="O17"/>
  <c r="Q17"/>
  <c r="S17"/>
  <c r="U17"/>
  <c r="W17"/>
  <c r="Y17"/>
  <c r="E18"/>
  <c r="G18"/>
  <c r="I18"/>
  <c r="K18"/>
  <c r="M18"/>
  <c r="O18"/>
  <c r="Q18"/>
  <c r="S18"/>
  <c r="U18"/>
  <c r="W18"/>
  <c r="Y18"/>
  <c r="E19"/>
  <c r="G19"/>
  <c r="I19"/>
  <c r="K19"/>
  <c r="M19"/>
  <c r="O19"/>
  <c r="Q19"/>
  <c r="S19"/>
  <c r="U19"/>
  <c r="W19"/>
  <c r="Y19"/>
  <c r="F4" i="25"/>
  <c r="H4"/>
  <c r="J4"/>
  <c r="L4"/>
  <c r="N4"/>
  <c r="P4"/>
  <c r="R4"/>
  <c r="T4"/>
  <c r="V4"/>
  <c r="X4"/>
  <c r="F5"/>
  <c r="H5"/>
  <c r="J5"/>
  <c r="L5"/>
  <c r="N5"/>
  <c r="P5"/>
  <c r="R5"/>
  <c r="T5"/>
  <c r="V5"/>
  <c r="X5"/>
  <c r="F6"/>
  <c r="H6"/>
  <c r="J6"/>
  <c r="L6"/>
  <c r="N6"/>
  <c r="P6"/>
  <c r="R6"/>
  <c r="T6"/>
  <c r="V6"/>
  <c r="X6"/>
  <c r="F7"/>
  <c r="H7"/>
  <c r="J7"/>
  <c r="L7"/>
  <c r="N7"/>
  <c r="P7"/>
  <c r="R7"/>
  <c r="T7"/>
  <c r="V7"/>
  <c r="X7"/>
  <c r="F8"/>
  <c r="H8"/>
  <c r="J8"/>
  <c r="L8"/>
  <c r="N8"/>
  <c r="P8"/>
  <c r="R8"/>
  <c r="T8"/>
  <c r="V8"/>
  <c r="X8"/>
  <c r="F9"/>
  <c r="H9"/>
  <c r="J9"/>
  <c r="L9"/>
  <c r="N9"/>
  <c r="P9"/>
  <c r="R9"/>
  <c r="T9"/>
  <c r="V9"/>
  <c r="X9"/>
  <c r="F10"/>
  <c r="H10"/>
  <c r="J10"/>
  <c r="L10"/>
  <c r="N10"/>
  <c r="P10"/>
  <c r="R10"/>
  <c r="T10"/>
  <c r="V10"/>
  <c r="X10"/>
  <c r="F11"/>
  <c r="H11"/>
  <c r="J11"/>
  <c r="L11"/>
  <c r="N11"/>
  <c r="P11"/>
  <c r="R11"/>
  <c r="T11"/>
  <c r="V11"/>
  <c r="X11"/>
  <c r="F12"/>
  <c r="H12"/>
  <c r="J12"/>
  <c r="L12"/>
  <c r="N12"/>
  <c r="P12"/>
  <c r="R12"/>
  <c r="T12"/>
  <c r="V12"/>
  <c r="X12"/>
  <c r="F13"/>
  <c r="H13"/>
  <c r="J13"/>
  <c r="L13"/>
  <c r="N13"/>
  <c r="P13"/>
  <c r="R13"/>
  <c r="T13"/>
  <c r="V13"/>
  <c r="X13"/>
  <c r="F14"/>
  <c r="H14"/>
  <c r="J14"/>
  <c r="L14"/>
  <c r="N14"/>
  <c r="P14"/>
  <c r="R14"/>
  <c r="T14"/>
  <c r="V14"/>
  <c r="X14"/>
  <c r="F15"/>
  <c r="H15"/>
  <c r="J15"/>
  <c r="L15"/>
  <c r="N15"/>
  <c r="P15"/>
  <c r="R15"/>
  <c r="T15"/>
  <c r="V15"/>
  <c r="X15"/>
  <c r="F16"/>
  <c r="H16"/>
  <c r="J16"/>
  <c r="L16"/>
  <c r="N16"/>
  <c r="P16"/>
  <c r="R16"/>
  <c r="T16"/>
  <c r="V16"/>
  <c r="X16"/>
  <c r="F17"/>
  <c r="H17"/>
  <c r="J17"/>
  <c r="L17"/>
  <c r="N17"/>
  <c r="P17"/>
  <c r="R17"/>
  <c r="T17"/>
  <c r="V17"/>
  <c r="X17"/>
  <c r="F18"/>
  <c r="H18"/>
  <c r="J18"/>
  <c r="L18"/>
  <c r="N18"/>
  <c r="P18"/>
  <c r="R18"/>
  <c r="T18"/>
  <c r="V18"/>
  <c r="X18"/>
  <c r="F19"/>
  <c r="H19"/>
  <c r="J19"/>
  <c r="L19"/>
  <c r="N19"/>
  <c r="P19"/>
  <c r="R19"/>
  <c r="T19"/>
  <c r="V19"/>
  <c r="X19"/>
  <c r="E4" i="37"/>
  <c r="G4"/>
  <c r="I4"/>
  <c r="K4"/>
  <c r="M4"/>
  <c r="O4"/>
  <c r="Q4"/>
  <c r="S4"/>
  <c r="U4"/>
  <c r="W4"/>
  <c r="Y4"/>
  <c r="E5"/>
  <c r="G5"/>
  <c r="I5"/>
  <c r="K5"/>
  <c r="M5"/>
  <c r="O5"/>
  <c r="Q5"/>
  <c r="E20"/>
  <c r="E19"/>
  <c r="E18"/>
  <c r="E17"/>
  <c r="E16"/>
  <c r="E15"/>
  <c r="E14"/>
  <c r="E13"/>
  <c r="E12"/>
  <c r="E11"/>
  <c r="E10"/>
  <c r="E9"/>
  <c r="E8"/>
  <c r="E7"/>
  <c r="G20"/>
  <c r="G19"/>
  <c r="G18"/>
  <c r="G17"/>
  <c r="G16"/>
  <c r="G15"/>
  <c r="G14"/>
  <c r="G13"/>
  <c r="G12"/>
  <c r="G11"/>
  <c r="G10"/>
  <c r="G9"/>
  <c r="G8"/>
  <c r="G7"/>
  <c r="I20"/>
  <c r="I19"/>
  <c r="I18"/>
  <c r="I17"/>
  <c r="I16"/>
  <c r="I15"/>
  <c r="I14"/>
  <c r="I13"/>
  <c r="I12"/>
  <c r="I11"/>
  <c r="I10"/>
  <c r="I9"/>
  <c r="I8"/>
  <c r="I7"/>
  <c r="K20"/>
  <c r="K19"/>
  <c r="K18"/>
  <c r="K17"/>
  <c r="K16"/>
  <c r="K15"/>
  <c r="K14"/>
  <c r="K13"/>
  <c r="K12"/>
  <c r="K11"/>
  <c r="K10"/>
  <c r="K9"/>
  <c r="K8"/>
  <c r="K7"/>
  <c r="M20"/>
  <c r="M19"/>
  <c r="M18"/>
  <c r="M17"/>
  <c r="M16"/>
  <c r="M15"/>
  <c r="M14"/>
  <c r="M13"/>
  <c r="M12"/>
  <c r="M11"/>
  <c r="M10"/>
  <c r="M9"/>
  <c r="M8"/>
  <c r="M7"/>
  <c r="O20"/>
  <c r="O19"/>
  <c r="O18"/>
  <c r="O17"/>
  <c r="O16"/>
  <c r="O15"/>
  <c r="O14"/>
  <c r="O13"/>
  <c r="O12"/>
  <c r="O11"/>
  <c r="O10"/>
  <c r="O9"/>
  <c r="O8"/>
  <c r="O7"/>
  <c r="Q20"/>
  <c r="Q19"/>
  <c r="Q18"/>
  <c r="Q17"/>
  <c r="Q16"/>
  <c r="Q15"/>
  <c r="Q14"/>
  <c r="Q13"/>
  <c r="Q12"/>
  <c r="Q11"/>
  <c r="Q10"/>
  <c r="Q9"/>
  <c r="Q8"/>
  <c r="Q7"/>
  <c r="S20"/>
  <c r="S19"/>
  <c r="S18"/>
  <c r="S17"/>
  <c r="S16"/>
  <c r="S15"/>
  <c r="S14"/>
  <c r="S13"/>
  <c r="S12"/>
  <c r="S11"/>
  <c r="S10"/>
  <c r="S9"/>
  <c r="S8"/>
  <c r="S7"/>
  <c r="S6"/>
  <c r="U20"/>
  <c r="U19"/>
  <c r="U18"/>
  <c r="U17"/>
  <c r="U16"/>
  <c r="U15"/>
  <c r="U14"/>
  <c r="U13"/>
  <c r="U12"/>
  <c r="U11"/>
  <c r="U10"/>
  <c r="U9"/>
  <c r="U8"/>
  <c r="U7"/>
  <c r="U6"/>
  <c r="W20"/>
  <c r="W19"/>
  <c r="W18"/>
  <c r="W17"/>
  <c r="W16"/>
  <c r="W15"/>
  <c r="W14"/>
  <c r="W13"/>
  <c r="W12"/>
  <c r="W11"/>
  <c r="W10"/>
  <c r="W9"/>
  <c r="W8"/>
  <c r="W7"/>
  <c r="W6"/>
  <c r="Y20"/>
  <c r="Y19"/>
  <c r="Y18"/>
  <c r="Y17"/>
  <c r="Y16"/>
  <c r="Y15"/>
  <c r="Y14"/>
  <c r="Y13"/>
  <c r="Y12"/>
  <c r="Y11"/>
  <c r="Y10"/>
  <c r="Y9"/>
  <c r="Y8"/>
  <c r="Y7"/>
  <c r="Y6"/>
  <c r="J5" i="14"/>
  <c r="L5"/>
  <c r="N5"/>
  <c r="P5"/>
  <c r="R5"/>
  <c r="T5"/>
  <c r="V5"/>
  <c r="X5"/>
  <c r="F6"/>
  <c r="H6"/>
  <c r="J6"/>
  <c r="L6"/>
  <c r="N6"/>
  <c r="P6"/>
  <c r="R6"/>
  <c r="T6"/>
  <c r="V6"/>
  <c r="X6"/>
  <c r="F7"/>
  <c r="H7"/>
  <c r="J7"/>
  <c r="L7"/>
  <c r="N7"/>
  <c r="P7"/>
  <c r="R7"/>
  <c r="T7"/>
  <c r="V7"/>
  <c r="X7"/>
  <c r="F8"/>
  <c r="H8"/>
  <c r="J8"/>
  <c r="L8"/>
  <c r="N8"/>
  <c r="P8"/>
  <c r="R8"/>
  <c r="T8"/>
  <c r="V8"/>
  <c r="X8"/>
  <c r="F9"/>
  <c r="H9"/>
  <c r="J9"/>
  <c r="L9"/>
  <c r="N9"/>
  <c r="P9"/>
  <c r="R9"/>
  <c r="T9"/>
  <c r="V9"/>
  <c r="X9"/>
  <c r="F10"/>
  <c r="H10"/>
  <c r="J10"/>
  <c r="L10"/>
  <c r="N10"/>
  <c r="P10"/>
  <c r="R10"/>
  <c r="T10"/>
  <c r="V10"/>
  <c r="X10"/>
  <c r="F11"/>
  <c r="H11"/>
  <c r="J11"/>
  <c r="L11"/>
  <c r="N11"/>
  <c r="P11"/>
  <c r="R11"/>
  <c r="T11"/>
  <c r="V11"/>
  <c r="X11"/>
  <c r="F12"/>
  <c r="H12"/>
  <c r="J12"/>
  <c r="L12"/>
  <c r="N12"/>
  <c r="P12"/>
  <c r="R12"/>
  <c r="T12"/>
  <c r="V12"/>
  <c r="X12"/>
  <c r="F13"/>
  <c r="H13"/>
  <c r="J13"/>
  <c r="L13"/>
  <c r="N13"/>
  <c r="P13"/>
  <c r="R13"/>
  <c r="T13"/>
  <c r="V13"/>
  <c r="X13"/>
  <c r="F14"/>
  <c r="H14"/>
  <c r="J14"/>
  <c r="L14"/>
  <c r="N14"/>
  <c r="P14"/>
  <c r="R14"/>
  <c r="T14"/>
  <c r="V14"/>
  <c r="X14"/>
  <c r="F15"/>
  <c r="H15"/>
  <c r="J15"/>
  <c r="L15"/>
  <c r="N15"/>
  <c r="P15"/>
  <c r="R15"/>
  <c r="T15"/>
  <c r="V15"/>
  <c r="X15"/>
  <c r="F16"/>
  <c r="H16"/>
  <c r="J16"/>
  <c r="L16"/>
  <c r="N16"/>
  <c r="P16"/>
  <c r="R16"/>
  <c r="T16"/>
  <c r="V16"/>
  <c r="X16"/>
  <c r="F17"/>
  <c r="H17"/>
  <c r="J17"/>
  <c r="L17"/>
  <c r="N17"/>
  <c r="P17"/>
  <c r="R17"/>
  <c r="T17"/>
  <c r="V17"/>
  <c r="X17"/>
  <c r="F18"/>
  <c r="H18"/>
  <c r="J18"/>
  <c r="L18"/>
  <c r="N18"/>
  <c r="P18"/>
  <c r="R18"/>
  <c r="T18"/>
  <c r="V18"/>
  <c r="X18"/>
  <c r="F19"/>
  <c r="H19"/>
  <c r="J19"/>
  <c r="L19"/>
  <c r="N19"/>
  <c r="P19"/>
  <c r="R19"/>
  <c r="T19"/>
  <c r="V19"/>
  <c r="X19"/>
  <c r="M4" i="25"/>
  <c r="O4"/>
  <c r="Q4"/>
  <c r="S4"/>
  <c r="U4"/>
  <c r="W4"/>
  <c r="Y4"/>
  <c r="E5"/>
  <c r="G5"/>
  <c r="I5"/>
  <c r="K5"/>
  <c r="M5"/>
  <c r="O5"/>
  <c r="Q5"/>
  <c r="S5"/>
  <c r="U5"/>
  <c r="W5"/>
  <c r="Y5"/>
  <c r="E6"/>
  <c r="G6"/>
  <c r="I6"/>
  <c r="K6"/>
  <c r="M6"/>
  <c r="O6"/>
  <c r="Q6"/>
  <c r="S6"/>
  <c r="U6"/>
  <c r="W6"/>
  <c r="Y6"/>
  <c r="E7"/>
  <c r="G7"/>
  <c r="I7"/>
  <c r="K7"/>
  <c r="M7"/>
  <c r="O7"/>
  <c r="Q7"/>
  <c r="S7"/>
  <c r="U7"/>
  <c r="W7"/>
  <c r="Y7"/>
  <c r="E8"/>
  <c r="G8"/>
  <c r="I8"/>
  <c r="K8"/>
  <c r="M8"/>
  <c r="O8"/>
  <c r="Q8"/>
  <c r="S8"/>
  <c r="U8"/>
  <c r="W8"/>
  <c r="Y8"/>
  <c r="E9"/>
  <c r="G9"/>
  <c r="I9"/>
  <c r="K9"/>
  <c r="M9"/>
  <c r="O9"/>
  <c r="Q9"/>
  <c r="S9"/>
  <c r="U9"/>
  <c r="W9"/>
  <c r="Y9"/>
  <c r="E10"/>
  <c r="G10"/>
  <c r="I10"/>
  <c r="K10"/>
  <c r="M10"/>
  <c r="O10"/>
  <c r="Q10"/>
  <c r="S10"/>
  <c r="U10"/>
  <c r="W10"/>
  <c r="Y10"/>
  <c r="E11"/>
  <c r="G11"/>
  <c r="I11"/>
  <c r="K11"/>
  <c r="M11"/>
  <c r="O11"/>
  <c r="Q11"/>
  <c r="S11"/>
  <c r="U11"/>
  <c r="W11"/>
  <c r="Y11"/>
  <c r="E12"/>
  <c r="G12"/>
  <c r="I12"/>
  <c r="K12"/>
  <c r="M12"/>
  <c r="O12"/>
  <c r="Q12"/>
  <c r="S12"/>
  <c r="U12"/>
  <c r="W12"/>
  <c r="Y12"/>
  <c r="E13"/>
  <c r="G13"/>
  <c r="I13"/>
  <c r="K13"/>
  <c r="M13"/>
  <c r="O13"/>
  <c r="Q13"/>
  <c r="S13"/>
  <c r="U13"/>
  <c r="W13"/>
  <c r="Y13"/>
  <c r="E14"/>
  <c r="G14"/>
  <c r="I14"/>
  <c r="K14"/>
  <c r="M14"/>
  <c r="O14"/>
  <c r="Q14"/>
  <c r="S14"/>
  <c r="U14"/>
  <c r="W14"/>
  <c r="Y14"/>
  <c r="E15"/>
  <c r="G15"/>
  <c r="I15"/>
  <c r="K15"/>
  <c r="M15"/>
  <c r="O15"/>
  <c r="Q15"/>
  <c r="S15"/>
  <c r="U15"/>
  <c r="W15"/>
  <c r="Y15"/>
  <c r="E16"/>
  <c r="G16"/>
  <c r="I16"/>
  <c r="K16"/>
  <c r="M16"/>
  <c r="O16"/>
  <c r="Q16"/>
  <c r="S16"/>
  <c r="U16"/>
  <c r="W16"/>
  <c r="Y16"/>
  <c r="E17"/>
  <c r="G17"/>
  <c r="I17"/>
  <c r="K17"/>
  <c r="M17"/>
  <c r="O17"/>
  <c r="Q17"/>
  <c r="S17"/>
  <c r="U17"/>
  <c r="W17"/>
  <c r="Y17"/>
  <c r="E18"/>
  <c r="G18"/>
  <c r="I18"/>
  <c r="K18"/>
  <c r="M18"/>
  <c r="O18"/>
  <c r="Q18"/>
  <c r="S18"/>
  <c r="U18"/>
  <c r="W18"/>
  <c r="Y18"/>
  <c r="E19"/>
  <c r="G19"/>
  <c r="I19"/>
  <c r="K19"/>
  <c r="M19"/>
  <c r="O19"/>
  <c r="Q19"/>
  <c r="S19"/>
  <c r="U19"/>
  <c r="W19"/>
  <c r="Y19"/>
  <c r="V5" i="37"/>
  <c r="X5"/>
  <c r="F6"/>
  <c r="H6"/>
  <c r="J6"/>
  <c r="L6"/>
  <c r="N6"/>
  <c r="P6"/>
  <c r="R6"/>
  <c r="F20" i="35"/>
  <c r="F19"/>
  <c r="F18"/>
  <c r="F17"/>
  <c r="F16"/>
  <c r="F15"/>
  <c r="H20"/>
  <c r="H19"/>
  <c r="H18"/>
  <c r="H17"/>
  <c r="H16"/>
  <c r="H15"/>
  <c r="H14"/>
  <c r="J20"/>
  <c r="J19"/>
  <c r="J18"/>
  <c r="J17"/>
  <c r="J16"/>
  <c r="J15"/>
  <c r="J14"/>
  <c r="L20"/>
  <c r="L19"/>
  <c r="L18"/>
  <c r="L17"/>
  <c r="L16"/>
  <c r="L15"/>
  <c r="L14"/>
  <c r="N20"/>
  <c r="N19"/>
  <c r="N18"/>
  <c r="N17"/>
  <c r="N16"/>
  <c r="N15"/>
  <c r="N14"/>
  <c r="P20"/>
  <c r="P19"/>
  <c r="P18"/>
  <c r="P17"/>
  <c r="P16"/>
  <c r="P15"/>
  <c r="P14"/>
  <c r="R20"/>
  <c r="R19"/>
  <c r="R18"/>
  <c r="R17"/>
  <c r="R16"/>
  <c r="R15"/>
  <c r="R14"/>
  <c r="T20"/>
  <c r="T19"/>
  <c r="T18"/>
  <c r="T17"/>
  <c r="T16"/>
  <c r="T15"/>
  <c r="T14"/>
  <c r="V20"/>
  <c r="V19"/>
  <c r="V18"/>
  <c r="V17"/>
  <c r="V16"/>
  <c r="V15"/>
  <c r="V14"/>
  <c r="X20"/>
  <c r="X19"/>
  <c r="X18"/>
  <c r="X17"/>
  <c r="X16"/>
  <c r="X15"/>
  <c r="X14"/>
  <c r="E4"/>
  <c r="G4"/>
  <c r="I4"/>
  <c r="K4"/>
  <c r="M4"/>
  <c r="O4"/>
  <c r="Q4"/>
  <c r="S4"/>
  <c r="U4"/>
  <c r="W4"/>
  <c r="Y4"/>
  <c r="E5"/>
  <c r="G5"/>
  <c r="I5"/>
  <c r="K5"/>
  <c r="M5"/>
  <c r="O5"/>
  <c r="Q5"/>
  <c r="S5"/>
  <c r="U5"/>
  <c r="W5"/>
  <c r="Y5"/>
  <c r="E6"/>
  <c r="G6"/>
  <c r="I6"/>
  <c r="K6"/>
  <c r="M6"/>
  <c r="O6"/>
  <c r="Q6"/>
  <c r="S6"/>
  <c r="U6"/>
  <c r="W6"/>
  <c r="Y6"/>
  <c r="E7"/>
  <c r="G7"/>
  <c r="I7"/>
  <c r="K7"/>
  <c r="M7"/>
  <c r="O7"/>
  <c r="Q7"/>
  <c r="S7"/>
  <c r="U7"/>
  <c r="W7"/>
  <c r="Y7"/>
  <c r="E8"/>
  <c r="G8"/>
  <c r="I8"/>
  <c r="K8"/>
  <c r="M8"/>
  <c r="O8"/>
  <c r="Q8"/>
  <c r="S8"/>
  <c r="U8"/>
  <c r="W8"/>
  <c r="Y8"/>
  <c r="E9"/>
  <c r="G9"/>
  <c r="I9"/>
  <c r="K9"/>
  <c r="M9"/>
  <c r="O9"/>
  <c r="Q9"/>
  <c r="S9"/>
  <c r="U9"/>
  <c r="W9"/>
  <c r="Y9"/>
  <c r="E10"/>
  <c r="G10"/>
  <c r="I10"/>
  <c r="K10"/>
  <c r="M10"/>
  <c r="O10"/>
  <c r="Q10"/>
  <c r="S10"/>
  <c r="U10"/>
  <c r="W10"/>
  <c r="Y10"/>
  <c r="E11"/>
  <c r="G11"/>
  <c r="I11"/>
  <c r="K11"/>
  <c r="M11"/>
  <c r="O11"/>
  <c r="Q11"/>
  <c r="S11"/>
  <c r="U11"/>
  <c r="W11"/>
  <c r="Y11"/>
  <c r="E12"/>
  <c r="G12"/>
  <c r="I12"/>
  <c r="K12"/>
  <c r="M12"/>
  <c r="O12"/>
  <c r="Q12"/>
  <c r="S12"/>
  <c r="U12"/>
  <c r="W12"/>
  <c r="Y12"/>
  <c r="E13"/>
  <c r="G13"/>
  <c r="K13"/>
  <c r="E20"/>
  <c r="E19"/>
  <c r="E18"/>
  <c r="E17"/>
  <c r="E16"/>
  <c r="E15"/>
  <c r="G20"/>
  <c r="G19"/>
  <c r="G18"/>
  <c r="G17"/>
  <c r="G16"/>
  <c r="G15"/>
  <c r="I20"/>
  <c r="I19"/>
  <c r="I18"/>
  <c r="I17"/>
  <c r="I16"/>
  <c r="I15"/>
  <c r="K20"/>
  <c r="K19"/>
  <c r="K18"/>
  <c r="K17"/>
  <c r="K16"/>
  <c r="K15"/>
  <c r="M20"/>
  <c r="M19"/>
  <c r="M18"/>
  <c r="M17"/>
  <c r="M16"/>
  <c r="M15"/>
  <c r="O20"/>
  <c r="O19"/>
  <c r="O18"/>
  <c r="O17"/>
  <c r="O16"/>
  <c r="O15"/>
  <c r="O14"/>
  <c r="Q20"/>
  <c r="Q19"/>
  <c r="Q18"/>
  <c r="Q17"/>
  <c r="Q16"/>
  <c r="Q15"/>
  <c r="Q14"/>
  <c r="S20"/>
  <c r="S19"/>
  <c r="S18"/>
  <c r="S17"/>
  <c r="S16"/>
  <c r="S15"/>
  <c r="S14"/>
  <c r="U20"/>
  <c r="U19"/>
  <c r="U18"/>
  <c r="U17"/>
  <c r="U16"/>
  <c r="U15"/>
  <c r="U14"/>
  <c r="W20"/>
  <c r="W19"/>
  <c r="W18"/>
  <c r="W17"/>
  <c r="W16"/>
  <c r="W15"/>
  <c r="W14"/>
  <c r="Y20"/>
  <c r="Y19"/>
  <c r="Y18"/>
  <c r="Y17"/>
  <c r="Y16"/>
  <c r="Y15"/>
  <c r="Y14"/>
  <c r="N4"/>
  <c r="P4"/>
  <c r="R4"/>
  <c r="T4"/>
  <c r="V4"/>
  <c r="X4"/>
  <c r="F5"/>
  <c r="H5"/>
  <c r="J5"/>
  <c r="L5"/>
  <c r="N5"/>
  <c r="P5"/>
  <c r="R5"/>
  <c r="T5"/>
  <c r="V5"/>
  <c r="X5"/>
  <c r="F6"/>
  <c r="H6"/>
  <c r="J6"/>
  <c r="L6"/>
  <c r="N6"/>
  <c r="P6"/>
  <c r="R6"/>
  <c r="T6"/>
  <c r="V6"/>
  <c r="X6"/>
  <c r="F7"/>
  <c r="H7"/>
  <c r="J7"/>
  <c r="L7"/>
  <c r="N7"/>
  <c r="P7"/>
  <c r="R7"/>
  <c r="T7"/>
  <c r="V7"/>
  <c r="X7"/>
  <c r="F8"/>
  <c r="H8"/>
  <c r="J8"/>
  <c r="L8"/>
  <c r="N8"/>
  <c r="P8"/>
  <c r="R8"/>
  <c r="T8"/>
  <c r="V8"/>
  <c r="X8"/>
  <c r="F9"/>
  <c r="H9"/>
  <c r="J9"/>
  <c r="L9"/>
  <c r="N9"/>
  <c r="P9"/>
  <c r="R9"/>
  <c r="T9"/>
  <c r="V9"/>
  <c r="X9"/>
  <c r="F10"/>
  <c r="H10"/>
  <c r="J10"/>
  <c r="L10"/>
  <c r="N10"/>
  <c r="P10"/>
  <c r="R10"/>
  <c r="T10"/>
  <c r="V10"/>
  <c r="X10"/>
  <c r="F11"/>
  <c r="H11"/>
  <c r="J11"/>
  <c r="L11"/>
  <c r="N11"/>
  <c r="P11"/>
  <c r="R11"/>
  <c r="T11"/>
  <c r="V11"/>
  <c r="X11"/>
  <c r="F12"/>
  <c r="H12"/>
  <c r="J12"/>
  <c r="L12"/>
  <c r="N12"/>
  <c r="P12"/>
  <c r="R12"/>
  <c r="T12"/>
  <c r="V12"/>
  <c r="X12"/>
  <c r="F13"/>
  <c r="H13"/>
  <c r="J13"/>
  <c r="L13"/>
  <c r="N13"/>
  <c r="P13"/>
  <c r="R13"/>
  <c r="T13"/>
  <c r="V13"/>
  <c r="X13"/>
  <c r="F14"/>
  <c r="I14"/>
  <c r="M14"/>
  <c r="F5" i="12"/>
  <c r="H5"/>
  <c r="J5"/>
  <c r="L5"/>
  <c r="N5"/>
  <c r="P5"/>
  <c r="R5"/>
  <c r="T5"/>
  <c r="V5"/>
  <c r="X5"/>
  <c r="F6"/>
  <c r="H6"/>
  <c r="J6"/>
  <c r="L6"/>
  <c r="N6"/>
  <c r="P6"/>
  <c r="R6"/>
  <c r="T6"/>
  <c r="V6"/>
  <c r="X6"/>
  <c r="F7"/>
  <c r="H7"/>
  <c r="J7"/>
  <c r="L7"/>
  <c r="N7"/>
  <c r="P7"/>
  <c r="R7"/>
  <c r="T7"/>
  <c r="V7"/>
  <c r="X7"/>
  <c r="F8"/>
  <c r="H8"/>
  <c r="J8"/>
  <c r="L8"/>
  <c r="N8"/>
  <c r="P8"/>
  <c r="R8"/>
  <c r="T8"/>
  <c r="V8"/>
  <c r="X8"/>
  <c r="F9"/>
  <c r="H9"/>
  <c r="J9"/>
  <c r="L9"/>
  <c r="N9"/>
  <c r="P9"/>
  <c r="R9"/>
  <c r="T9"/>
  <c r="V9"/>
  <c r="X9"/>
  <c r="F10"/>
  <c r="H10"/>
  <c r="J10"/>
  <c r="L10"/>
  <c r="N10"/>
  <c r="P10"/>
  <c r="R10"/>
  <c r="T10"/>
  <c r="V10"/>
  <c r="X10"/>
  <c r="F11"/>
  <c r="H11"/>
  <c r="J11"/>
  <c r="L11"/>
  <c r="N11"/>
  <c r="P11"/>
  <c r="R11"/>
  <c r="T11"/>
  <c r="V11"/>
  <c r="X11"/>
  <c r="F12"/>
  <c r="H12"/>
  <c r="J12"/>
  <c r="L12"/>
  <c r="N12"/>
  <c r="P12"/>
  <c r="R12"/>
  <c r="T12"/>
  <c r="V12"/>
  <c r="X12"/>
  <c r="F13"/>
  <c r="H13"/>
  <c r="J13"/>
  <c r="L13"/>
  <c r="N13"/>
  <c r="P13"/>
  <c r="R13"/>
  <c r="T13"/>
  <c r="V13"/>
  <c r="X13"/>
  <c r="F14"/>
  <c r="H14"/>
  <c r="J14"/>
  <c r="L14"/>
  <c r="N14"/>
  <c r="P14"/>
  <c r="R14"/>
  <c r="T14"/>
  <c r="V14"/>
  <c r="X14"/>
  <c r="F15"/>
  <c r="H15"/>
  <c r="J15"/>
  <c r="L15"/>
  <c r="N15"/>
  <c r="P15"/>
  <c r="R15"/>
  <c r="T15"/>
  <c r="V15"/>
  <c r="X15"/>
  <c r="F16"/>
  <c r="H16"/>
  <c r="J16"/>
  <c r="L16"/>
  <c r="N16"/>
  <c r="P16"/>
  <c r="R16"/>
  <c r="T16"/>
  <c r="V16"/>
  <c r="X16"/>
  <c r="F17"/>
  <c r="H17"/>
  <c r="J17"/>
  <c r="L17"/>
  <c r="N17"/>
  <c r="P17"/>
  <c r="R17"/>
  <c r="T17"/>
  <c r="V17"/>
  <c r="X17"/>
  <c r="F18"/>
  <c r="H18"/>
  <c r="J18"/>
  <c r="L18"/>
  <c r="N18"/>
  <c r="P18"/>
  <c r="R18"/>
  <c r="T18"/>
  <c r="V18"/>
  <c r="X18"/>
  <c r="F19"/>
  <c r="H19"/>
  <c r="J19"/>
  <c r="L19"/>
  <c r="N19"/>
  <c r="P19"/>
  <c r="R19"/>
  <c r="T19"/>
  <c r="V19"/>
  <c r="X19"/>
  <c r="E4"/>
  <c r="G4"/>
  <c r="I4"/>
  <c r="K4"/>
  <c r="M4"/>
  <c r="O4"/>
  <c r="Q4"/>
  <c r="S4"/>
  <c r="U4"/>
  <c r="W4"/>
  <c r="Y4"/>
  <c r="E5"/>
  <c r="G5"/>
  <c r="I5"/>
  <c r="K5"/>
  <c r="M5"/>
  <c r="O5"/>
  <c r="Q5"/>
  <c r="S5"/>
  <c r="U5"/>
  <c r="W5"/>
  <c r="Y5"/>
  <c r="E6"/>
  <c r="G6"/>
  <c r="I6"/>
  <c r="K6"/>
  <c r="M6"/>
  <c r="O6"/>
  <c r="Q6"/>
  <c r="S6"/>
  <c r="U6"/>
  <c r="W6"/>
  <c r="Y6"/>
  <c r="E7"/>
  <c r="G7"/>
  <c r="I7"/>
  <c r="K7"/>
  <c r="M7"/>
  <c r="O7"/>
  <c r="Q7"/>
  <c r="S7"/>
  <c r="U7"/>
  <c r="W7"/>
  <c r="Y7"/>
  <c r="E8"/>
  <c r="G8"/>
  <c r="I8"/>
  <c r="K8"/>
  <c r="M8"/>
  <c r="O8"/>
  <c r="Q8"/>
  <c r="S8"/>
  <c r="U8"/>
  <c r="W8"/>
  <c r="Y8"/>
  <c r="E9"/>
  <c r="G9"/>
  <c r="I9"/>
  <c r="K9"/>
  <c r="M9"/>
  <c r="O9"/>
  <c r="Q9"/>
  <c r="S9"/>
  <c r="U9"/>
  <c r="W9"/>
  <c r="Y9"/>
  <c r="E10"/>
  <c r="G10"/>
  <c r="I10"/>
  <c r="K10"/>
  <c r="M10"/>
  <c r="O10"/>
  <c r="Q10"/>
  <c r="S10"/>
  <c r="U10"/>
  <c r="W10"/>
  <c r="Y10"/>
  <c r="E11"/>
  <c r="G11"/>
  <c r="I11"/>
  <c r="K11"/>
  <c r="M11"/>
  <c r="O11"/>
  <c r="Q11"/>
  <c r="S11"/>
  <c r="U11"/>
  <c r="W11"/>
  <c r="Y11"/>
  <c r="E12"/>
  <c r="G12"/>
  <c r="I12"/>
  <c r="K12"/>
  <c r="M12"/>
  <c r="O12"/>
  <c r="Q12"/>
  <c r="S12"/>
  <c r="U12"/>
  <c r="W12"/>
  <c r="Y12"/>
  <c r="E13"/>
  <c r="G13"/>
  <c r="I13"/>
  <c r="K13"/>
  <c r="M13"/>
  <c r="O13"/>
  <c r="Q13"/>
  <c r="S13"/>
  <c r="U13"/>
  <c r="W13"/>
  <c r="Y13"/>
  <c r="E14"/>
  <c r="G14"/>
  <c r="I14"/>
  <c r="K14"/>
  <c r="M14"/>
  <c r="O14"/>
  <c r="Q14"/>
  <c r="S14"/>
  <c r="U14"/>
  <c r="W14"/>
  <c r="Y14"/>
  <c r="E15"/>
  <c r="G15"/>
  <c r="I15"/>
  <c r="K15"/>
  <c r="M15"/>
  <c r="O15"/>
  <c r="Q15"/>
  <c r="S15"/>
  <c r="U15"/>
  <c r="W15"/>
  <c r="Y15"/>
  <c r="E16"/>
  <c r="G16"/>
  <c r="I16"/>
  <c r="K16"/>
  <c r="M16"/>
  <c r="O16"/>
  <c r="Q16"/>
  <c r="S16"/>
  <c r="U16"/>
  <c r="W16"/>
  <c r="Y16"/>
  <c r="E17"/>
  <c r="G17"/>
  <c r="I17"/>
  <c r="K17"/>
  <c r="M17"/>
  <c r="O17"/>
  <c r="Q17"/>
  <c r="S17"/>
  <c r="U17"/>
  <c r="W17"/>
  <c r="Y17"/>
  <c r="E18"/>
  <c r="G18"/>
  <c r="I18"/>
  <c r="K18"/>
  <c r="M18"/>
  <c r="O18"/>
  <c r="Q18"/>
  <c r="S18"/>
  <c r="U18"/>
  <c r="W18"/>
  <c r="Y18"/>
  <c r="E19"/>
  <c r="G19"/>
  <c r="I19"/>
  <c r="K19"/>
  <c r="M19"/>
  <c r="O19"/>
  <c r="Q19"/>
  <c r="S19"/>
  <c r="U19"/>
  <c r="W19"/>
  <c r="Y19"/>
  <c r="D36" i="2"/>
  <c r="P21" i="12" l="1"/>
  <c r="F22"/>
  <c r="G22"/>
  <c r="AD36" i="2"/>
  <c r="D49"/>
  <c r="F22" i="35"/>
  <c r="F22" i="25"/>
  <c r="F22" i="28"/>
  <c r="F22" i="40"/>
  <c r="E7" i="2"/>
  <c r="D7"/>
  <c r="D13"/>
  <c r="D8"/>
  <c r="F24" i="21" l="1"/>
  <c r="F26"/>
  <c r="F25"/>
  <c r="F4"/>
  <c r="F6"/>
  <c r="F8"/>
  <c r="F10"/>
  <c r="F12"/>
  <c r="F14"/>
  <c r="F16"/>
  <c r="F18"/>
  <c r="F20"/>
  <c r="F5"/>
  <c r="F7"/>
  <c r="F9"/>
  <c r="F11"/>
  <c r="F13"/>
  <c r="F15"/>
  <c r="F17"/>
  <c r="F19"/>
  <c r="F22" i="30"/>
  <c r="F22" i="16"/>
  <c r="F22" i="14"/>
  <c r="F22" i="37"/>
  <c r="D21" i="2"/>
  <c r="AD21" s="1"/>
  <c r="E3" i="17"/>
  <c r="E4"/>
  <c r="E22" s="1"/>
  <c r="F4"/>
  <c r="F22" s="1"/>
  <c r="G4"/>
  <c r="G22" s="1"/>
  <c r="H4"/>
  <c r="H22" s="1"/>
  <c r="I4"/>
  <c r="I22" s="1"/>
  <c r="J4"/>
  <c r="J22" s="1"/>
  <c r="K4"/>
  <c r="K22" s="1"/>
  <c r="L4"/>
  <c r="L22" s="1"/>
  <c r="M4"/>
  <c r="M22" s="1"/>
  <c r="N4"/>
  <c r="N22" s="1"/>
  <c r="O4"/>
  <c r="O22" s="1"/>
  <c r="P4"/>
  <c r="P22" s="1"/>
  <c r="Q4"/>
  <c r="Q22" s="1"/>
  <c r="R4"/>
  <c r="R22" s="1"/>
  <c r="S4"/>
  <c r="S22" s="1"/>
  <c r="T4"/>
  <c r="T22" s="1"/>
  <c r="U4"/>
  <c r="U22" s="1"/>
  <c r="V4"/>
  <c r="V22" s="1"/>
  <c r="W4"/>
  <c r="W22" s="1"/>
  <c r="X4"/>
  <c r="X22" s="1"/>
  <c r="Y4"/>
  <c r="Y22" s="1"/>
  <c r="Z4"/>
  <c r="Z22" s="1"/>
  <c r="AB4"/>
  <c r="E5"/>
  <c r="AA5" s="1"/>
  <c r="F5"/>
  <c r="G5"/>
  <c r="H5"/>
  <c r="I5"/>
  <c r="J5"/>
  <c r="K5"/>
  <c r="L5"/>
  <c r="M5"/>
  <c r="N5"/>
  <c r="O5"/>
  <c r="P5"/>
  <c r="Q5"/>
  <c r="R5"/>
  <c r="S5"/>
  <c r="T5"/>
  <c r="U5"/>
  <c r="V5"/>
  <c r="W5"/>
  <c r="X5"/>
  <c r="Y5"/>
  <c r="Z5"/>
  <c r="AB5"/>
  <c r="E6"/>
  <c r="AA6" s="1"/>
  <c r="F6"/>
  <c r="G6"/>
  <c r="H6"/>
  <c r="I6"/>
  <c r="J6"/>
  <c r="K6"/>
  <c r="L6"/>
  <c r="M6"/>
  <c r="N6"/>
  <c r="O6"/>
  <c r="P6"/>
  <c r="Q6"/>
  <c r="R6"/>
  <c r="S6"/>
  <c r="T6"/>
  <c r="U6"/>
  <c r="V6"/>
  <c r="W6"/>
  <c r="X6"/>
  <c r="Y6"/>
  <c r="Z6"/>
  <c r="AB6"/>
  <c r="E7"/>
  <c r="AA7" s="1"/>
  <c r="F7"/>
  <c r="G7"/>
  <c r="H7"/>
  <c r="I7"/>
  <c r="J7"/>
  <c r="K7"/>
  <c r="L7"/>
  <c r="M7"/>
  <c r="N7"/>
  <c r="O7"/>
  <c r="P7"/>
  <c r="Q7"/>
  <c r="R7"/>
  <c r="S7"/>
  <c r="T7"/>
  <c r="U7"/>
  <c r="V7"/>
  <c r="W7"/>
  <c r="X7"/>
  <c r="Y7"/>
  <c r="Z7"/>
  <c r="AB7"/>
  <c r="E8"/>
  <c r="AA8" s="1"/>
  <c r="F8"/>
  <c r="G8"/>
  <c r="H8"/>
  <c r="I8"/>
  <c r="J8"/>
  <c r="K8"/>
  <c r="L8"/>
  <c r="M8"/>
  <c r="N8"/>
  <c r="O8"/>
  <c r="P8"/>
  <c r="Q8"/>
  <c r="R8"/>
  <c r="S8"/>
  <c r="T8"/>
  <c r="U8"/>
  <c r="V8"/>
  <c r="W8"/>
  <c r="X8"/>
  <c r="Y8"/>
  <c r="Z8"/>
  <c r="AB8"/>
  <c r="E9"/>
  <c r="AA9" s="1"/>
  <c r="F9"/>
  <c r="G9"/>
  <c r="H9"/>
  <c r="I9"/>
  <c r="J9"/>
  <c r="K9"/>
  <c r="L9"/>
  <c r="M9"/>
  <c r="N9"/>
  <c r="O9"/>
  <c r="P9"/>
  <c r="Q9"/>
  <c r="R9"/>
  <c r="S9"/>
  <c r="T9"/>
  <c r="U9"/>
  <c r="V9"/>
  <c r="W9"/>
  <c r="X9"/>
  <c r="Y9"/>
  <c r="Z9"/>
  <c r="AB9"/>
  <c r="E10"/>
  <c r="AA10" s="1"/>
  <c r="F10"/>
  <c r="G10"/>
  <c r="H10"/>
  <c r="I10"/>
  <c r="J10"/>
  <c r="K10"/>
  <c r="L10"/>
  <c r="M10"/>
  <c r="N10"/>
  <c r="O10"/>
  <c r="P10"/>
  <c r="Q10"/>
  <c r="R10"/>
  <c r="S10"/>
  <c r="T10"/>
  <c r="U10"/>
  <c r="V10"/>
  <c r="W10"/>
  <c r="X10"/>
  <c r="Y10"/>
  <c r="Z10"/>
  <c r="AB10"/>
  <c r="E11"/>
  <c r="AA11" s="1"/>
  <c r="F11"/>
  <c r="G11"/>
  <c r="H11"/>
  <c r="I11"/>
  <c r="J11"/>
  <c r="K11"/>
  <c r="L11"/>
  <c r="M11"/>
  <c r="N11"/>
  <c r="O11"/>
  <c r="P11"/>
  <c r="Q11"/>
  <c r="R11"/>
  <c r="S11"/>
  <c r="T11"/>
  <c r="U11"/>
  <c r="V11"/>
  <c r="W11"/>
  <c r="X11"/>
  <c r="Y11"/>
  <c r="Z11"/>
  <c r="AB11"/>
  <c r="E12"/>
  <c r="AA12" s="1"/>
  <c r="F12"/>
  <c r="G12"/>
  <c r="H12"/>
  <c r="I12"/>
  <c r="J12"/>
  <c r="K12"/>
  <c r="L12"/>
  <c r="M12"/>
  <c r="N12"/>
  <c r="O12"/>
  <c r="P12"/>
  <c r="Q12"/>
  <c r="R12"/>
  <c r="S12"/>
  <c r="T12"/>
  <c r="U12"/>
  <c r="V12"/>
  <c r="W12"/>
  <c r="X12"/>
  <c r="Y12"/>
  <c r="Z12"/>
  <c r="AB12"/>
  <c r="E13"/>
  <c r="AA13" s="1"/>
  <c r="F13"/>
  <c r="G13"/>
  <c r="H13"/>
  <c r="I13"/>
  <c r="J13"/>
  <c r="K13"/>
  <c r="L13"/>
  <c r="M13"/>
  <c r="N13"/>
  <c r="O13"/>
  <c r="P13"/>
  <c r="Q13"/>
  <c r="R13"/>
  <c r="S13"/>
  <c r="T13"/>
  <c r="U13"/>
  <c r="V13"/>
  <c r="W13"/>
  <c r="X13"/>
  <c r="Y13"/>
  <c r="Z13"/>
  <c r="AB13"/>
  <c r="E14"/>
  <c r="AA14" s="1"/>
  <c r="F14"/>
  <c r="G14"/>
  <c r="H14"/>
  <c r="I14"/>
  <c r="J14"/>
  <c r="K14"/>
  <c r="L14"/>
  <c r="M14"/>
  <c r="N14"/>
  <c r="O14"/>
  <c r="P14"/>
  <c r="Q14"/>
  <c r="R14"/>
  <c r="S14"/>
  <c r="T14"/>
  <c r="U14"/>
  <c r="V14"/>
  <c r="W14"/>
  <c r="X14"/>
  <c r="Y14"/>
  <c r="Z14"/>
  <c r="AB14"/>
  <c r="E15"/>
  <c r="AA15" s="1"/>
  <c r="F15"/>
  <c r="G15"/>
  <c r="H15"/>
  <c r="I15"/>
  <c r="J15"/>
  <c r="K15"/>
  <c r="L15"/>
  <c r="M15"/>
  <c r="N15"/>
  <c r="O15"/>
  <c r="P15"/>
  <c r="Q15"/>
  <c r="R15"/>
  <c r="S15"/>
  <c r="T15"/>
  <c r="U15"/>
  <c r="V15"/>
  <c r="W15"/>
  <c r="X15"/>
  <c r="Y15"/>
  <c r="Z15"/>
  <c r="AB15"/>
  <c r="E16"/>
  <c r="AA16" s="1"/>
  <c r="F16"/>
  <c r="G16"/>
  <c r="H16"/>
  <c r="I16"/>
  <c r="J16"/>
  <c r="K16"/>
  <c r="L16"/>
  <c r="M16"/>
  <c r="N16"/>
  <c r="O16"/>
  <c r="P16"/>
  <c r="Q16"/>
  <c r="R16"/>
  <c r="S16"/>
  <c r="T16"/>
  <c r="U16"/>
  <c r="V16"/>
  <c r="W16"/>
  <c r="X16"/>
  <c r="Y16"/>
  <c r="Z16"/>
  <c r="AB16"/>
  <c r="E17"/>
  <c r="AA17" s="1"/>
  <c r="F17"/>
  <c r="G17"/>
  <c r="H17"/>
  <c r="I17"/>
  <c r="J17"/>
  <c r="K17"/>
  <c r="L17"/>
  <c r="M17"/>
  <c r="N17"/>
  <c r="O17"/>
  <c r="P17"/>
  <c r="Q17"/>
  <c r="R17"/>
  <c r="S17"/>
  <c r="T17"/>
  <c r="U17"/>
  <c r="V17"/>
  <c r="W17"/>
  <c r="X17"/>
  <c r="Y17"/>
  <c r="Z17"/>
  <c r="AB17"/>
  <c r="E18"/>
  <c r="AA18" s="1"/>
  <c r="F18"/>
  <c r="G18"/>
  <c r="H18"/>
  <c r="I18"/>
  <c r="J18"/>
  <c r="K18"/>
  <c r="L18"/>
  <c r="M18"/>
  <c r="N18"/>
  <c r="O18"/>
  <c r="P18"/>
  <c r="Q18"/>
  <c r="R18"/>
  <c r="S18"/>
  <c r="T18"/>
  <c r="U18"/>
  <c r="V18"/>
  <c r="W18"/>
  <c r="X18"/>
  <c r="Y18"/>
  <c r="Z18"/>
  <c r="AB18"/>
  <c r="E19"/>
  <c r="AA19" s="1"/>
  <c r="F19"/>
  <c r="G19"/>
  <c r="H19"/>
  <c r="I19"/>
  <c r="J19"/>
  <c r="K19"/>
  <c r="L19"/>
  <c r="M19"/>
  <c r="N19"/>
  <c r="O19"/>
  <c r="P19"/>
  <c r="Q19"/>
  <c r="R19"/>
  <c r="S19"/>
  <c r="T19"/>
  <c r="U19"/>
  <c r="V19"/>
  <c r="W19"/>
  <c r="X19"/>
  <c r="Y19"/>
  <c r="Z19"/>
  <c r="AB19"/>
  <c r="E20"/>
  <c r="AA20" s="1"/>
  <c r="F20"/>
  <c r="G20"/>
  <c r="H20"/>
  <c r="I20"/>
  <c r="J20"/>
  <c r="K20"/>
  <c r="L20"/>
  <c r="M20"/>
  <c r="N20"/>
  <c r="O20"/>
  <c r="P20"/>
  <c r="Q20"/>
  <c r="R20"/>
  <c r="S20"/>
  <c r="T20"/>
  <c r="U20"/>
  <c r="V20"/>
  <c r="W20"/>
  <c r="X20"/>
  <c r="Y20"/>
  <c r="Z20"/>
  <c r="AB20"/>
  <c r="E24"/>
  <c r="F24"/>
  <c r="G24"/>
  <c r="H24"/>
  <c r="I24"/>
  <c r="J24"/>
  <c r="K24"/>
  <c r="L24"/>
  <c r="M24"/>
  <c r="N24"/>
  <c r="O24"/>
  <c r="P24"/>
  <c r="Q24"/>
  <c r="R24"/>
  <c r="S24"/>
  <c r="T24"/>
  <c r="U24"/>
  <c r="V24"/>
  <c r="W24"/>
  <c r="X24"/>
  <c r="Y24"/>
  <c r="Z24"/>
  <c r="AA24"/>
  <c r="E25"/>
  <c r="F25"/>
  <c r="G25"/>
  <c r="H25"/>
  <c r="I25"/>
  <c r="J25"/>
  <c r="K25"/>
  <c r="L25"/>
  <c r="M25"/>
  <c r="N25"/>
  <c r="O25"/>
  <c r="P25"/>
  <c r="Q25"/>
  <c r="R25"/>
  <c r="S25"/>
  <c r="T25"/>
  <c r="U25"/>
  <c r="V25"/>
  <c r="W25"/>
  <c r="X25"/>
  <c r="Y25"/>
  <c r="Z25"/>
  <c r="AA25"/>
  <c r="E26"/>
  <c r="F26"/>
  <c r="G26"/>
  <c r="H26"/>
  <c r="I26"/>
  <c r="J26"/>
  <c r="K26"/>
  <c r="L26"/>
  <c r="M26"/>
  <c r="N26"/>
  <c r="O26"/>
  <c r="P26"/>
  <c r="Q26"/>
  <c r="R26"/>
  <c r="S26"/>
  <c r="T26"/>
  <c r="U26"/>
  <c r="V26"/>
  <c r="W26"/>
  <c r="X26"/>
  <c r="Y26"/>
  <c r="Z26"/>
  <c r="AA26"/>
  <c r="E3" i="34"/>
  <c r="E4"/>
  <c r="AA4" s="1"/>
  <c r="AA22" s="1"/>
  <c r="F4"/>
  <c r="F22" s="1"/>
  <c r="G4"/>
  <c r="G22" s="1"/>
  <c r="H4"/>
  <c r="H22" s="1"/>
  <c r="I4"/>
  <c r="I22" s="1"/>
  <c r="J4"/>
  <c r="J22" s="1"/>
  <c r="K4"/>
  <c r="K22" s="1"/>
  <c r="L4"/>
  <c r="L22" s="1"/>
  <c r="M4"/>
  <c r="M22" s="1"/>
  <c r="N4"/>
  <c r="N22" s="1"/>
  <c r="O4"/>
  <c r="O22" s="1"/>
  <c r="P4"/>
  <c r="P22" s="1"/>
  <c r="Q4"/>
  <c r="Q22" s="1"/>
  <c r="R4"/>
  <c r="R22" s="1"/>
  <c r="S4"/>
  <c r="S22" s="1"/>
  <c r="T4"/>
  <c r="T22" s="1"/>
  <c r="U4"/>
  <c r="U22" s="1"/>
  <c r="V4"/>
  <c r="V22" s="1"/>
  <c r="W4"/>
  <c r="W22" s="1"/>
  <c r="X4"/>
  <c r="X22" s="1"/>
  <c r="Y4"/>
  <c r="Y22" s="1"/>
  <c r="Z4"/>
  <c r="Z22" s="1"/>
  <c r="AB4"/>
  <c r="E5"/>
  <c r="AA5" s="1"/>
  <c r="F5"/>
  <c r="G5"/>
  <c r="H5"/>
  <c r="I5"/>
  <c r="J5"/>
  <c r="K5"/>
  <c r="L5"/>
  <c r="M5"/>
  <c r="N5"/>
  <c r="O5"/>
  <c r="P5"/>
  <c r="Q5"/>
  <c r="R5"/>
  <c r="S5"/>
  <c r="T5"/>
  <c r="U5"/>
  <c r="V5"/>
  <c r="W5"/>
  <c r="X5"/>
  <c r="Y5"/>
  <c r="Z5"/>
  <c r="AB5"/>
  <c r="E6"/>
  <c r="AA6" s="1"/>
  <c r="F6"/>
  <c r="G6"/>
  <c r="H6"/>
  <c r="I6"/>
  <c r="J6"/>
  <c r="K6"/>
  <c r="L6"/>
  <c r="M6"/>
  <c r="N6"/>
  <c r="O6"/>
  <c r="P6"/>
  <c r="Q6"/>
  <c r="R6"/>
  <c r="S6"/>
  <c r="T6"/>
  <c r="U6"/>
  <c r="V6"/>
  <c r="W6"/>
  <c r="X6"/>
  <c r="Y6"/>
  <c r="Z6"/>
  <c r="AB6"/>
  <c r="E7"/>
  <c r="AA7" s="1"/>
  <c r="F7"/>
  <c r="G7"/>
  <c r="H7"/>
  <c r="I7"/>
  <c r="J7"/>
  <c r="K7"/>
  <c r="L7"/>
  <c r="M7"/>
  <c r="N7"/>
  <c r="O7"/>
  <c r="P7"/>
  <c r="Q7"/>
  <c r="R7"/>
  <c r="S7"/>
  <c r="T7"/>
  <c r="U7"/>
  <c r="V7"/>
  <c r="W7"/>
  <c r="X7"/>
  <c r="Y7"/>
  <c r="Z7"/>
  <c r="AB7"/>
  <c r="E8"/>
  <c r="AA8" s="1"/>
  <c r="F8"/>
  <c r="G8"/>
  <c r="H8"/>
  <c r="I8"/>
  <c r="J8"/>
  <c r="K8"/>
  <c r="L8"/>
  <c r="M8"/>
  <c r="N8"/>
  <c r="O8"/>
  <c r="P8"/>
  <c r="Q8"/>
  <c r="R8"/>
  <c r="S8"/>
  <c r="T8"/>
  <c r="U8"/>
  <c r="V8"/>
  <c r="W8"/>
  <c r="X8"/>
  <c r="Y8"/>
  <c r="Z8"/>
  <c r="AB8"/>
  <c r="E9"/>
  <c r="AA9" s="1"/>
  <c r="F9"/>
  <c r="G9"/>
  <c r="H9"/>
  <c r="I9"/>
  <c r="J9"/>
  <c r="K9"/>
  <c r="L9"/>
  <c r="M9"/>
  <c r="N9"/>
  <c r="O9"/>
  <c r="P9"/>
  <c r="Q9"/>
  <c r="R9"/>
  <c r="S9"/>
  <c r="T9"/>
  <c r="U9"/>
  <c r="V9"/>
  <c r="W9"/>
  <c r="X9"/>
  <c r="Y9"/>
  <c r="Z9"/>
  <c r="AB9"/>
  <c r="E10"/>
  <c r="AA10" s="1"/>
  <c r="F10"/>
  <c r="G10"/>
  <c r="H10"/>
  <c r="I10"/>
  <c r="J10"/>
  <c r="K10"/>
  <c r="L10"/>
  <c r="M10"/>
  <c r="N10"/>
  <c r="O10"/>
  <c r="P10"/>
  <c r="Q10"/>
  <c r="R10"/>
  <c r="S10"/>
  <c r="T10"/>
  <c r="U10"/>
  <c r="V10"/>
  <c r="W10"/>
  <c r="X10"/>
  <c r="Y10"/>
  <c r="Z10"/>
  <c r="AB10"/>
  <c r="E11"/>
  <c r="AA11" s="1"/>
  <c r="F11"/>
  <c r="G11"/>
  <c r="H11"/>
  <c r="I11"/>
  <c r="J11"/>
  <c r="K11"/>
  <c r="L11"/>
  <c r="M11"/>
  <c r="N11"/>
  <c r="O11"/>
  <c r="P11"/>
  <c r="Q11"/>
  <c r="R11"/>
  <c r="S11"/>
  <c r="T11"/>
  <c r="U11"/>
  <c r="V11"/>
  <c r="W11"/>
  <c r="X11"/>
  <c r="Y11"/>
  <c r="Z11"/>
  <c r="AB11"/>
  <c r="E12"/>
  <c r="AA12" s="1"/>
  <c r="F12"/>
  <c r="G12"/>
  <c r="H12"/>
  <c r="I12"/>
  <c r="J12"/>
  <c r="K12"/>
  <c r="L12"/>
  <c r="M12"/>
  <c r="N12"/>
  <c r="O12"/>
  <c r="P12"/>
  <c r="Q12"/>
  <c r="R12"/>
  <c r="S12"/>
  <c r="T12"/>
  <c r="U12"/>
  <c r="V12"/>
  <c r="W12"/>
  <c r="X12"/>
  <c r="Y12"/>
  <c r="Z12"/>
  <c r="AB12"/>
  <c r="E13"/>
  <c r="AA13" s="1"/>
  <c r="F13"/>
  <c r="G13"/>
  <c r="H13"/>
  <c r="I13"/>
  <c r="J13"/>
  <c r="K13"/>
  <c r="L13"/>
  <c r="M13"/>
  <c r="N13"/>
  <c r="O13"/>
  <c r="P13"/>
  <c r="Q13"/>
  <c r="R13"/>
  <c r="S13"/>
  <c r="T13"/>
  <c r="U13"/>
  <c r="V13"/>
  <c r="W13"/>
  <c r="X13"/>
  <c r="Y13"/>
  <c r="Z13"/>
  <c r="AB13"/>
  <c r="E14"/>
  <c r="AA14" s="1"/>
  <c r="F14"/>
  <c r="G14"/>
  <c r="H14"/>
  <c r="I14"/>
  <c r="J14"/>
  <c r="K14"/>
  <c r="L14"/>
  <c r="M14"/>
  <c r="N14"/>
  <c r="O14"/>
  <c r="P14"/>
  <c r="Q14"/>
  <c r="R14"/>
  <c r="S14"/>
  <c r="T14"/>
  <c r="U14"/>
  <c r="V14"/>
  <c r="W14"/>
  <c r="X14"/>
  <c r="Y14"/>
  <c r="Z14"/>
  <c r="AB14"/>
  <c r="E15"/>
  <c r="AA15" s="1"/>
  <c r="F15"/>
  <c r="G15"/>
  <c r="H15"/>
  <c r="I15"/>
  <c r="J15"/>
  <c r="K15"/>
  <c r="L15"/>
  <c r="M15"/>
  <c r="N15"/>
  <c r="O15"/>
  <c r="P15"/>
  <c r="Q15"/>
  <c r="R15"/>
  <c r="S15"/>
  <c r="T15"/>
  <c r="U15"/>
  <c r="V15"/>
  <c r="W15"/>
  <c r="X15"/>
  <c r="Y15"/>
  <c r="Z15"/>
  <c r="AB15"/>
  <c r="E16"/>
  <c r="AA16" s="1"/>
  <c r="F16"/>
  <c r="G16"/>
  <c r="H16"/>
  <c r="I16"/>
  <c r="J16"/>
  <c r="K16"/>
  <c r="L16"/>
  <c r="M16"/>
  <c r="N16"/>
  <c r="O16"/>
  <c r="P16"/>
  <c r="Q16"/>
  <c r="R16"/>
  <c r="S16"/>
  <c r="T16"/>
  <c r="U16"/>
  <c r="V16"/>
  <c r="W16"/>
  <c r="X16"/>
  <c r="Y16"/>
  <c r="Z16"/>
  <c r="AB16"/>
  <c r="E17"/>
  <c r="AA17" s="1"/>
  <c r="F17"/>
  <c r="G17"/>
  <c r="H17"/>
  <c r="I17"/>
  <c r="J17"/>
  <c r="K17"/>
  <c r="L17"/>
  <c r="M17"/>
  <c r="N17"/>
  <c r="O17"/>
  <c r="P17"/>
  <c r="Q17"/>
  <c r="R17"/>
  <c r="S17"/>
  <c r="T17"/>
  <c r="U17"/>
  <c r="V17"/>
  <c r="W17"/>
  <c r="X17"/>
  <c r="Y17"/>
  <c r="Z17"/>
  <c r="AB17"/>
  <c r="E18"/>
  <c r="AA18" s="1"/>
  <c r="F18"/>
  <c r="G18"/>
  <c r="H18"/>
  <c r="I18"/>
  <c r="J18"/>
  <c r="K18"/>
  <c r="L18"/>
  <c r="M18"/>
  <c r="N18"/>
  <c r="O18"/>
  <c r="P18"/>
  <c r="Q18"/>
  <c r="R18"/>
  <c r="S18"/>
  <c r="T18"/>
  <c r="U18"/>
  <c r="V18"/>
  <c r="W18"/>
  <c r="X18"/>
  <c r="Y18"/>
  <c r="Z18"/>
  <c r="AB18"/>
  <c r="E19"/>
  <c r="AA19" s="1"/>
  <c r="F19"/>
  <c r="G19"/>
  <c r="H19"/>
  <c r="I19"/>
  <c r="J19"/>
  <c r="K19"/>
  <c r="L19"/>
  <c r="M19"/>
  <c r="N19"/>
  <c r="O19"/>
  <c r="P19"/>
  <c r="Q19"/>
  <c r="R19"/>
  <c r="S19"/>
  <c r="T19"/>
  <c r="U19"/>
  <c r="V19"/>
  <c r="W19"/>
  <c r="X19"/>
  <c r="Y19"/>
  <c r="Z19"/>
  <c r="AB19"/>
  <c r="E20"/>
  <c r="AA20" s="1"/>
  <c r="F20"/>
  <c r="G20"/>
  <c r="H20"/>
  <c r="I20"/>
  <c r="J20"/>
  <c r="K20"/>
  <c r="L20"/>
  <c r="M20"/>
  <c r="N20"/>
  <c r="O20"/>
  <c r="P20"/>
  <c r="Q20"/>
  <c r="R20"/>
  <c r="S20"/>
  <c r="T20"/>
  <c r="U20"/>
  <c r="V20"/>
  <c r="W20"/>
  <c r="X20"/>
  <c r="Y20"/>
  <c r="Z20"/>
  <c r="AB20"/>
  <c r="E24"/>
  <c r="F24"/>
  <c r="G24"/>
  <c r="H24"/>
  <c r="I24"/>
  <c r="J24"/>
  <c r="K24"/>
  <c r="L24"/>
  <c r="M24"/>
  <c r="N24"/>
  <c r="O24"/>
  <c r="P24"/>
  <c r="Q24"/>
  <c r="R24"/>
  <c r="S24"/>
  <c r="T24"/>
  <c r="U24"/>
  <c r="V24"/>
  <c r="W24"/>
  <c r="X24"/>
  <c r="Y24"/>
  <c r="Z24"/>
  <c r="AA24"/>
  <c r="E25"/>
  <c r="F25"/>
  <c r="G25"/>
  <c r="H25"/>
  <c r="I25"/>
  <c r="J25"/>
  <c r="K25"/>
  <c r="L25"/>
  <c r="M25"/>
  <c r="N25"/>
  <c r="O25"/>
  <c r="P25"/>
  <c r="Q25"/>
  <c r="R25"/>
  <c r="S25"/>
  <c r="T25"/>
  <c r="U25"/>
  <c r="V25"/>
  <c r="W25"/>
  <c r="X25"/>
  <c r="Y25"/>
  <c r="Z25"/>
  <c r="AA25"/>
  <c r="E26"/>
  <c r="F26"/>
  <c r="G26"/>
  <c r="H26"/>
  <c r="I26"/>
  <c r="J26"/>
  <c r="K26"/>
  <c r="L26"/>
  <c r="M26"/>
  <c r="N26"/>
  <c r="O26"/>
  <c r="P26"/>
  <c r="Q26"/>
  <c r="R26"/>
  <c r="S26"/>
  <c r="T26"/>
  <c r="U26"/>
  <c r="V26"/>
  <c r="W26"/>
  <c r="X26"/>
  <c r="Y26"/>
  <c r="Z26"/>
  <c r="AA26"/>
  <c r="E3" i="15"/>
  <c r="E4"/>
  <c r="AA4" s="1"/>
  <c r="AA22" s="1"/>
  <c r="F4"/>
  <c r="F22" s="1"/>
  <c r="G4"/>
  <c r="G22" s="1"/>
  <c r="H4"/>
  <c r="H22" s="1"/>
  <c r="I4"/>
  <c r="I22" s="1"/>
  <c r="J4"/>
  <c r="J22" s="1"/>
  <c r="K4"/>
  <c r="K22" s="1"/>
  <c r="L4"/>
  <c r="L22" s="1"/>
  <c r="M4"/>
  <c r="M22" s="1"/>
  <c r="N4"/>
  <c r="N22" s="1"/>
  <c r="O4"/>
  <c r="O22" s="1"/>
  <c r="P4"/>
  <c r="P22" s="1"/>
  <c r="Q4"/>
  <c r="Q22" s="1"/>
  <c r="R4"/>
  <c r="R22" s="1"/>
  <c r="S4"/>
  <c r="S22" s="1"/>
  <c r="T4"/>
  <c r="T22" s="1"/>
  <c r="U4"/>
  <c r="U22" s="1"/>
  <c r="V4"/>
  <c r="V22" s="1"/>
  <c r="W4"/>
  <c r="W22" s="1"/>
  <c r="X4"/>
  <c r="X22" s="1"/>
  <c r="Y4"/>
  <c r="Y22" s="1"/>
  <c r="Z4"/>
  <c r="Z22" s="1"/>
  <c r="AB4"/>
  <c r="E5"/>
  <c r="AA5" s="1"/>
  <c r="F5"/>
  <c r="G5"/>
  <c r="H5"/>
  <c r="I5"/>
  <c r="J5"/>
  <c r="K5"/>
  <c r="L5"/>
  <c r="M5"/>
  <c r="N5"/>
  <c r="O5"/>
  <c r="P5"/>
  <c r="Q5"/>
  <c r="R5"/>
  <c r="S5"/>
  <c r="T5"/>
  <c r="U5"/>
  <c r="V5"/>
  <c r="W5"/>
  <c r="X5"/>
  <c r="Y5"/>
  <c r="Z5"/>
  <c r="AB5"/>
  <c r="E6"/>
  <c r="AA6" s="1"/>
  <c r="F6"/>
  <c r="G6"/>
  <c r="H6"/>
  <c r="I6"/>
  <c r="J6"/>
  <c r="K6"/>
  <c r="L6"/>
  <c r="M6"/>
  <c r="N6"/>
  <c r="O6"/>
  <c r="P6"/>
  <c r="Q6"/>
  <c r="R6"/>
  <c r="S6"/>
  <c r="T6"/>
  <c r="U6"/>
  <c r="V6"/>
  <c r="W6"/>
  <c r="X6"/>
  <c r="Y6"/>
  <c r="Z6"/>
  <c r="AB6"/>
  <c r="E7"/>
  <c r="AA7" s="1"/>
  <c r="F7"/>
  <c r="G7"/>
  <c r="H7"/>
  <c r="I7"/>
  <c r="J7"/>
  <c r="K7"/>
  <c r="L7"/>
  <c r="M7"/>
  <c r="N7"/>
  <c r="O7"/>
  <c r="P7"/>
  <c r="Q7"/>
  <c r="R7"/>
  <c r="S7"/>
  <c r="T7"/>
  <c r="U7"/>
  <c r="V7"/>
  <c r="W7"/>
  <c r="X7"/>
  <c r="Y7"/>
  <c r="Z7"/>
  <c r="AB7"/>
  <c r="E8"/>
  <c r="AA8" s="1"/>
  <c r="F8"/>
  <c r="G8"/>
  <c r="H8"/>
  <c r="I8"/>
  <c r="J8"/>
  <c r="K8"/>
  <c r="L8"/>
  <c r="M8"/>
  <c r="N8"/>
  <c r="O8"/>
  <c r="P8"/>
  <c r="Q8"/>
  <c r="R8"/>
  <c r="S8"/>
  <c r="T8"/>
  <c r="U8"/>
  <c r="V8"/>
  <c r="W8"/>
  <c r="X8"/>
  <c r="Y8"/>
  <c r="Z8"/>
  <c r="AB8"/>
  <c r="E9"/>
  <c r="AA9" s="1"/>
  <c r="F9"/>
  <c r="G9"/>
  <c r="H9"/>
  <c r="I9"/>
  <c r="J9"/>
  <c r="K9"/>
  <c r="L9"/>
  <c r="M9"/>
  <c r="N9"/>
  <c r="O9"/>
  <c r="P9"/>
  <c r="Q9"/>
  <c r="R9"/>
  <c r="S9"/>
  <c r="T9"/>
  <c r="U9"/>
  <c r="V9"/>
  <c r="W9"/>
  <c r="X9"/>
  <c r="Y9"/>
  <c r="Z9"/>
  <c r="AB9"/>
  <c r="E10"/>
  <c r="AA10" s="1"/>
  <c r="F10"/>
  <c r="G10"/>
  <c r="H10"/>
  <c r="I10"/>
  <c r="J10"/>
  <c r="K10"/>
  <c r="L10"/>
  <c r="M10"/>
  <c r="N10"/>
  <c r="O10"/>
  <c r="P10"/>
  <c r="Q10"/>
  <c r="R10"/>
  <c r="S10"/>
  <c r="T10"/>
  <c r="U10"/>
  <c r="V10"/>
  <c r="W10"/>
  <c r="X10"/>
  <c r="Y10"/>
  <c r="Z10"/>
  <c r="AB10"/>
  <c r="E11"/>
  <c r="AA11" s="1"/>
  <c r="F11"/>
  <c r="G11"/>
  <c r="H11"/>
  <c r="I11"/>
  <c r="J11"/>
  <c r="K11"/>
  <c r="L11"/>
  <c r="M11"/>
  <c r="N11"/>
  <c r="O11"/>
  <c r="P11"/>
  <c r="Q11"/>
  <c r="R11"/>
  <c r="S11"/>
  <c r="T11"/>
  <c r="U11"/>
  <c r="V11"/>
  <c r="W11"/>
  <c r="X11"/>
  <c r="Y11"/>
  <c r="Z11"/>
  <c r="AB11"/>
  <c r="E12"/>
  <c r="AA12" s="1"/>
  <c r="F12"/>
  <c r="G12"/>
  <c r="H12"/>
  <c r="I12"/>
  <c r="J12"/>
  <c r="K12"/>
  <c r="L12"/>
  <c r="M12"/>
  <c r="N12"/>
  <c r="O12"/>
  <c r="P12"/>
  <c r="Q12"/>
  <c r="R12"/>
  <c r="S12"/>
  <c r="T12"/>
  <c r="U12"/>
  <c r="V12"/>
  <c r="W12"/>
  <c r="X12"/>
  <c r="Y12"/>
  <c r="Z12"/>
  <c r="AB12"/>
  <c r="E13"/>
  <c r="AA13" s="1"/>
  <c r="F13"/>
  <c r="G13"/>
  <c r="H13"/>
  <c r="I13"/>
  <c r="J13"/>
  <c r="K13"/>
  <c r="L13"/>
  <c r="M13"/>
  <c r="N13"/>
  <c r="O13"/>
  <c r="P13"/>
  <c r="Q13"/>
  <c r="R13"/>
  <c r="S13"/>
  <c r="T13"/>
  <c r="U13"/>
  <c r="V13"/>
  <c r="W13"/>
  <c r="X13"/>
  <c r="Y13"/>
  <c r="Z13"/>
  <c r="AB13"/>
  <c r="E14"/>
  <c r="AA14" s="1"/>
  <c r="F14"/>
  <c r="G14"/>
  <c r="H14"/>
  <c r="I14"/>
  <c r="J14"/>
  <c r="K14"/>
  <c r="L14"/>
  <c r="M14"/>
  <c r="N14"/>
  <c r="O14"/>
  <c r="P14"/>
  <c r="Q14"/>
  <c r="R14"/>
  <c r="S14"/>
  <c r="T14"/>
  <c r="U14"/>
  <c r="V14"/>
  <c r="W14"/>
  <c r="X14"/>
  <c r="Y14"/>
  <c r="Z14"/>
  <c r="AB14"/>
  <c r="E15"/>
  <c r="AA15" s="1"/>
  <c r="F15"/>
  <c r="G15"/>
  <c r="H15"/>
  <c r="I15"/>
  <c r="J15"/>
  <c r="K15"/>
  <c r="L15"/>
  <c r="M15"/>
  <c r="N15"/>
  <c r="O15"/>
  <c r="P15"/>
  <c r="Q15"/>
  <c r="R15"/>
  <c r="S15"/>
  <c r="T15"/>
  <c r="U15"/>
  <c r="V15"/>
  <c r="W15"/>
  <c r="X15"/>
  <c r="Y15"/>
  <c r="Z15"/>
  <c r="AB15"/>
  <c r="E16"/>
  <c r="AA16" s="1"/>
  <c r="F16"/>
  <c r="G16"/>
  <c r="H16"/>
  <c r="I16"/>
  <c r="J16"/>
  <c r="K16"/>
  <c r="L16"/>
  <c r="M16"/>
  <c r="N16"/>
  <c r="O16"/>
  <c r="P16"/>
  <c r="Q16"/>
  <c r="R16"/>
  <c r="S16"/>
  <c r="T16"/>
  <c r="U16"/>
  <c r="V16"/>
  <c r="W16"/>
  <c r="X16"/>
  <c r="Y16"/>
  <c r="Z16"/>
  <c r="AB16"/>
  <c r="E17"/>
  <c r="AA17" s="1"/>
  <c r="F17"/>
  <c r="G17"/>
  <c r="H17"/>
  <c r="I17"/>
  <c r="J17"/>
  <c r="K17"/>
  <c r="L17"/>
  <c r="M17"/>
  <c r="N17"/>
  <c r="O17"/>
  <c r="P17"/>
  <c r="Q17"/>
  <c r="R17"/>
  <c r="S17"/>
  <c r="T17"/>
  <c r="U17"/>
  <c r="V17"/>
  <c r="W17"/>
  <c r="X17"/>
  <c r="Y17"/>
  <c r="Z17"/>
  <c r="AB17"/>
  <c r="E18"/>
  <c r="AA18" s="1"/>
  <c r="F18"/>
  <c r="G18"/>
  <c r="H18"/>
  <c r="I18"/>
  <c r="J18"/>
  <c r="K18"/>
  <c r="L18"/>
  <c r="M18"/>
  <c r="N18"/>
  <c r="O18"/>
  <c r="P18"/>
  <c r="Q18"/>
  <c r="R18"/>
  <c r="S18"/>
  <c r="T18"/>
  <c r="U18"/>
  <c r="V18"/>
  <c r="W18"/>
  <c r="X18"/>
  <c r="Y18"/>
  <c r="Z18"/>
  <c r="AB18"/>
  <c r="E19"/>
  <c r="AA19" s="1"/>
  <c r="F19"/>
  <c r="G19"/>
  <c r="H19"/>
  <c r="I19"/>
  <c r="J19"/>
  <c r="K19"/>
  <c r="L19"/>
  <c r="M19"/>
  <c r="N19"/>
  <c r="O19"/>
  <c r="P19"/>
  <c r="Q19"/>
  <c r="R19"/>
  <c r="S19"/>
  <c r="T19"/>
  <c r="U19"/>
  <c r="V19"/>
  <c r="W19"/>
  <c r="X19"/>
  <c r="Y19"/>
  <c r="Z19"/>
  <c r="AB19"/>
  <c r="E20"/>
  <c r="AA20" s="1"/>
  <c r="F20"/>
  <c r="G20"/>
  <c r="H20"/>
  <c r="I20"/>
  <c r="J20"/>
  <c r="K20"/>
  <c r="L20"/>
  <c r="M20"/>
  <c r="N20"/>
  <c r="O20"/>
  <c r="P20"/>
  <c r="Q20"/>
  <c r="R20"/>
  <c r="S20"/>
  <c r="T20"/>
  <c r="U20"/>
  <c r="V20"/>
  <c r="W20"/>
  <c r="X20"/>
  <c r="Y20"/>
  <c r="Z20"/>
  <c r="AB20"/>
  <c r="E24"/>
  <c r="F24"/>
  <c r="G24"/>
  <c r="H24"/>
  <c r="I24"/>
  <c r="J24"/>
  <c r="K24"/>
  <c r="L24"/>
  <c r="M24"/>
  <c r="N24"/>
  <c r="O24"/>
  <c r="P24"/>
  <c r="Q24"/>
  <c r="R24"/>
  <c r="S24"/>
  <c r="T24"/>
  <c r="U24"/>
  <c r="V24"/>
  <c r="W24"/>
  <c r="X24"/>
  <c r="Y24"/>
  <c r="Z24"/>
  <c r="AA24"/>
  <c r="E25"/>
  <c r="F25"/>
  <c r="G25"/>
  <c r="H25"/>
  <c r="I25"/>
  <c r="J25"/>
  <c r="K25"/>
  <c r="L25"/>
  <c r="M25"/>
  <c r="N25"/>
  <c r="O25"/>
  <c r="P25"/>
  <c r="Q25"/>
  <c r="R25"/>
  <c r="S25"/>
  <c r="T25"/>
  <c r="U25"/>
  <c r="V25"/>
  <c r="W25"/>
  <c r="X25"/>
  <c r="Y25"/>
  <c r="Z25"/>
  <c r="AA25"/>
  <c r="E26"/>
  <c r="F26"/>
  <c r="G26"/>
  <c r="H26"/>
  <c r="I26"/>
  <c r="J26"/>
  <c r="K26"/>
  <c r="L26"/>
  <c r="M26"/>
  <c r="N26"/>
  <c r="O26"/>
  <c r="P26"/>
  <c r="Q26"/>
  <c r="R26"/>
  <c r="S26"/>
  <c r="T26"/>
  <c r="U26"/>
  <c r="V26"/>
  <c r="W26"/>
  <c r="X26"/>
  <c r="Y26"/>
  <c r="Z26"/>
  <c r="AA26"/>
  <c r="E3" i="32"/>
  <c r="E4"/>
  <c r="E22" s="1"/>
  <c r="F4"/>
  <c r="F22" s="1"/>
  <c r="G4"/>
  <c r="G22" s="1"/>
  <c r="H4"/>
  <c r="H22" s="1"/>
  <c r="I4"/>
  <c r="I22" s="1"/>
  <c r="J4"/>
  <c r="J22" s="1"/>
  <c r="K4"/>
  <c r="K22" s="1"/>
  <c r="L4"/>
  <c r="L22" s="1"/>
  <c r="M4"/>
  <c r="M22" s="1"/>
  <c r="N4"/>
  <c r="N22" s="1"/>
  <c r="O4"/>
  <c r="O22" s="1"/>
  <c r="P4"/>
  <c r="P22" s="1"/>
  <c r="Q4"/>
  <c r="Q22" s="1"/>
  <c r="R4"/>
  <c r="R22" s="1"/>
  <c r="S4"/>
  <c r="S22" s="1"/>
  <c r="T4"/>
  <c r="T22" s="1"/>
  <c r="U4"/>
  <c r="U22" s="1"/>
  <c r="V4"/>
  <c r="V22" s="1"/>
  <c r="W4"/>
  <c r="W22" s="1"/>
  <c r="X4"/>
  <c r="X22" s="1"/>
  <c r="Y4"/>
  <c r="Y22" s="1"/>
  <c r="Z4"/>
  <c r="Z22" s="1"/>
  <c r="AB4"/>
  <c r="E5"/>
  <c r="AA5" s="1"/>
  <c r="F5"/>
  <c r="G5"/>
  <c r="H5"/>
  <c r="I5"/>
  <c r="J5"/>
  <c r="K5"/>
  <c r="L5"/>
  <c r="M5"/>
  <c r="N5"/>
  <c r="O5"/>
  <c r="P5"/>
  <c r="Q5"/>
  <c r="R5"/>
  <c r="S5"/>
  <c r="T5"/>
  <c r="U5"/>
  <c r="V5"/>
  <c r="W5"/>
  <c r="X5"/>
  <c r="Y5"/>
  <c r="Z5"/>
  <c r="AB5"/>
  <c r="E6"/>
  <c r="AA6" s="1"/>
  <c r="F6"/>
  <c r="G6"/>
  <c r="H6"/>
  <c r="I6"/>
  <c r="J6"/>
  <c r="K6"/>
  <c r="L6"/>
  <c r="M6"/>
  <c r="N6"/>
  <c r="O6"/>
  <c r="P6"/>
  <c r="Q6"/>
  <c r="R6"/>
  <c r="S6"/>
  <c r="T6"/>
  <c r="U6"/>
  <c r="V6"/>
  <c r="W6"/>
  <c r="X6"/>
  <c r="Y6"/>
  <c r="Z6"/>
  <c r="AB6"/>
  <c r="E7"/>
  <c r="AA7" s="1"/>
  <c r="F7"/>
  <c r="G7"/>
  <c r="H7"/>
  <c r="I7"/>
  <c r="J7"/>
  <c r="K7"/>
  <c r="L7"/>
  <c r="M7"/>
  <c r="N7"/>
  <c r="O7"/>
  <c r="P7"/>
  <c r="Q7"/>
  <c r="R7"/>
  <c r="S7"/>
  <c r="T7"/>
  <c r="U7"/>
  <c r="V7"/>
  <c r="W7"/>
  <c r="X7"/>
  <c r="Y7"/>
  <c r="Z7"/>
  <c r="AB7"/>
  <c r="E8"/>
  <c r="AA8" s="1"/>
  <c r="F8"/>
  <c r="G8"/>
  <c r="H8"/>
  <c r="I8"/>
  <c r="J8"/>
  <c r="K8"/>
  <c r="L8"/>
  <c r="M8"/>
  <c r="N8"/>
  <c r="O8"/>
  <c r="P8"/>
  <c r="Q8"/>
  <c r="R8"/>
  <c r="S8"/>
  <c r="T8"/>
  <c r="U8"/>
  <c r="V8"/>
  <c r="W8"/>
  <c r="X8"/>
  <c r="Y8"/>
  <c r="Z8"/>
  <c r="AB8"/>
  <c r="E9"/>
  <c r="AA9" s="1"/>
  <c r="F9"/>
  <c r="G9"/>
  <c r="H9"/>
  <c r="I9"/>
  <c r="J9"/>
  <c r="K9"/>
  <c r="L9"/>
  <c r="M9"/>
  <c r="N9"/>
  <c r="O9"/>
  <c r="P9"/>
  <c r="Q9"/>
  <c r="R9"/>
  <c r="S9"/>
  <c r="T9"/>
  <c r="U9"/>
  <c r="V9"/>
  <c r="W9"/>
  <c r="X9"/>
  <c r="Y9"/>
  <c r="Z9"/>
  <c r="AB9"/>
  <c r="E10"/>
  <c r="AA10" s="1"/>
  <c r="F10"/>
  <c r="G10"/>
  <c r="H10"/>
  <c r="I10"/>
  <c r="J10"/>
  <c r="K10"/>
  <c r="L10"/>
  <c r="M10"/>
  <c r="N10"/>
  <c r="O10"/>
  <c r="P10"/>
  <c r="Q10"/>
  <c r="R10"/>
  <c r="S10"/>
  <c r="T10"/>
  <c r="U10"/>
  <c r="V10"/>
  <c r="W10"/>
  <c r="X10"/>
  <c r="Y10"/>
  <c r="Z10"/>
  <c r="AB10"/>
  <c r="E11"/>
  <c r="AA11" s="1"/>
  <c r="F11"/>
  <c r="G11"/>
  <c r="H11"/>
  <c r="I11"/>
  <c r="J11"/>
  <c r="K11"/>
  <c r="L11"/>
  <c r="M11"/>
  <c r="N11"/>
  <c r="O11"/>
  <c r="P11"/>
  <c r="Q11"/>
  <c r="R11"/>
  <c r="S11"/>
  <c r="T11"/>
  <c r="U11"/>
  <c r="V11"/>
  <c r="W11"/>
  <c r="X11"/>
  <c r="Y11"/>
  <c r="Z11"/>
  <c r="AB11"/>
  <c r="E12"/>
  <c r="AA12" s="1"/>
  <c r="F12"/>
  <c r="G12"/>
  <c r="H12"/>
  <c r="I12"/>
  <c r="J12"/>
  <c r="K12"/>
  <c r="L12"/>
  <c r="M12"/>
  <c r="N12"/>
  <c r="O12"/>
  <c r="P12"/>
  <c r="Q12"/>
  <c r="R12"/>
  <c r="S12"/>
  <c r="T12"/>
  <c r="U12"/>
  <c r="V12"/>
  <c r="W12"/>
  <c r="X12"/>
  <c r="Y12"/>
  <c r="Z12"/>
  <c r="AB12"/>
  <c r="E13"/>
  <c r="AA13" s="1"/>
  <c r="F13"/>
  <c r="G13"/>
  <c r="H13"/>
  <c r="I13"/>
  <c r="J13"/>
  <c r="K13"/>
  <c r="L13"/>
  <c r="M13"/>
  <c r="N13"/>
  <c r="O13"/>
  <c r="P13"/>
  <c r="Q13"/>
  <c r="R13"/>
  <c r="S13"/>
  <c r="T13"/>
  <c r="U13"/>
  <c r="V13"/>
  <c r="W13"/>
  <c r="X13"/>
  <c r="Y13"/>
  <c r="Z13"/>
  <c r="AB13"/>
  <c r="E14"/>
  <c r="AA14" s="1"/>
  <c r="F14"/>
  <c r="G14"/>
  <c r="H14"/>
  <c r="I14"/>
  <c r="J14"/>
  <c r="K14"/>
  <c r="L14"/>
  <c r="M14"/>
  <c r="N14"/>
  <c r="O14"/>
  <c r="P14"/>
  <c r="Q14"/>
  <c r="R14"/>
  <c r="S14"/>
  <c r="T14"/>
  <c r="U14"/>
  <c r="V14"/>
  <c r="W14"/>
  <c r="X14"/>
  <c r="Y14"/>
  <c r="Z14"/>
  <c r="AB14"/>
  <c r="E15"/>
  <c r="AA15" s="1"/>
  <c r="F15"/>
  <c r="G15"/>
  <c r="H15"/>
  <c r="I15"/>
  <c r="J15"/>
  <c r="K15"/>
  <c r="L15"/>
  <c r="M15"/>
  <c r="N15"/>
  <c r="O15"/>
  <c r="P15"/>
  <c r="Q15"/>
  <c r="R15"/>
  <c r="S15"/>
  <c r="T15"/>
  <c r="U15"/>
  <c r="V15"/>
  <c r="W15"/>
  <c r="X15"/>
  <c r="Y15"/>
  <c r="Z15"/>
  <c r="AB15"/>
  <c r="E16"/>
  <c r="AA16" s="1"/>
  <c r="F16"/>
  <c r="G16"/>
  <c r="H16"/>
  <c r="I16"/>
  <c r="J16"/>
  <c r="K16"/>
  <c r="L16"/>
  <c r="M16"/>
  <c r="N16"/>
  <c r="O16"/>
  <c r="P16"/>
  <c r="Q16"/>
  <c r="R16"/>
  <c r="S16"/>
  <c r="T16"/>
  <c r="U16"/>
  <c r="V16"/>
  <c r="W16"/>
  <c r="X16"/>
  <c r="Y16"/>
  <c r="Z16"/>
  <c r="AB16"/>
  <c r="E17"/>
  <c r="AA17" s="1"/>
  <c r="F17"/>
  <c r="G17"/>
  <c r="H17"/>
  <c r="I17"/>
  <c r="J17"/>
  <c r="K17"/>
  <c r="L17"/>
  <c r="M17"/>
  <c r="N17"/>
  <c r="O17"/>
  <c r="P17"/>
  <c r="Q17"/>
  <c r="R17"/>
  <c r="S17"/>
  <c r="T17"/>
  <c r="U17"/>
  <c r="V17"/>
  <c r="W17"/>
  <c r="X17"/>
  <c r="Y17"/>
  <c r="Z17"/>
  <c r="AB17"/>
  <c r="E18"/>
  <c r="AA18" s="1"/>
  <c r="F18"/>
  <c r="G18"/>
  <c r="H18"/>
  <c r="I18"/>
  <c r="J18"/>
  <c r="K18"/>
  <c r="L18"/>
  <c r="M18"/>
  <c r="N18"/>
  <c r="O18"/>
  <c r="P18"/>
  <c r="Q18"/>
  <c r="R18"/>
  <c r="S18"/>
  <c r="T18"/>
  <c r="U18"/>
  <c r="V18"/>
  <c r="W18"/>
  <c r="X18"/>
  <c r="Y18"/>
  <c r="Z18"/>
  <c r="AB18"/>
  <c r="E19"/>
  <c r="AA19" s="1"/>
  <c r="F19"/>
  <c r="G19"/>
  <c r="H19"/>
  <c r="I19"/>
  <c r="J19"/>
  <c r="K19"/>
  <c r="L19"/>
  <c r="M19"/>
  <c r="N19"/>
  <c r="O19"/>
  <c r="P19"/>
  <c r="Q19"/>
  <c r="R19"/>
  <c r="S19"/>
  <c r="T19"/>
  <c r="U19"/>
  <c r="V19"/>
  <c r="W19"/>
  <c r="X19"/>
  <c r="Y19"/>
  <c r="Z19"/>
  <c r="AB19"/>
  <c r="E20"/>
  <c r="AA20" s="1"/>
  <c r="F20"/>
  <c r="G20"/>
  <c r="H20"/>
  <c r="I20"/>
  <c r="J20"/>
  <c r="K20"/>
  <c r="L20"/>
  <c r="M20"/>
  <c r="N20"/>
  <c r="O20"/>
  <c r="P20"/>
  <c r="Q20"/>
  <c r="R20"/>
  <c r="S20"/>
  <c r="T20"/>
  <c r="U20"/>
  <c r="V20"/>
  <c r="W20"/>
  <c r="X20"/>
  <c r="Y20"/>
  <c r="Z20"/>
  <c r="AB20"/>
  <c r="E24"/>
  <c r="F24"/>
  <c r="G24"/>
  <c r="H24"/>
  <c r="I24"/>
  <c r="J24"/>
  <c r="K24"/>
  <c r="L24"/>
  <c r="M24"/>
  <c r="N24"/>
  <c r="O24"/>
  <c r="P24"/>
  <c r="Q24"/>
  <c r="R24"/>
  <c r="S24"/>
  <c r="T24"/>
  <c r="U24"/>
  <c r="V24"/>
  <c r="W24"/>
  <c r="X24"/>
  <c r="Y24"/>
  <c r="Z24"/>
  <c r="AA24"/>
  <c r="E25"/>
  <c r="F25"/>
  <c r="G25"/>
  <c r="H25"/>
  <c r="I25"/>
  <c r="J25"/>
  <c r="K25"/>
  <c r="L25"/>
  <c r="M25"/>
  <c r="N25"/>
  <c r="O25"/>
  <c r="P25"/>
  <c r="Q25"/>
  <c r="R25"/>
  <c r="S25"/>
  <c r="T25"/>
  <c r="U25"/>
  <c r="V25"/>
  <c r="W25"/>
  <c r="X25"/>
  <c r="Y25"/>
  <c r="Z25"/>
  <c r="AA25"/>
  <c r="E26"/>
  <c r="F26"/>
  <c r="G26"/>
  <c r="H26"/>
  <c r="I26"/>
  <c r="J26"/>
  <c r="K26"/>
  <c r="L26"/>
  <c r="M26"/>
  <c r="N26"/>
  <c r="O26"/>
  <c r="P26"/>
  <c r="Q26"/>
  <c r="R26"/>
  <c r="S26"/>
  <c r="T26"/>
  <c r="U26"/>
  <c r="V26"/>
  <c r="W26"/>
  <c r="X26"/>
  <c r="Y26"/>
  <c r="Z26"/>
  <c r="AA26"/>
  <c r="E3" i="33"/>
  <c r="E4"/>
  <c r="E22" s="1"/>
  <c r="F4"/>
  <c r="F22" s="1"/>
  <c r="G4"/>
  <c r="G22" s="1"/>
  <c r="H4"/>
  <c r="H22" s="1"/>
  <c r="I4"/>
  <c r="I22" s="1"/>
  <c r="J4"/>
  <c r="J22" s="1"/>
  <c r="K4"/>
  <c r="K22" s="1"/>
  <c r="L4"/>
  <c r="L22" s="1"/>
  <c r="M4"/>
  <c r="M22" s="1"/>
  <c r="N4"/>
  <c r="N22" s="1"/>
  <c r="O4"/>
  <c r="O22" s="1"/>
  <c r="P4"/>
  <c r="P22" s="1"/>
  <c r="Q4"/>
  <c r="Q22" s="1"/>
  <c r="R4"/>
  <c r="R22" s="1"/>
  <c r="S4"/>
  <c r="S22" s="1"/>
  <c r="T4"/>
  <c r="T22" s="1"/>
  <c r="U4"/>
  <c r="U22" s="1"/>
  <c r="V4"/>
  <c r="V22" s="1"/>
  <c r="W4"/>
  <c r="W22" s="1"/>
  <c r="X4"/>
  <c r="X22" s="1"/>
  <c r="Y4"/>
  <c r="Y22" s="1"/>
  <c r="Z4"/>
  <c r="Z22" s="1"/>
  <c r="AB4"/>
  <c r="E5"/>
  <c r="AA5" s="1"/>
  <c r="F5"/>
  <c r="G5"/>
  <c r="H5"/>
  <c r="I5"/>
  <c r="J5"/>
  <c r="K5"/>
  <c r="L5"/>
  <c r="M5"/>
  <c r="N5"/>
  <c r="O5"/>
  <c r="P5"/>
  <c r="Q5"/>
  <c r="R5"/>
  <c r="S5"/>
  <c r="T5"/>
  <c r="U5"/>
  <c r="V5"/>
  <c r="W5"/>
  <c r="X5"/>
  <c r="Y5"/>
  <c r="Z5"/>
  <c r="AB5"/>
  <c r="E6"/>
  <c r="AA6" s="1"/>
  <c r="F6"/>
  <c r="G6"/>
  <c r="H6"/>
  <c r="I6"/>
  <c r="J6"/>
  <c r="K6"/>
  <c r="L6"/>
  <c r="M6"/>
  <c r="N6"/>
  <c r="O6"/>
  <c r="P6"/>
  <c r="Q6"/>
  <c r="R6"/>
  <c r="S6"/>
  <c r="T6"/>
  <c r="U6"/>
  <c r="V6"/>
  <c r="W6"/>
  <c r="X6"/>
  <c r="Y6"/>
  <c r="Z6"/>
  <c r="AB6"/>
  <c r="E7"/>
  <c r="AA7" s="1"/>
  <c r="F7"/>
  <c r="G7"/>
  <c r="H7"/>
  <c r="I7"/>
  <c r="J7"/>
  <c r="K7"/>
  <c r="L7"/>
  <c r="M7"/>
  <c r="N7"/>
  <c r="O7"/>
  <c r="P7"/>
  <c r="Q7"/>
  <c r="R7"/>
  <c r="S7"/>
  <c r="T7"/>
  <c r="U7"/>
  <c r="V7"/>
  <c r="W7"/>
  <c r="X7"/>
  <c r="Y7"/>
  <c r="Z7"/>
  <c r="AB7"/>
  <c r="E8"/>
  <c r="AA8" s="1"/>
  <c r="F8"/>
  <c r="G8"/>
  <c r="H8"/>
  <c r="I8"/>
  <c r="J8"/>
  <c r="K8"/>
  <c r="L8"/>
  <c r="M8"/>
  <c r="N8"/>
  <c r="O8"/>
  <c r="P8"/>
  <c r="Q8"/>
  <c r="R8"/>
  <c r="S8"/>
  <c r="T8"/>
  <c r="U8"/>
  <c r="V8"/>
  <c r="W8"/>
  <c r="X8"/>
  <c r="Y8"/>
  <c r="Z8"/>
  <c r="AB8"/>
  <c r="E9"/>
  <c r="AA9" s="1"/>
  <c r="F9"/>
  <c r="G9"/>
  <c r="H9"/>
  <c r="I9"/>
  <c r="J9"/>
  <c r="K9"/>
  <c r="L9"/>
  <c r="M9"/>
  <c r="N9"/>
  <c r="O9"/>
  <c r="P9"/>
  <c r="Q9"/>
  <c r="R9"/>
  <c r="S9"/>
  <c r="T9"/>
  <c r="U9"/>
  <c r="V9"/>
  <c r="W9"/>
  <c r="X9"/>
  <c r="Y9"/>
  <c r="Z9"/>
  <c r="AB9"/>
  <c r="E10"/>
  <c r="AA10" s="1"/>
  <c r="F10"/>
  <c r="G10"/>
  <c r="H10"/>
  <c r="I10"/>
  <c r="J10"/>
  <c r="K10"/>
  <c r="L10"/>
  <c r="M10"/>
  <c r="N10"/>
  <c r="O10"/>
  <c r="P10"/>
  <c r="Q10"/>
  <c r="R10"/>
  <c r="S10"/>
  <c r="T10"/>
  <c r="U10"/>
  <c r="V10"/>
  <c r="W10"/>
  <c r="X10"/>
  <c r="Y10"/>
  <c r="Z10"/>
  <c r="AB10"/>
  <c r="E11"/>
  <c r="AA11" s="1"/>
  <c r="F11"/>
  <c r="G11"/>
  <c r="H11"/>
  <c r="I11"/>
  <c r="J11"/>
  <c r="K11"/>
  <c r="L11"/>
  <c r="M11"/>
  <c r="N11"/>
  <c r="O11"/>
  <c r="P11"/>
  <c r="Q11"/>
  <c r="R11"/>
  <c r="S11"/>
  <c r="T11"/>
  <c r="U11"/>
  <c r="V11"/>
  <c r="W11"/>
  <c r="X11"/>
  <c r="Y11"/>
  <c r="Z11"/>
  <c r="AB11"/>
  <c r="E12"/>
  <c r="AA12" s="1"/>
  <c r="F12"/>
  <c r="G12"/>
  <c r="H12"/>
  <c r="I12"/>
  <c r="J12"/>
  <c r="K12"/>
  <c r="L12"/>
  <c r="M12"/>
  <c r="N12"/>
  <c r="O12"/>
  <c r="P12"/>
  <c r="Q12"/>
  <c r="R12"/>
  <c r="S12"/>
  <c r="T12"/>
  <c r="U12"/>
  <c r="V12"/>
  <c r="W12"/>
  <c r="X12"/>
  <c r="Y12"/>
  <c r="Z12"/>
  <c r="AB12"/>
  <c r="E13"/>
  <c r="AA13" s="1"/>
  <c r="F13"/>
  <c r="G13"/>
  <c r="H13"/>
  <c r="I13"/>
  <c r="J13"/>
  <c r="K13"/>
  <c r="L13"/>
  <c r="M13"/>
  <c r="N13"/>
  <c r="O13"/>
  <c r="P13"/>
  <c r="Q13"/>
  <c r="R13"/>
  <c r="S13"/>
  <c r="T13"/>
  <c r="U13"/>
  <c r="V13"/>
  <c r="W13"/>
  <c r="X13"/>
  <c r="Y13"/>
  <c r="Z13"/>
  <c r="AB13"/>
  <c r="E14"/>
  <c r="AA14" s="1"/>
  <c r="F14"/>
  <c r="G14"/>
  <c r="H14"/>
  <c r="I14"/>
  <c r="J14"/>
  <c r="K14"/>
  <c r="L14"/>
  <c r="M14"/>
  <c r="N14"/>
  <c r="O14"/>
  <c r="P14"/>
  <c r="Q14"/>
  <c r="R14"/>
  <c r="S14"/>
  <c r="T14"/>
  <c r="U14"/>
  <c r="V14"/>
  <c r="W14"/>
  <c r="X14"/>
  <c r="Y14"/>
  <c r="Z14"/>
  <c r="AB14"/>
  <c r="E15"/>
  <c r="AA15" s="1"/>
  <c r="F15"/>
  <c r="G15"/>
  <c r="H15"/>
  <c r="I15"/>
  <c r="J15"/>
  <c r="K15"/>
  <c r="L15"/>
  <c r="M15"/>
  <c r="N15"/>
  <c r="O15"/>
  <c r="P15"/>
  <c r="Q15"/>
  <c r="R15"/>
  <c r="S15"/>
  <c r="T15"/>
  <c r="U15"/>
  <c r="V15"/>
  <c r="W15"/>
  <c r="X15"/>
  <c r="Y15"/>
  <c r="Z15"/>
  <c r="AB15"/>
  <c r="E16"/>
  <c r="AA16" s="1"/>
  <c r="F16"/>
  <c r="G16"/>
  <c r="H16"/>
  <c r="I16"/>
  <c r="J16"/>
  <c r="K16"/>
  <c r="L16"/>
  <c r="M16"/>
  <c r="N16"/>
  <c r="O16"/>
  <c r="P16"/>
  <c r="Q16"/>
  <c r="R16"/>
  <c r="S16"/>
  <c r="T16"/>
  <c r="U16"/>
  <c r="V16"/>
  <c r="W16"/>
  <c r="X16"/>
  <c r="Y16"/>
  <c r="Z16"/>
  <c r="AB16"/>
  <c r="E17"/>
  <c r="AA17" s="1"/>
  <c r="F17"/>
  <c r="G17"/>
  <c r="H17"/>
  <c r="I17"/>
  <c r="J17"/>
  <c r="K17"/>
  <c r="L17"/>
  <c r="M17"/>
  <c r="N17"/>
  <c r="O17"/>
  <c r="P17"/>
  <c r="Q17"/>
  <c r="R17"/>
  <c r="S17"/>
  <c r="T17"/>
  <c r="U17"/>
  <c r="V17"/>
  <c r="W17"/>
  <c r="X17"/>
  <c r="Y17"/>
  <c r="Z17"/>
  <c r="AB17"/>
  <c r="E18"/>
  <c r="AA18" s="1"/>
  <c r="F18"/>
  <c r="G18"/>
  <c r="H18"/>
  <c r="I18"/>
  <c r="J18"/>
  <c r="K18"/>
  <c r="L18"/>
  <c r="M18"/>
  <c r="N18"/>
  <c r="O18"/>
  <c r="P18"/>
  <c r="Q18"/>
  <c r="R18"/>
  <c r="S18"/>
  <c r="T18"/>
  <c r="U18"/>
  <c r="V18"/>
  <c r="W18"/>
  <c r="X18"/>
  <c r="Y18"/>
  <c r="Z18"/>
  <c r="AB18"/>
  <c r="E19"/>
  <c r="AA19" s="1"/>
  <c r="F19"/>
  <c r="G19"/>
  <c r="H19"/>
  <c r="I19"/>
  <c r="J19"/>
  <c r="K19"/>
  <c r="L19"/>
  <c r="M19"/>
  <c r="N19"/>
  <c r="O19"/>
  <c r="P19"/>
  <c r="Q19"/>
  <c r="R19"/>
  <c r="S19"/>
  <c r="T19"/>
  <c r="U19"/>
  <c r="V19"/>
  <c r="W19"/>
  <c r="X19"/>
  <c r="Y19"/>
  <c r="Z19"/>
  <c r="AB19"/>
  <c r="E20"/>
  <c r="AA20" s="1"/>
  <c r="F20"/>
  <c r="G20"/>
  <c r="H20"/>
  <c r="I20"/>
  <c r="J20"/>
  <c r="K20"/>
  <c r="L20"/>
  <c r="M20"/>
  <c r="N20"/>
  <c r="O20"/>
  <c r="P20"/>
  <c r="Q20"/>
  <c r="R20"/>
  <c r="S20"/>
  <c r="T20"/>
  <c r="U20"/>
  <c r="V20"/>
  <c r="W20"/>
  <c r="X20"/>
  <c r="Y20"/>
  <c r="Z20"/>
  <c r="AB20"/>
  <c r="E24"/>
  <c r="F24"/>
  <c r="G24"/>
  <c r="H24"/>
  <c r="I24"/>
  <c r="J24"/>
  <c r="K24"/>
  <c r="L24"/>
  <c r="M24"/>
  <c r="N24"/>
  <c r="O24"/>
  <c r="P24"/>
  <c r="Q24"/>
  <c r="R24"/>
  <c r="S24"/>
  <c r="T24"/>
  <c r="U24"/>
  <c r="V24"/>
  <c r="W24"/>
  <c r="X24"/>
  <c r="Y24"/>
  <c r="Z24"/>
  <c r="AA24"/>
  <c r="E25"/>
  <c r="F25"/>
  <c r="G25"/>
  <c r="H25"/>
  <c r="I25"/>
  <c r="J25"/>
  <c r="K25"/>
  <c r="L25"/>
  <c r="M25"/>
  <c r="N25"/>
  <c r="O25"/>
  <c r="P25"/>
  <c r="Q25"/>
  <c r="R25"/>
  <c r="S25"/>
  <c r="T25"/>
  <c r="U25"/>
  <c r="V25"/>
  <c r="W25"/>
  <c r="X25"/>
  <c r="Y25"/>
  <c r="Z25"/>
  <c r="AA25"/>
  <c r="E26"/>
  <c r="F26"/>
  <c r="G26"/>
  <c r="H26"/>
  <c r="I26"/>
  <c r="J26"/>
  <c r="K26"/>
  <c r="L26"/>
  <c r="M26"/>
  <c r="N26"/>
  <c r="O26"/>
  <c r="P26"/>
  <c r="Q26"/>
  <c r="R26"/>
  <c r="S26"/>
  <c r="T26"/>
  <c r="U26"/>
  <c r="V26"/>
  <c r="W26"/>
  <c r="X26"/>
  <c r="Y26"/>
  <c r="Z26"/>
  <c r="AA26"/>
  <c r="E3" i="36"/>
  <c r="E4"/>
  <c r="F4"/>
  <c r="G4"/>
  <c r="H4"/>
  <c r="I4"/>
  <c r="J4"/>
  <c r="K4"/>
  <c r="L4"/>
  <c r="M4"/>
  <c r="N4"/>
  <c r="O4"/>
  <c r="P4"/>
  <c r="Q4"/>
  <c r="R4"/>
  <c r="S4"/>
  <c r="T4"/>
  <c r="U4"/>
  <c r="V4"/>
  <c r="W4"/>
  <c r="X4"/>
  <c r="Y4"/>
  <c r="Z4"/>
  <c r="AB4"/>
  <c r="E5"/>
  <c r="F5"/>
  <c r="G5"/>
  <c r="H5"/>
  <c r="I5"/>
  <c r="J5"/>
  <c r="K5"/>
  <c r="L5"/>
  <c r="M5"/>
  <c r="N5"/>
  <c r="O5"/>
  <c r="P5"/>
  <c r="Q5"/>
  <c r="R5"/>
  <c r="S5"/>
  <c r="T5"/>
  <c r="U5"/>
  <c r="V5"/>
  <c r="W5"/>
  <c r="X5"/>
  <c r="Y5"/>
  <c r="Z5"/>
  <c r="AB5"/>
  <c r="E6"/>
  <c r="F6"/>
  <c r="G6"/>
  <c r="H6"/>
  <c r="I6"/>
  <c r="J6"/>
  <c r="K6"/>
  <c r="L6"/>
  <c r="M6"/>
  <c r="N6"/>
  <c r="O6"/>
  <c r="P6"/>
  <c r="Q6"/>
  <c r="R6"/>
  <c r="S6"/>
  <c r="T6"/>
  <c r="U6"/>
  <c r="V6"/>
  <c r="W6"/>
  <c r="X6"/>
  <c r="Y6"/>
  <c r="Z6"/>
  <c r="AB6"/>
  <c r="E7"/>
  <c r="F7"/>
  <c r="G7"/>
  <c r="H7"/>
  <c r="I7"/>
  <c r="J7"/>
  <c r="K7"/>
  <c r="L7"/>
  <c r="M7"/>
  <c r="N7"/>
  <c r="O7"/>
  <c r="P7"/>
  <c r="Q7"/>
  <c r="R7"/>
  <c r="S7"/>
  <c r="T7"/>
  <c r="U7"/>
  <c r="V7"/>
  <c r="W7"/>
  <c r="X7"/>
  <c r="Y7"/>
  <c r="Z7"/>
  <c r="AB7"/>
  <c r="E8"/>
  <c r="F8"/>
  <c r="G8"/>
  <c r="H8"/>
  <c r="I8"/>
  <c r="J8"/>
  <c r="K8"/>
  <c r="L8"/>
  <c r="M8"/>
  <c r="N8"/>
  <c r="O8"/>
  <c r="P8"/>
  <c r="Q8"/>
  <c r="R8"/>
  <c r="S8"/>
  <c r="T8"/>
  <c r="U8"/>
  <c r="V8"/>
  <c r="W8"/>
  <c r="X8"/>
  <c r="Y8"/>
  <c r="Z8"/>
  <c r="AB8"/>
  <c r="E9"/>
  <c r="F9"/>
  <c r="G9"/>
  <c r="H9"/>
  <c r="I9"/>
  <c r="J9"/>
  <c r="K9"/>
  <c r="L9"/>
  <c r="M9"/>
  <c r="N9"/>
  <c r="O9"/>
  <c r="P9"/>
  <c r="Q9"/>
  <c r="R9"/>
  <c r="S9"/>
  <c r="T9"/>
  <c r="U9"/>
  <c r="V9"/>
  <c r="W9"/>
  <c r="X9"/>
  <c r="Y9"/>
  <c r="Z9"/>
  <c r="AB9"/>
  <c r="E10"/>
  <c r="F10"/>
  <c r="G10"/>
  <c r="H10"/>
  <c r="I10"/>
  <c r="J10"/>
  <c r="K10"/>
  <c r="L10"/>
  <c r="M10"/>
  <c r="N10"/>
  <c r="O10"/>
  <c r="P10"/>
  <c r="Q10"/>
  <c r="R10"/>
  <c r="S10"/>
  <c r="T10"/>
  <c r="U10"/>
  <c r="V10"/>
  <c r="W10"/>
  <c r="X10"/>
  <c r="Y10"/>
  <c r="Z10"/>
  <c r="AB10"/>
  <c r="E11"/>
  <c r="F11"/>
  <c r="G11"/>
  <c r="H11"/>
  <c r="I11"/>
  <c r="J11"/>
  <c r="K11"/>
  <c r="L11"/>
  <c r="M11"/>
  <c r="N11"/>
  <c r="O11"/>
  <c r="P11"/>
  <c r="Q11"/>
  <c r="R11"/>
  <c r="S11"/>
  <c r="T11"/>
  <c r="U11"/>
  <c r="V11"/>
  <c r="W11"/>
  <c r="X11"/>
  <c r="Y11"/>
  <c r="Z11"/>
  <c r="AB11"/>
  <c r="E12"/>
  <c r="F12"/>
  <c r="G12"/>
  <c r="H12"/>
  <c r="I12"/>
  <c r="J12"/>
  <c r="K12"/>
  <c r="L12"/>
  <c r="M12"/>
  <c r="N12"/>
  <c r="O12"/>
  <c r="P12"/>
  <c r="Q12"/>
  <c r="R12"/>
  <c r="S12"/>
  <c r="T12"/>
  <c r="U12"/>
  <c r="V12"/>
  <c r="W12"/>
  <c r="X12"/>
  <c r="Y12"/>
  <c r="Z12"/>
  <c r="AB12"/>
  <c r="E13"/>
  <c r="F13"/>
  <c r="G13"/>
  <c r="H13"/>
  <c r="I13"/>
  <c r="J13"/>
  <c r="K13"/>
  <c r="L13"/>
  <c r="M13"/>
  <c r="N13"/>
  <c r="O13"/>
  <c r="P13"/>
  <c r="Q13"/>
  <c r="R13"/>
  <c r="S13"/>
  <c r="T13"/>
  <c r="U13"/>
  <c r="V13"/>
  <c r="W13"/>
  <c r="X13"/>
  <c r="Y13"/>
  <c r="Z13"/>
  <c r="AB13"/>
  <c r="E14"/>
  <c r="F14"/>
  <c r="G14"/>
  <c r="H14"/>
  <c r="I14"/>
  <c r="J14"/>
  <c r="K14"/>
  <c r="L14"/>
  <c r="M14"/>
  <c r="N14"/>
  <c r="O14"/>
  <c r="P14"/>
  <c r="Q14"/>
  <c r="R14"/>
  <c r="S14"/>
  <c r="T14"/>
  <c r="U14"/>
  <c r="V14"/>
  <c r="W14"/>
  <c r="X14"/>
  <c r="Y14"/>
  <c r="Z14"/>
  <c r="AB14"/>
  <c r="E15"/>
  <c r="F15"/>
  <c r="G15"/>
  <c r="H15"/>
  <c r="I15"/>
  <c r="J15"/>
  <c r="K15"/>
  <c r="L15"/>
  <c r="M15"/>
  <c r="N15"/>
  <c r="O15"/>
  <c r="P15"/>
  <c r="Q15"/>
  <c r="R15"/>
  <c r="S15"/>
  <c r="T15"/>
  <c r="U15"/>
  <c r="V15"/>
  <c r="W15"/>
  <c r="X15"/>
  <c r="Y15"/>
  <c r="Z15"/>
  <c r="AB15"/>
  <c r="E16"/>
  <c r="F16"/>
  <c r="G16"/>
  <c r="H16"/>
  <c r="I16"/>
  <c r="J16"/>
  <c r="K16"/>
  <c r="L16"/>
  <c r="M16"/>
  <c r="N16"/>
  <c r="O16"/>
  <c r="P16"/>
  <c r="Q16"/>
  <c r="R16"/>
  <c r="S16"/>
  <c r="T16"/>
  <c r="U16"/>
  <c r="V16"/>
  <c r="W16"/>
  <c r="X16"/>
  <c r="Y16"/>
  <c r="Z16"/>
  <c r="AB16"/>
  <c r="E17"/>
  <c r="F17"/>
  <c r="G17"/>
  <c r="H17"/>
  <c r="I17"/>
  <c r="J17"/>
  <c r="K17"/>
  <c r="L17"/>
  <c r="M17"/>
  <c r="N17"/>
  <c r="O17"/>
  <c r="P17"/>
  <c r="Q17"/>
  <c r="R17"/>
  <c r="S17"/>
  <c r="T17"/>
  <c r="U17"/>
  <c r="V17"/>
  <c r="W17"/>
  <c r="X17"/>
  <c r="Y17"/>
  <c r="Z17"/>
  <c r="AB17"/>
  <c r="E18"/>
  <c r="F18"/>
  <c r="G18"/>
  <c r="H18"/>
  <c r="I18"/>
  <c r="J18"/>
  <c r="K18"/>
  <c r="L18"/>
  <c r="M18"/>
  <c r="N18"/>
  <c r="O18"/>
  <c r="P18"/>
  <c r="Q18"/>
  <c r="R18"/>
  <c r="S18"/>
  <c r="T18"/>
  <c r="U18"/>
  <c r="V18"/>
  <c r="W18"/>
  <c r="X18"/>
  <c r="Y18"/>
  <c r="Z18"/>
  <c r="AB18"/>
  <c r="E19"/>
  <c r="F19"/>
  <c r="G19"/>
  <c r="H19"/>
  <c r="I19"/>
  <c r="J19"/>
  <c r="K19"/>
  <c r="L19"/>
  <c r="M19"/>
  <c r="N19"/>
  <c r="O19"/>
  <c r="P19"/>
  <c r="Q19"/>
  <c r="R19"/>
  <c r="S19"/>
  <c r="T19"/>
  <c r="U19"/>
  <c r="V19"/>
  <c r="W19"/>
  <c r="X19"/>
  <c r="Y19"/>
  <c r="Z19"/>
  <c r="AB19"/>
  <c r="E20"/>
  <c r="F20"/>
  <c r="G20"/>
  <c r="H20"/>
  <c r="I20"/>
  <c r="J20"/>
  <c r="K20"/>
  <c r="L20"/>
  <c r="M20"/>
  <c r="N20"/>
  <c r="O20"/>
  <c r="P20"/>
  <c r="Q20"/>
  <c r="R20"/>
  <c r="S20"/>
  <c r="T20"/>
  <c r="U20"/>
  <c r="V20"/>
  <c r="W20"/>
  <c r="X20"/>
  <c r="Y20"/>
  <c r="Z20"/>
  <c r="AB20"/>
  <c r="AB4" i="25"/>
  <c r="AB5"/>
  <c r="AB6"/>
  <c r="AB7"/>
  <c r="AB8"/>
  <c r="AB9"/>
  <c r="AB10"/>
  <c r="AB11"/>
  <c r="AB12"/>
  <c r="AB13"/>
  <c r="AB14"/>
  <c r="AB15"/>
  <c r="AB16"/>
  <c r="AB17"/>
  <c r="AB18"/>
  <c r="AB19"/>
  <c r="AB20"/>
  <c r="AB4" i="40"/>
  <c r="AB5"/>
  <c r="AB6"/>
  <c r="AB7"/>
  <c r="AB8"/>
  <c r="AB9"/>
  <c r="AB10"/>
  <c r="AB11"/>
  <c r="AB12"/>
  <c r="AB13"/>
  <c r="AB14"/>
  <c r="AB15"/>
  <c r="AB16"/>
  <c r="AB17"/>
  <c r="AB18"/>
  <c r="AB19"/>
  <c r="AB20"/>
  <c r="AB4" i="16"/>
  <c r="AB5"/>
  <c r="AB6"/>
  <c r="AB7"/>
  <c r="AB8"/>
  <c r="AB9"/>
  <c r="AB10"/>
  <c r="AB11"/>
  <c r="AB12"/>
  <c r="AB13"/>
  <c r="AB14"/>
  <c r="AB15"/>
  <c r="AB16"/>
  <c r="AB17"/>
  <c r="AB18"/>
  <c r="AB19"/>
  <c r="AB20"/>
  <c r="AB4" i="12"/>
  <c r="AB5"/>
  <c r="AB6"/>
  <c r="AB7"/>
  <c r="AB8"/>
  <c r="AB9"/>
  <c r="AB10"/>
  <c r="AB11"/>
  <c r="AB12"/>
  <c r="AB13"/>
  <c r="AB14"/>
  <c r="AB15"/>
  <c r="AB16"/>
  <c r="AB17"/>
  <c r="AB18"/>
  <c r="AB19"/>
  <c r="AB20"/>
  <c r="AF21"/>
  <c r="AF22"/>
  <c r="AA21"/>
  <c r="AB4" i="28"/>
  <c r="AB5"/>
  <c r="AB6"/>
  <c r="AB7"/>
  <c r="AB8"/>
  <c r="AB9"/>
  <c r="AB10"/>
  <c r="AB11"/>
  <c r="AB12"/>
  <c r="AB13"/>
  <c r="AB14"/>
  <c r="AB15"/>
  <c r="AB16"/>
  <c r="AB17"/>
  <c r="AB18"/>
  <c r="AB19"/>
  <c r="AB20"/>
  <c r="AB4" i="35"/>
  <c r="AB5"/>
  <c r="AB6"/>
  <c r="AB7"/>
  <c r="AB8"/>
  <c r="AB9"/>
  <c r="AB10"/>
  <c r="AB11"/>
  <c r="AB12"/>
  <c r="AB13"/>
  <c r="AB14"/>
  <c r="AB15"/>
  <c r="AB16"/>
  <c r="AB17"/>
  <c r="AB18"/>
  <c r="AB19"/>
  <c r="AB20"/>
  <c r="AB4" i="14"/>
  <c r="AB5"/>
  <c r="AB6"/>
  <c r="AB7"/>
  <c r="AB8"/>
  <c r="AB9"/>
  <c r="AB10"/>
  <c r="AB11"/>
  <c r="AB12"/>
  <c r="AB13"/>
  <c r="AB14"/>
  <c r="AB15"/>
  <c r="AB16"/>
  <c r="AB17"/>
  <c r="AB18"/>
  <c r="AB19"/>
  <c r="AB20"/>
  <c r="AA21"/>
  <c r="AB4" i="30"/>
  <c r="AB5"/>
  <c r="AB6"/>
  <c r="AB7"/>
  <c r="AB8"/>
  <c r="AB9"/>
  <c r="AB10"/>
  <c r="AB11"/>
  <c r="AB12"/>
  <c r="AB13"/>
  <c r="AB14"/>
  <c r="AB15"/>
  <c r="AB16"/>
  <c r="AB17"/>
  <c r="AB18"/>
  <c r="AB19"/>
  <c r="AB20"/>
  <c r="AA21"/>
  <c r="AB4" i="37"/>
  <c r="AB5"/>
  <c r="AB6"/>
  <c r="AB7"/>
  <c r="AB8"/>
  <c r="AB9"/>
  <c r="AB10"/>
  <c r="AB11"/>
  <c r="AB12"/>
  <c r="AB13"/>
  <c r="AB14"/>
  <c r="AB15"/>
  <c r="AB16"/>
  <c r="AB17"/>
  <c r="AB18"/>
  <c r="AB19"/>
  <c r="AB20"/>
  <c r="AB4" i="21"/>
  <c r="AB5"/>
  <c r="AB6"/>
  <c r="AB7"/>
  <c r="AB8"/>
  <c r="AB9"/>
  <c r="AB10"/>
  <c r="AB11"/>
  <c r="AB12"/>
  <c r="AB13"/>
  <c r="AB14"/>
  <c r="AB15"/>
  <c r="AB16"/>
  <c r="AB17"/>
  <c r="AB18"/>
  <c r="AB19"/>
  <c r="AB20"/>
  <c r="Z52" i="10"/>
  <c r="Z33"/>
  <c r="AA26" i="45"/>
  <c r="Z15" i="10"/>
  <c r="N38" i="19" s="1"/>
  <c r="Z27" i="10"/>
  <c r="Z43"/>
  <c r="AA21" i="25"/>
  <c r="Z9" i="10"/>
  <c r="Z26"/>
  <c r="Z30"/>
  <c r="Z13"/>
  <c r="Z17"/>
  <c r="Z42"/>
  <c r="Z2"/>
  <c r="N9" i="19" s="1"/>
  <c r="Z25" i="10"/>
  <c r="N30" i="19" s="1"/>
  <c r="C1" i="9"/>
  <c r="O1"/>
  <c r="E1"/>
  <c r="I1"/>
  <c r="G1"/>
  <c r="M1"/>
  <c r="A1"/>
  <c r="Q1"/>
  <c r="S1"/>
  <c r="C2"/>
  <c r="O2"/>
  <c r="E2"/>
  <c r="I2"/>
  <c r="G2"/>
  <c r="M2"/>
  <c r="U2"/>
  <c r="A2"/>
  <c r="Q2"/>
  <c r="S2"/>
  <c r="C3"/>
  <c r="O3"/>
  <c r="E3"/>
  <c r="I3"/>
  <c r="G3"/>
  <c r="M3"/>
  <c r="A3"/>
  <c r="Q3"/>
  <c r="C4"/>
  <c r="O4"/>
  <c r="E4"/>
  <c r="I4"/>
  <c r="J4" s="1"/>
  <c r="G4"/>
  <c r="M4"/>
  <c r="A4"/>
  <c r="Q4"/>
  <c r="S4"/>
  <c r="C5"/>
  <c r="O5"/>
  <c r="E5"/>
  <c r="I5"/>
  <c r="G5"/>
  <c r="M5"/>
  <c r="A5"/>
  <c r="Q5"/>
  <c r="S5"/>
  <c r="C6"/>
  <c r="O6"/>
  <c r="E6"/>
  <c r="I6"/>
  <c r="G6"/>
  <c r="M6"/>
  <c r="A6"/>
  <c r="Q6"/>
  <c r="S6"/>
  <c r="C7"/>
  <c r="O7"/>
  <c r="E7"/>
  <c r="F7" s="1"/>
  <c r="I7"/>
  <c r="J7" s="1"/>
  <c r="G7"/>
  <c r="M7"/>
  <c r="A7"/>
  <c r="Q7"/>
  <c r="S7"/>
  <c r="C8"/>
  <c r="O8"/>
  <c r="E8"/>
  <c r="I8"/>
  <c r="G8"/>
  <c r="M8"/>
  <c r="A8"/>
  <c r="Q8"/>
  <c r="S8"/>
  <c r="C9"/>
  <c r="O9"/>
  <c r="E9"/>
  <c r="I9"/>
  <c r="G9"/>
  <c r="M9"/>
  <c r="A9"/>
  <c r="Q9"/>
  <c r="S9"/>
  <c r="C10"/>
  <c r="O10"/>
  <c r="E10"/>
  <c r="I10"/>
  <c r="G10"/>
  <c r="M10"/>
  <c r="A10"/>
  <c r="Q10"/>
  <c r="S10"/>
  <c r="T10" s="1"/>
  <c r="C11"/>
  <c r="O11"/>
  <c r="E11"/>
  <c r="I11"/>
  <c r="G11"/>
  <c r="M11"/>
  <c r="A11"/>
  <c r="Q11"/>
  <c r="S11"/>
  <c r="C12"/>
  <c r="O12"/>
  <c r="E12"/>
  <c r="I12"/>
  <c r="G12"/>
  <c r="M12"/>
  <c r="A12"/>
  <c r="Q12"/>
  <c r="S12"/>
  <c r="C13"/>
  <c r="O13"/>
  <c r="E13"/>
  <c r="I13"/>
  <c r="G13"/>
  <c r="M13"/>
  <c r="A13"/>
  <c r="Q13"/>
  <c r="S13"/>
  <c r="C14"/>
  <c r="O14"/>
  <c r="E14"/>
  <c r="I14"/>
  <c r="G14"/>
  <c r="M14"/>
  <c r="V14"/>
  <c r="A14"/>
  <c r="Q14"/>
  <c r="R14" s="1"/>
  <c r="S14"/>
  <c r="C15"/>
  <c r="O15"/>
  <c r="E15"/>
  <c r="I15"/>
  <c r="G15"/>
  <c r="M15"/>
  <c r="A15"/>
  <c r="Q15"/>
  <c r="S15"/>
  <c r="T15" s="1"/>
  <c r="C16"/>
  <c r="D16" s="1"/>
  <c r="O16"/>
  <c r="E16"/>
  <c r="I16"/>
  <c r="G16"/>
  <c r="M16"/>
  <c r="A16"/>
  <c r="Q16"/>
  <c r="S16"/>
  <c r="C17"/>
  <c r="O17"/>
  <c r="E17"/>
  <c r="I17"/>
  <c r="G17"/>
  <c r="M17"/>
  <c r="A17"/>
  <c r="Q17"/>
  <c r="S17"/>
  <c r="C18"/>
  <c r="O18"/>
  <c r="E18"/>
  <c r="F18" s="1"/>
  <c r="I18"/>
  <c r="G18"/>
  <c r="M18"/>
  <c r="A18"/>
  <c r="Q18"/>
  <c r="S18"/>
  <c r="C19"/>
  <c r="O19"/>
  <c r="E19"/>
  <c r="I19"/>
  <c r="G19"/>
  <c r="H19" s="1"/>
  <c r="M19"/>
  <c r="A19"/>
  <c r="Q19"/>
  <c r="R19" s="1"/>
  <c r="S19"/>
  <c r="C20"/>
  <c r="O20"/>
  <c r="E20"/>
  <c r="I20"/>
  <c r="G20"/>
  <c r="M20"/>
  <c r="A20"/>
  <c r="Q20"/>
  <c r="T20"/>
  <c r="C21"/>
  <c r="O21"/>
  <c r="E21"/>
  <c r="I21"/>
  <c r="G21"/>
  <c r="M21"/>
  <c r="A21"/>
  <c r="Q21"/>
  <c r="C22"/>
  <c r="O22"/>
  <c r="E22"/>
  <c r="I22"/>
  <c r="G22"/>
  <c r="M22"/>
  <c r="A22"/>
  <c r="Q22"/>
  <c r="C23"/>
  <c r="O23"/>
  <c r="E23"/>
  <c r="I23"/>
  <c r="G23"/>
  <c r="M23"/>
  <c r="A23"/>
  <c r="Q23"/>
  <c r="C24"/>
  <c r="D24" s="1"/>
  <c r="O24"/>
  <c r="E24"/>
  <c r="I24"/>
  <c r="G24"/>
  <c r="H24" s="1"/>
  <c r="M24"/>
  <c r="A24"/>
  <c r="Q24"/>
  <c r="C25"/>
  <c r="O25"/>
  <c r="E25"/>
  <c r="I25"/>
  <c r="G25"/>
  <c r="M25"/>
  <c r="A25"/>
  <c r="B25" s="1"/>
  <c r="Q25"/>
  <c r="C26"/>
  <c r="O26"/>
  <c r="E26"/>
  <c r="F26" s="1"/>
  <c r="I26"/>
  <c r="G26"/>
  <c r="M26"/>
  <c r="N26" s="1"/>
  <c r="A26"/>
  <c r="Q26"/>
  <c r="C21" i="2"/>
  <c r="AC21" s="1"/>
  <c r="E21"/>
  <c r="AE21" s="1"/>
  <c r="AB48"/>
  <c r="Z11" i="10"/>
  <c r="Z20"/>
  <c r="U22" i="25"/>
  <c r="Z8" i="10"/>
  <c r="N49" i="19" s="1"/>
  <c r="AA21" i="40"/>
  <c r="N22" i="16"/>
  <c r="F3" i="17"/>
  <c r="F3" i="15"/>
  <c r="F3" i="33"/>
  <c r="F3" i="34"/>
  <c r="F3" i="32"/>
  <c r="Z51" i="10"/>
  <c r="G3" i="34"/>
  <c r="G3" i="32"/>
  <c r="G3" i="17"/>
  <c r="G3" i="15"/>
  <c r="G3" i="33"/>
  <c r="F21" i="2"/>
  <c r="AF21" s="1"/>
  <c r="H3" i="17"/>
  <c r="H3" i="15"/>
  <c r="H3" i="33"/>
  <c r="H3" i="34"/>
  <c r="H3" i="32"/>
  <c r="Y3" i="34"/>
  <c r="Y3" i="32"/>
  <c r="Y3" i="17"/>
  <c r="Y3" i="15"/>
  <c r="Y3" i="33"/>
  <c r="F9" i="9"/>
  <c r="F36" i="2"/>
  <c r="F49" s="1"/>
  <c r="U22" i="16"/>
  <c r="X22" i="40"/>
  <c r="T22" i="12"/>
  <c r="U22"/>
  <c r="V22" i="16"/>
  <c r="V22" i="40"/>
  <c r="V22" i="25"/>
  <c r="Z44" i="10"/>
  <c r="X22" i="25"/>
  <c r="Y22"/>
  <c r="Y22" i="40"/>
  <c r="V22" i="35"/>
  <c r="W22" i="28"/>
  <c r="W22" i="40"/>
  <c r="T22" i="16"/>
  <c r="C36" i="2"/>
  <c r="AC36" s="1"/>
  <c r="T22" i="28"/>
  <c r="W22" i="30"/>
  <c r="X21" i="2"/>
  <c r="AX21" s="1"/>
  <c r="X36"/>
  <c r="AX36" s="1"/>
  <c r="Z29" i="10"/>
  <c r="Z34"/>
  <c r="Z28"/>
  <c r="J22" i="16"/>
  <c r="Q22"/>
  <c r="R22" i="12"/>
  <c r="AA21" i="28"/>
  <c r="I22" i="25"/>
  <c r="M22" i="12"/>
  <c r="P22" i="25"/>
  <c r="Q22" i="28"/>
  <c r="S22" i="14"/>
  <c r="Z16" i="10"/>
  <c r="G22" i="28"/>
  <c r="N22" i="14"/>
  <c r="Z14" i="10"/>
  <c r="Z7"/>
  <c r="E22" i="25"/>
  <c r="X22" i="12"/>
  <c r="R22" i="35"/>
  <c r="G22" i="30"/>
  <c r="X22" i="28"/>
  <c r="W22" i="16"/>
  <c r="W22" i="25"/>
  <c r="K22" i="35"/>
  <c r="Y22" i="28"/>
  <c r="X22" i="16"/>
  <c r="Y22" i="37"/>
  <c r="AA21"/>
  <c r="N22" i="30"/>
  <c r="G22" i="37"/>
  <c r="R22" i="28"/>
  <c r="N22" i="40"/>
  <c r="M22" i="25"/>
  <c r="G21" i="2"/>
  <c r="AG21" s="1"/>
  <c r="G36"/>
  <c r="AG36" s="1"/>
  <c r="L22" i="12"/>
  <c r="U13" i="2"/>
  <c r="R9"/>
  <c r="V9"/>
  <c r="P7"/>
  <c r="R7"/>
  <c r="V13"/>
  <c r="B3"/>
  <c r="L9"/>
  <c r="P8"/>
  <c r="H9"/>
  <c r="B13"/>
  <c r="U9"/>
  <c r="O13"/>
  <c r="K7"/>
  <c r="D10"/>
  <c r="V7"/>
  <c r="E13"/>
  <c r="D6"/>
  <c r="D5"/>
  <c r="P13"/>
  <c r="D9"/>
  <c r="S9"/>
  <c r="O9"/>
  <c r="T9"/>
  <c r="S7"/>
  <c r="J7"/>
  <c r="R13"/>
  <c r="W13"/>
  <c r="D11"/>
  <c r="B32" l="1"/>
  <c r="N33" i="19"/>
  <c r="N46"/>
  <c r="N36"/>
  <c r="N4"/>
  <c r="N51"/>
  <c r="N22"/>
  <c r="N43"/>
  <c r="N21"/>
  <c r="N35"/>
  <c r="N18"/>
  <c r="N37"/>
  <c r="N56"/>
  <c r="N40"/>
  <c r="N55"/>
  <c r="N17"/>
  <c r="N3"/>
  <c r="N26"/>
  <c r="N41"/>
  <c r="N11"/>
  <c r="N54"/>
  <c r="AA15" i="36"/>
  <c r="AA10"/>
  <c r="AA9"/>
  <c r="AA20"/>
  <c r="AA18"/>
  <c r="AA16"/>
  <c r="AA14"/>
  <c r="AA12"/>
  <c r="AA8"/>
  <c r="AA6"/>
  <c r="Y22"/>
  <c r="W22"/>
  <c r="U22"/>
  <c r="S22"/>
  <c r="Q22"/>
  <c r="O22"/>
  <c r="M22"/>
  <c r="K22"/>
  <c r="I22"/>
  <c r="G22"/>
  <c r="E22"/>
  <c r="AA19"/>
  <c r="AA17"/>
  <c r="AA13"/>
  <c r="AA11"/>
  <c r="AA7"/>
  <c r="AA5"/>
  <c r="Z22"/>
  <c r="X22"/>
  <c r="V22"/>
  <c r="T22"/>
  <c r="R22"/>
  <c r="P22"/>
  <c r="N22"/>
  <c r="L22"/>
  <c r="J22"/>
  <c r="H22"/>
  <c r="F22"/>
  <c r="E22" i="15"/>
  <c r="AA4" i="17"/>
  <c r="AA22" s="1"/>
  <c r="E22" i="34"/>
  <c r="AA4" i="36"/>
  <c r="AA4" i="32"/>
  <c r="AA22" s="1"/>
  <c r="AA4" i="33"/>
  <c r="AA22" s="1"/>
  <c r="E25" i="21"/>
  <c r="E24"/>
  <c r="E26"/>
  <c r="I25"/>
  <c r="I24"/>
  <c r="I26"/>
  <c r="H24"/>
  <c r="H26"/>
  <c r="H25"/>
  <c r="G25"/>
  <c r="G24"/>
  <c r="G26"/>
  <c r="AA24" i="12"/>
  <c r="X49" i="2"/>
  <c r="Z10" i="10"/>
  <c r="Z35"/>
  <c r="Z4"/>
  <c r="Z53"/>
  <c r="N12" i="19" s="1"/>
  <c r="Z46" i="10"/>
  <c r="N16" i="19" s="1"/>
  <c r="AA24" i="14"/>
  <c r="Z45" i="10"/>
  <c r="N15" i="19" s="1"/>
  <c r="Z3" i="10"/>
  <c r="N8" i="9"/>
  <c r="D7"/>
  <c r="F11"/>
  <c r="R4"/>
  <c r="H10"/>
  <c r="H5"/>
  <c r="N14"/>
  <c r="Z18" i="10"/>
  <c r="N6" i="9"/>
  <c r="N24"/>
  <c r="T16"/>
  <c r="T25"/>
  <c r="J25"/>
  <c r="P24"/>
  <c r="N18"/>
  <c r="N15"/>
  <c r="N10"/>
  <c r="T8"/>
  <c r="N7"/>
  <c r="T5"/>
  <c r="N5"/>
  <c r="T6"/>
  <c r="P6"/>
  <c r="P16"/>
  <c r="Z19" i="10"/>
  <c r="N45" i="19" s="1"/>
  <c r="H12" i="9"/>
  <c r="Z22" i="10"/>
  <c r="N10" i="19" s="1"/>
  <c r="H25" i="9"/>
  <c r="D25"/>
  <c r="F24"/>
  <c r="R20"/>
  <c r="F20"/>
  <c r="F19"/>
  <c r="R18"/>
  <c r="H17"/>
  <c r="R15"/>
  <c r="D14"/>
  <c r="R13"/>
  <c r="V13"/>
  <c r="R12"/>
  <c r="D12"/>
  <c r="R11"/>
  <c r="R10"/>
  <c r="V10"/>
  <c r="R8"/>
  <c r="H7"/>
  <c r="F6"/>
  <c r="D6"/>
  <c r="R5"/>
  <c r="Z6" i="10"/>
  <c r="V5" i="9"/>
  <c r="Z54" i="10"/>
  <c r="N5" i="19" s="1"/>
  <c r="R26" i="9"/>
  <c r="H26"/>
  <c r="V25"/>
  <c r="V24"/>
  <c r="R17"/>
  <c r="V17"/>
  <c r="F14"/>
  <c r="F10"/>
  <c r="F17"/>
  <c r="F13"/>
  <c r="D26"/>
  <c r="R25"/>
  <c r="F25"/>
  <c r="F16"/>
  <c r="H13"/>
  <c r="R6"/>
  <c r="T7"/>
  <c r="J19"/>
  <c r="Z41" i="10"/>
  <c r="N23" i="19" s="1"/>
  <c r="J6" i="9"/>
  <c r="J13"/>
  <c r="T4"/>
  <c r="D20"/>
  <c r="R9"/>
  <c r="R7"/>
  <c r="V7"/>
  <c r="AA25" i="40"/>
  <c r="AA25" i="14"/>
  <c r="AA25" i="37"/>
  <c r="AA25" i="12"/>
  <c r="AA24" i="16"/>
  <c r="AA24" i="37"/>
  <c r="AA26" i="35"/>
  <c r="Z5" i="10"/>
  <c r="N53" i="19" s="1"/>
  <c r="AA24" i="45"/>
  <c r="Z21" i="10"/>
  <c r="AA25" i="45"/>
  <c r="V26" i="9"/>
  <c r="R24"/>
  <c r="R16"/>
  <c r="F12"/>
  <c r="F4"/>
  <c r="P5"/>
  <c r="B24"/>
  <c r="T12"/>
  <c r="N25"/>
  <c r="N4"/>
  <c r="F5"/>
  <c r="T26"/>
  <c r="B26"/>
  <c r="J26"/>
  <c r="P26"/>
  <c r="P25"/>
  <c r="T24"/>
  <c r="J24"/>
  <c r="N20"/>
  <c r="T19"/>
  <c r="N19"/>
  <c r="T18"/>
  <c r="T17"/>
  <c r="N17"/>
  <c r="T14"/>
  <c r="T13"/>
  <c r="N13"/>
  <c r="N12"/>
  <c r="T11"/>
  <c r="N11"/>
  <c r="T9"/>
  <c r="N9"/>
  <c r="AA25" i="16"/>
  <c r="AA25" i="25"/>
  <c r="AA25" i="35"/>
  <c r="AA25" i="30"/>
  <c r="AA24" i="40"/>
  <c r="AA24" i="28"/>
  <c r="AA24" i="25"/>
  <c r="AA24" i="30"/>
  <c r="AA26" i="12"/>
  <c r="AA25" i="28"/>
  <c r="N16" i="9"/>
  <c r="F15"/>
  <c r="F8"/>
  <c r="AA26" i="14"/>
  <c r="AA26" i="40"/>
  <c r="AA26" i="16"/>
  <c r="AA26" i="28"/>
  <c r="AA26" i="25"/>
  <c r="AA26" i="37"/>
  <c r="AA24" i="35"/>
  <c r="AA26" i="30"/>
  <c r="F22" i="21"/>
  <c r="E6"/>
  <c r="E8"/>
  <c r="E10"/>
  <c r="E12"/>
  <c r="E14"/>
  <c r="E16"/>
  <c r="E18"/>
  <c r="E20"/>
  <c r="E5"/>
  <c r="E9"/>
  <c r="E15"/>
  <c r="E19"/>
  <c r="E7"/>
  <c r="E11"/>
  <c r="E13"/>
  <c r="E17"/>
  <c r="E4"/>
  <c r="I5"/>
  <c r="I7"/>
  <c r="I9"/>
  <c r="I11"/>
  <c r="I13"/>
  <c r="I15"/>
  <c r="I17"/>
  <c r="I19"/>
  <c r="I4"/>
  <c r="I6"/>
  <c r="I8"/>
  <c r="I10"/>
  <c r="I12"/>
  <c r="I14"/>
  <c r="I16"/>
  <c r="I18"/>
  <c r="I20"/>
  <c r="H4"/>
  <c r="H6"/>
  <c r="H8"/>
  <c r="H10"/>
  <c r="H12"/>
  <c r="H14"/>
  <c r="H16"/>
  <c r="H18"/>
  <c r="H20"/>
  <c r="H5"/>
  <c r="H7"/>
  <c r="H9"/>
  <c r="H11"/>
  <c r="H13"/>
  <c r="H15"/>
  <c r="H17"/>
  <c r="H19"/>
  <c r="G5"/>
  <c r="G7"/>
  <c r="G9"/>
  <c r="G11"/>
  <c r="G13"/>
  <c r="G15"/>
  <c r="G17"/>
  <c r="G19"/>
  <c r="G4"/>
  <c r="G6"/>
  <c r="G8"/>
  <c r="G10"/>
  <c r="G12"/>
  <c r="G14"/>
  <c r="G16"/>
  <c r="G18"/>
  <c r="G20"/>
  <c r="K22" i="14"/>
  <c r="I22" i="12"/>
  <c r="O22" i="25"/>
  <c r="L22" i="40"/>
  <c r="P22" i="35"/>
  <c r="O22" i="14"/>
  <c r="O22" i="40"/>
  <c r="B8" i="9"/>
  <c r="Z40" i="10"/>
  <c r="N13" i="19" s="1"/>
  <c r="B15" i="9"/>
  <c r="B11"/>
  <c r="V20"/>
  <c r="V19"/>
  <c r="D19"/>
  <c r="V18"/>
  <c r="D18"/>
  <c r="D17"/>
  <c r="V16"/>
  <c r="V15"/>
  <c r="D15"/>
  <c r="D13"/>
  <c r="V12"/>
  <c r="V11"/>
  <c r="D11"/>
  <c r="D10"/>
  <c r="V9"/>
  <c r="D9"/>
  <c r="V8"/>
  <c r="D8"/>
  <c r="V6"/>
  <c r="D5"/>
  <c r="V4"/>
  <c r="D4"/>
  <c r="B14"/>
  <c r="H20"/>
  <c r="H18"/>
  <c r="H16"/>
  <c r="H15"/>
  <c r="H14"/>
  <c r="H11"/>
  <c r="H9"/>
  <c r="H8"/>
  <c r="H6"/>
  <c r="H4"/>
  <c r="AA14" i="40"/>
  <c r="AA10"/>
  <c r="AA8"/>
  <c r="AA15" i="16"/>
  <c r="AA13"/>
  <c r="AA11"/>
  <c r="AA7"/>
  <c r="AA5"/>
  <c r="AA16" i="28"/>
  <c r="AA10"/>
  <c r="AA8"/>
  <c r="AA15" i="14"/>
  <c r="AA18" i="25"/>
  <c r="AA16"/>
  <c r="AA12"/>
  <c r="AA10"/>
  <c r="AA11" i="37"/>
  <c r="AA18" i="30"/>
  <c r="P14" i="9"/>
  <c r="AA13" i="12"/>
  <c r="AA8" i="25"/>
  <c r="AA16" i="30"/>
  <c r="I22" i="40"/>
  <c r="AA16"/>
  <c r="P13" i="9"/>
  <c r="P4"/>
  <c r="AA19" i="16"/>
  <c r="B4" i="9"/>
  <c r="B20"/>
  <c r="J20"/>
  <c r="P20"/>
  <c r="B19"/>
  <c r="P19"/>
  <c r="B18"/>
  <c r="J18"/>
  <c r="P18"/>
  <c r="B17"/>
  <c r="J17"/>
  <c r="P17"/>
  <c r="B16"/>
  <c r="J16"/>
  <c r="J15"/>
  <c r="P15"/>
  <c r="J14"/>
  <c r="B13"/>
  <c r="B12"/>
  <c r="J12"/>
  <c r="P12"/>
  <c r="J11"/>
  <c r="P11"/>
  <c r="B10"/>
  <c r="J10"/>
  <c r="P10"/>
  <c r="B9"/>
  <c r="J9"/>
  <c r="P9"/>
  <c r="J8"/>
  <c r="P8"/>
  <c r="B7"/>
  <c r="P7"/>
  <c r="B6"/>
  <c r="B5"/>
  <c r="J5"/>
  <c r="AA19" i="40"/>
  <c r="AA13"/>
  <c r="AA11"/>
  <c r="AA5"/>
  <c r="AA14" i="16"/>
  <c r="AA10"/>
  <c r="AA17" i="28"/>
  <c r="AA7"/>
  <c r="AA5"/>
  <c r="AA19" i="25"/>
  <c r="AA7"/>
  <c r="AA10" i="37"/>
  <c r="AA19" i="35"/>
  <c r="AA5"/>
  <c r="AA18" i="12"/>
  <c r="AA16"/>
  <c r="AA14"/>
  <c r="AA10"/>
  <c r="AA8"/>
  <c r="AA6"/>
  <c r="AA7" i="30"/>
  <c r="AA20" i="40"/>
  <c r="AA20" i="25"/>
  <c r="P22" i="40"/>
  <c r="AA9" i="35"/>
  <c r="AA15" i="28"/>
  <c r="S22"/>
  <c r="E22" i="30"/>
  <c r="J22"/>
  <c r="P22"/>
  <c r="AA13" i="25"/>
  <c r="G22" i="40"/>
  <c r="H22" i="37"/>
  <c r="AA17" i="16"/>
  <c r="H22" i="28"/>
  <c r="AA18"/>
  <c r="K22" i="12"/>
  <c r="AA15" i="40"/>
  <c r="N22" i="37"/>
  <c r="AA7"/>
  <c r="V22"/>
  <c r="L22" i="35"/>
  <c r="K22" i="37"/>
  <c r="S22" i="16"/>
  <c r="P22" i="12"/>
  <c r="AA9"/>
  <c r="K22" i="40"/>
  <c r="K22" i="28"/>
  <c r="AA8" i="14"/>
  <c r="AA5" i="30"/>
  <c r="AA9"/>
  <c r="AA6" i="37"/>
  <c r="R22" i="16"/>
  <c r="K22"/>
  <c r="O22"/>
  <c r="R22" i="40"/>
  <c r="AA11" i="25"/>
  <c r="M22" i="35"/>
  <c r="S22" i="25"/>
  <c r="AA6" i="28"/>
  <c r="E22" i="16"/>
  <c r="J22" i="25"/>
  <c r="Q22" i="35"/>
  <c r="AA14" i="30"/>
  <c r="AA13" i="35"/>
  <c r="AA11" i="12"/>
  <c r="H22" i="14"/>
  <c r="J22" i="37"/>
  <c r="S22" i="12"/>
  <c r="I22" i="16"/>
  <c r="G22" i="14"/>
  <c r="N22" i="28"/>
  <c r="AA14" i="37"/>
  <c r="Z22"/>
  <c r="AA10" i="35"/>
  <c r="G22"/>
  <c r="O22" i="12"/>
  <c r="E22" i="35"/>
  <c r="K22" i="30"/>
  <c r="AA19" i="37"/>
  <c r="AA4" i="25"/>
  <c r="H22" i="40"/>
  <c r="AA9" i="16"/>
  <c r="N22" i="12"/>
  <c r="J22" i="40"/>
  <c r="I22" i="28"/>
  <c r="AA18" i="37"/>
  <c r="AA16"/>
  <c r="AA8"/>
  <c r="AA5"/>
  <c r="W22"/>
  <c r="U22"/>
  <c r="S22"/>
  <c r="P22"/>
  <c r="M22"/>
  <c r="AA12" i="30"/>
  <c r="Y22"/>
  <c r="U22"/>
  <c r="S22"/>
  <c r="M22"/>
  <c r="AA19" i="14"/>
  <c r="AA17"/>
  <c r="AA14"/>
  <c r="AA13"/>
  <c r="AA12"/>
  <c r="AA10"/>
  <c r="AA7"/>
  <c r="AA5"/>
  <c r="Y22"/>
  <c r="W22"/>
  <c r="U22"/>
  <c r="R22"/>
  <c r="M22"/>
  <c r="AA18" i="35"/>
  <c r="AA12"/>
  <c r="AA7"/>
  <c r="AA6"/>
  <c r="X22"/>
  <c r="T22"/>
  <c r="O22"/>
  <c r="AA13" i="28"/>
  <c r="U22"/>
  <c r="P22"/>
  <c r="L22"/>
  <c r="AA19" i="12"/>
  <c r="AA17"/>
  <c r="AA15"/>
  <c r="Y22"/>
  <c r="W22"/>
  <c r="AA18" i="16"/>
  <c r="AA12"/>
  <c r="AA8"/>
  <c r="AA6"/>
  <c r="Y22"/>
  <c r="P22"/>
  <c r="L22"/>
  <c r="H22"/>
  <c r="AA17" i="40"/>
  <c r="AA9"/>
  <c r="AA7"/>
  <c r="T22"/>
  <c r="AA17" i="25"/>
  <c r="AA14"/>
  <c r="AA5"/>
  <c r="O22" i="28"/>
  <c r="H22" i="35"/>
  <c r="N22"/>
  <c r="AA16"/>
  <c r="AA6" i="14"/>
  <c r="AA9"/>
  <c r="H22" i="30"/>
  <c r="L22"/>
  <c r="AA10"/>
  <c r="AA17"/>
  <c r="I22" i="37"/>
  <c r="Q22"/>
  <c r="G22" i="25"/>
  <c r="I22" i="35"/>
  <c r="K22" i="25"/>
  <c r="N22"/>
  <c r="J22" i="35"/>
  <c r="I22" i="14"/>
  <c r="Q22"/>
  <c r="I22" i="30"/>
  <c r="Q22"/>
  <c r="E22" i="37"/>
  <c r="L22"/>
  <c r="G22" i="16"/>
  <c r="AA18" i="40"/>
  <c r="AA11" i="28"/>
  <c r="AA5" i="12"/>
  <c r="E22" i="40"/>
  <c r="H22" i="25"/>
  <c r="L22"/>
  <c r="Q22" i="40"/>
  <c r="AA4" i="14"/>
  <c r="E22" i="12"/>
  <c r="J22" i="14"/>
  <c r="J22" i="12"/>
  <c r="Q22"/>
  <c r="H22"/>
  <c r="Q22" i="25"/>
  <c r="AA17" i="37"/>
  <c r="AA15"/>
  <c r="AA13"/>
  <c r="AA12"/>
  <c r="AA9"/>
  <c r="X22"/>
  <c r="T22"/>
  <c r="R22"/>
  <c r="O22"/>
  <c r="AA19" i="30"/>
  <c r="AA15"/>
  <c r="AA13"/>
  <c r="AA11"/>
  <c r="AA8"/>
  <c r="AA6"/>
  <c r="X22"/>
  <c r="V22"/>
  <c r="T22"/>
  <c r="R22"/>
  <c r="O22"/>
  <c r="AA18" i="14"/>
  <c r="AA16"/>
  <c r="AA11"/>
  <c r="X22"/>
  <c r="V22"/>
  <c r="T22"/>
  <c r="P22"/>
  <c r="L22"/>
  <c r="AA17" i="35"/>
  <c r="AA15"/>
  <c r="AA14"/>
  <c r="AA11"/>
  <c r="AA8"/>
  <c r="Y22"/>
  <c r="W22"/>
  <c r="U22"/>
  <c r="S22"/>
  <c r="AA19" i="28"/>
  <c r="AA14"/>
  <c r="AA12"/>
  <c r="AA9"/>
  <c r="V22"/>
  <c r="M22"/>
  <c r="J22"/>
  <c r="E22"/>
  <c r="AA12" i="12"/>
  <c r="AA7"/>
  <c r="V22"/>
  <c r="AA16" i="16"/>
  <c r="M22"/>
  <c r="AA4"/>
  <c r="AA12" i="40"/>
  <c r="AA6"/>
  <c r="U22"/>
  <c r="S22"/>
  <c r="M22"/>
  <c r="AA15" i="25"/>
  <c r="AA9"/>
  <c r="AA6"/>
  <c r="T22"/>
  <c r="R22"/>
  <c r="I3" i="34"/>
  <c r="I3" i="17"/>
  <c r="I3" i="33"/>
  <c r="I3" i="32"/>
  <c r="I3" i="15"/>
  <c r="C49" i="2"/>
  <c r="G49"/>
  <c r="AF36"/>
  <c r="E36"/>
  <c r="AA20" i="37"/>
  <c r="E22" i="14"/>
  <c r="AA20" i="35"/>
  <c r="AA20" i="28"/>
  <c r="AA4" i="12"/>
  <c r="AA20" i="14"/>
  <c r="AA20" i="12"/>
  <c r="AA4" i="35"/>
  <c r="AA4" i="30"/>
  <c r="AA20" i="16"/>
  <c r="AA20" i="30"/>
  <c r="AA4" i="37"/>
  <c r="AA4" i="40"/>
  <c r="B22" i="2"/>
  <c r="E4"/>
  <c r="W4"/>
  <c r="D3"/>
  <c r="E11"/>
  <c r="P11"/>
  <c r="V4"/>
  <c r="M9"/>
  <c r="Q7"/>
  <c r="O6"/>
  <c r="M5"/>
  <c r="F10"/>
  <c r="V5"/>
  <c r="S5"/>
  <c r="I10"/>
  <c r="F11"/>
  <c r="P5"/>
  <c r="K9"/>
  <c r="K4"/>
  <c r="U11"/>
  <c r="N9"/>
  <c r="D12"/>
  <c r="U4"/>
  <c r="L10"/>
  <c r="E9"/>
  <c r="L11"/>
  <c r="I11"/>
  <c r="B6"/>
  <c r="O3"/>
  <c r="M4"/>
  <c r="S3"/>
  <c r="F7"/>
  <c r="G6"/>
  <c r="U7"/>
  <c r="Q10"/>
  <c r="P9"/>
  <c r="B9"/>
  <c r="R8"/>
  <c r="V11"/>
  <c r="F9"/>
  <c r="M8"/>
  <c r="C13"/>
  <c r="I3"/>
  <c r="E10"/>
  <c r="O10"/>
  <c r="T8"/>
  <c r="L3"/>
  <c r="J13"/>
  <c r="J8"/>
  <c r="Q5"/>
  <c r="U5"/>
  <c r="T6"/>
  <c r="E3"/>
  <c r="H11"/>
  <c r="L13"/>
  <c r="P6"/>
  <c r="M10"/>
  <c r="J5"/>
  <c r="C3"/>
  <c r="Q3"/>
  <c r="L5"/>
  <c r="I5"/>
  <c r="O5"/>
  <c r="W11"/>
  <c r="L7"/>
  <c r="J9"/>
  <c r="V10"/>
  <c r="V6"/>
  <c r="G11"/>
  <c r="Q8"/>
  <c r="F8"/>
  <c r="J4"/>
  <c r="H5"/>
  <c r="N11"/>
  <c r="Q13"/>
  <c r="K3"/>
  <c r="C6"/>
  <c r="H8"/>
  <c r="J6"/>
  <c r="N4"/>
  <c r="M3"/>
  <c r="D4"/>
  <c r="Q4"/>
  <c r="B8"/>
  <c r="U8"/>
  <c r="T3"/>
  <c r="T11"/>
  <c r="C8"/>
  <c r="T4"/>
  <c r="M6"/>
  <c r="O11"/>
  <c r="G5"/>
  <c r="C9"/>
  <c r="P3"/>
  <c r="W6"/>
  <c r="H6"/>
  <c r="E6"/>
  <c r="K6"/>
  <c r="W10"/>
  <c r="W3"/>
  <c r="U3"/>
  <c r="K5"/>
  <c r="N7"/>
  <c r="M13"/>
  <c r="G7"/>
  <c r="N8"/>
  <c r="Q9"/>
  <c r="V8"/>
  <c r="W5"/>
  <c r="H4"/>
  <c r="N10"/>
  <c r="R10"/>
  <c r="L6"/>
  <c r="Q11"/>
  <c r="H7"/>
  <c r="I4"/>
  <c r="K10"/>
  <c r="G3"/>
  <c r="C5"/>
  <c r="R6"/>
  <c r="Q6"/>
  <c r="N13"/>
  <c r="B7"/>
  <c r="M11"/>
  <c r="F6"/>
  <c r="R11"/>
  <c r="G9"/>
  <c r="G8"/>
  <c r="B5"/>
  <c r="G4"/>
  <c r="L4"/>
  <c r="O8"/>
  <c r="O7"/>
  <c r="I13"/>
  <c r="O4"/>
  <c r="W9"/>
  <c r="C10"/>
  <c r="R3"/>
  <c r="J11"/>
  <c r="N5"/>
  <c r="T7"/>
  <c r="S4"/>
  <c r="N6"/>
  <c r="V3"/>
  <c r="U10"/>
  <c r="B12"/>
  <c r="F13"/>
  <c r="I9"/>
  <c r="K8"/>
  <c r="W7"/>
  <c r="F4"/>
  <c r="G10"/>
  <c r="W8"/>
  <c r="H13"/>
  <c r="K11"/>
  <c r="R5"/>
  <c r="F3"/>
  <c r="M7"/>
  <c r="T5"/>
  <c r="E5"/>
  <c r="C7"/>
  <c r="J3"/>
  <c r="U6"/>
  <c r="F5"/>
  <c r="L8"/>
  <c r="T13"/>
  <c r="S11"/>
  <c r="C4"/>
  <c r="S10"/>
  <c r="P4"/>
  <c r="K13"/>
  <c r="I6"/>
  <c r="I7"/>
  <c r="G13"/>
  <c r="I8"/>
  <c r="S13"/>
  <c r="R4"/>
  <c r="E8"/>
  <c r="N3"/>
  <c r="S6"/>
  <c r="H10"/>
  <c r="H3"/>
  <c r="T10"/>
  <c r="B4"/>
  <c r="P10"/>
  <c r="J10"/>
  <c r="S8"/>
  <c r="C11"/>
  <c r="C26" l="1"/>
  <c r="C25"/>
  <c r="C27"/>
  <c r="C28"/>
  <c r="C22"/>
  <c r="C32"/>
  <c r="C24"/>
  <c r="C23"/>
  <c r="C30"/>
  <c r="C29"/>
  <c r="I21" i="21"/>
  <c r="I22" s="1"/>
  <c r="B23" i="2"/>
  <c r="B38" s="1"/>
  <c r="AB38" s="1"/>
  <c r="B47"/>
  <c r="AB32"/>
  <c r="M9" i="19"/>
  <c r="AB50" i="10"/>
  <c r="AA50"/>
  <c r="N8" i="19"/>
  <c r="B29" i="2"/>
  <c r="B44" s="1"/>
  <c r="B28"/>
  <c r="B31"/>
  <c r="N52" i="19"/>
  <c r="M27"/>
  <c r="AA32" i="10"/>
  <c r="AB32"/>
  <c r="N28" i="19"/>
  <c r="N34"/>
  <c r="N29"/>
  <c r="N42"/>
  <c r="N2"/>
  <c r="N48"/>
  <c r="N44"/>
  <c r="N14"/>
  <c r="N20"/>
  <c r="N7"/>
  <c r="N57"/>
  <c r="N39"/>
  <c r="N58"/>
  <c r="N31"/>
  <c r="N19"/>
  <c r="N25"/>
  <c r="M14"/>
  <c r="M31"/>
  <c r="M39"/>
  <c r="M13"/>
  <c r="M12"/>
  <c r="M54"/>
  <c r="M7"/>
  <c r="M6"/>
  <c r="M25"/>
  <c r="M37"/>
  <c r="M3"/>
  <c r="M2"/>
  <c r="M40"/>
  <c r="M11"/>
  <c r="M41"/>
  <c r="N32"/>
  <c r="N6"/>
  <c r="AA22" i="36"/>
  <c r="AB38" i="10"/>
  <c r="AA38"/>
  <c r="AA37"/>
  <c r="AA39"/>
  <c r="AB39"/>
  <c r="AB37"/>
  <c r="AA36"/>
  <c r="AB36"/>
  <c r="M42" i="19"/>
  <c r="M53"/>
  <c r="M28"/>
  <c r="M29"/>
  <c r="M49"/>
  <c r="M35"/>
  <c r="M48"/>
  <c r="M21"/>
  <c r="M22"/>
  <c r="M33"/>
  <c r="M43"/>
  <c r="M38"/>
  <c r="M34"/>
  <c r="M51"/>
  <c r="M52"/>
  <c r="M45"/>
  <c r="M23"/>
  <c r="M8"/>
  <c r="M10"/>
  <c r="M44"/>
  <c r="M24"/>
  <c r="M30"/>
  <c r="M46"/>
  <c r="M36"/>
  <c r="M26"/>
  <c r="M15"/>
  <c r="M16"/>
  <c r="M4"/>
  <c r="M17"/>
  <c r="M18"/>
  <c r="M19"/>
  <c r="M32"/>
  <c r="M20"/>
  <c r="M5"/>
  <c r="M55"/>
  <c r="M56"/>
  <c r="M57"/>
  <c r="M58"/>
  <c r="M59"/>
  <c r="M60"/>
  <c r="M61"/>
  <c r="N47"/>
  <c r="AA2" i="10"/>
  <c r="N50" i="19"/>
  <c r="AB40" i="10"/>
  <c r="AB2"/>
  <c r="AB5"/>
  <c r="AB6"/>
  <c r="AB14"/>
  <c r="AB24"/>
  <c r="AB3"/>
  <c r="AB4"/>
  <c r="AB10"/>
  <c r="AB13"/>
  <c r="AB8"/>
  <c r="AB9"/>
  <c r="AB15"/>
  <c r="AB12"/>
  <c r="AB11"/>
  <c r="AB7"/>
  <c r="AB41"/>
  <c r="AB22"/>
  <c r="AB19"/>
  <c r="AB45"/>
  <c r="AB46"/>
  <c r="AB53"/>
  <c r="AB35"/>
  <c r="AB52"/>
  <c r="AB26"/>
  <c r="AB25"/>
  <c r="AB51"/>
  <c r="AB43"/>
  <c r="AB17"/>
  <c r="AB34"/>
  <c r="AB28"/>
  <c r="AB49"/>
  <c r="AB31"/>
  <c r="AB23"/>
  <c r="AB21"/>
  <c r="AB54"/>
  <c r="AB18"/>
  <c r="AB27"/>
  <c r="AB42"/>
  <c r="AB20"/>
  <c r="AB33"/>
  <c r="AB30"/>
  <c r="AB44"/>
  <c r="AB29"/>
  <c r="AB47"/>
  <c r="AB48"/>
  <c r="AB16"/>
  <c r="J24" i="21"/>
  <c r="J26"/>
  <c r="J25"/>
  <c r="M47" i="19"/>
  <c r="M50"/>
  <c r="N22" i="9"/>
  <c r="V22"/>
  <c r="T22"/>
  <c r="R22"/>
  <c r="F22"/>
  <c r="H22"/>
  <c r="AA34" i="10"/>
  <c r="AA40"/>
  <c r="AA42"/>
  <c r="AA44"/>
  <c r="AA46"/>
  <c r="AA48"/>
  <c r="AA51"/>
  <c r="AA53"/>
  <c r="AA54"/>
  <c r="AA33"/>
  <c r="AA35"/>
  <c r="AA41"/>
  <c r="AA43"/>
  <c r="AA45"/>
  <c r="AA47"/>
  <c r="AA49"/>
  <c r="AA52"/>
  <c r="G22" i="21"/>
  <c r="H22"/>
  <c r="AA21" i="10"/>
  <c r="J22" i="9"/>
  <c r="D22"/>
  <c r="AA8" i="10"/>
  <c r="AA4"/>
  <c r="AA16"/>
  <c r="AA30"/>
  <c r="AA24"/>
  <c r="E22" i="21"/>
  <c r="J4"/>
  <c r="J6"/>
  <c r="J8"/>
  <c r="J10"/>
  <c r="J12"/>
  <c r="J14"/>
  <c r="J16"/>
  <c r="J18"/>
  <c r="J20"/>
  <c r="J5"/>
  <c r="J7"/>
  <c r="J9"/>
  <c r="J11"/>
  <c r="J13"/>
  <c r="J15"/>
  <c r="J17"/>
  <c r="J19"/>
  <c r="B22" i="9"/>
  <c r="AA9" i="10"/>
  <c r="AA28"/>
  <c r="AA31"/>
  <c r="AA29"/>
  <c r="AA14"/>
  <c r="AA23"/>
  <c r="AA7"/>
  <c r="P22" i="9"/>
  <c r="B24" i="2"/>
  <c r="B39" s="1"/>
  <c r="AB39" s="1"/>
  <c r="B27"/>
  <c r="B42" s="1"/>
  <c r="B25"/>
  <c r="B26"/>
  <c r="AA15" i="10"/>
  <c r="AA5"/>
  <c r="AA12"/>
  <c r="AA22"/>
  <c r="AA18"/>
  <c r="AA26"/>
  <c r="AA6"/>
  <c r="AA3"/>
  <c r="AA25"/>
  <c r="AA13"/>
  <c r="AA27"/>
  <c r="AA17"/>
  <c r="AA20"/>
  <c r="AA19"/>
  <c r="AA11"/>
  <c r="AA10"/>
  <c r="AA22" i="37"/>
  <c r="Z22" i="30"/>
  <c r="Z22" i="25"/>
  <c r="Z22" i="40"/>
  <c r="Z22" i="21"/>
  <c r="Z22" i="16"/>
  <c r="Z22" i="35"/>
  <c r="Z22" i="28"/>
  <c r="AA4"/>
  <c r="AA22" s="1"/>
  <c r="Z22" i="12"/>
  <c r="Z22" i="14"/>
  <c r="AA22" i="40"/>
  <c r="AA22" i="30"/>
  <c r="AA22" i="12"/>
  <c r="AA22" i="16"/>
  <c r="AA22" i="35"/>
  <c r="AA22" i="25"/>
  <c r="AA22" i="14"/>
  <c r="H36" i="2"/>
  <c r="H21"/>
  <c r="AH21" s="1"/>
  <c r="J3" i="15"/>
  <c r="J3" i="34"/>
  <c r="J3" i="17"/>
  <c r="J3" i="33"/>
  <c r="J3" i="32"/>
  <c r="AE36" i="2"/>
  <c r="E49"/>
  <c r="B37"/>
  <c r="AB37" s="1"/>
  <c r="AB22"/>
  <c r="G47" i="19"/>
  <c r="K53"/>
  <c r="L26"/>
  <c r="F39"/>
  <c r="I51"/>
  <c r="C44"/>
  <c r="C6"/>
  <c r="L43"/>
  <c r="I26"/>
  <c r="I41"/>
  <c r="I49"/>
  <c r="F45"/>
  <c r="E38"/>
  <c r="B38"/>
  <c r="G20"/>
  <c r="C33"/>
  <c r="F49"/>
  <c r="L42"/>
  <c r="G44"/>
  <c r="G30"/>
  <c r="B58"/>
  <c r="L45"/>
  <c r="C39"/>
  <c r="X13" i="2"/>
  <c r="E12"/>
  <c r="I16" i="19"/>
  <c r="K46"/>
  <c r="H26"/>
  <c r="G51"/>
  <c r="C53"/>
  <c r="L52"/>
  <c r="D30"/>
  <c r="B50"/>
  <c r="B45"/>
  <c r="E21"/>
  <c r="L49"/>
  <c r="B5"/>
  <c r="C38"/>
  <c r="J45"/>
  <c r="B47"/>
  <c r="D35"/>
  <c r="H42"/>
  <c r="I24"/>
  <c r="I18"/>
  <c r="D32"/>
  <c r="D51"/>
  <c r="G12" i="2"/>
  <c r="C52" i="19"/>
  <c r="L53"/>
  <c r="C12" i="2"/>
  <c r="L47" i="19"/>
  <c r="L9"/>
  <c r="E34"/>
  <c r="B48"/>
  <c r="B14"/>
  <c r="C49"/>
  <c r="F48"/>
  <c r="J42"/>
  <c r="L44"/>
  <c r="I47"/>
  <c r="F56"/>
  <c r="L37"/>
  <c r="B46"/>
  <c r="D25"/>
  <c r="H52"/>
  <c r="F51"/>
  <c r="J38"/>
  <c r="X11" i="2"/>
  <c r="E51" i="19"/>
  <c r="F34"/>
  <c r="K50"/>
  <c r="K49"/>
  <c r="G45"/>
  <c r="I53"/>
  <c r="F47"/>
  <c r="X12" i="2"/>
  <c r="K30" i="19"/>
  <c r="B19"/>
  <c r="X9" i="2"/>
  <c r="X3"/>
  <c r="G32" i="19"/>
  <c r="I44"/>
  <c r="F18"/>
  <c r="X6" i="2"/>
  <c r="I45" i="19"/>
  <c r="G48"/>
  <c r="E48"/>
  <c r="H16"/>
  <c r="J44"/>
  <c r="E50"/>
  <c r="J47"/>
  <c r="I37"/>
  <c r="H41"/>
  <c r="F13"/>
  <c r="L51"/>
  <c r="B22"/>
  <c r="C46"/>
  <c r="G53"/>
  <c r="K36"/>
  <c r="B26"/>
  <c r="E29"/>
  <c r="H53"/>
  <c r="G18"/>
  <c r="J50"/>
  <c r="B16"/>
  <c r="L48"/>
  <c r="D21"/>
  <c r="G6"/>
  <c r="K26"/>
  <c r="F46"/>
  <c r="D12"/>
  <c r="B12"/>
  <c r="E27"/>
  <c r="F43"/>
  <c r="C34"/>
  <c r="H27"/>
  <c r="G7"/>
  <c r="J36"/>
  <c r="B25"/>
  <c r="E28"/>
  <c r="G15"/>
  <c r="G40"/>
  <c r="B31"/>
  <c r="J51"/>
  <c r="K41"/>
  <c r="C28"/>
  <c r="H45"/>
  <c r="J43"/>
  <c r="G33"/>
  <c r="E43"/>
  <c r="I39"/>
  <c r="I40"/>
  <c r="B35"/>
  <c r="E42"/>
  <c r="D50"/>
  <c r="X8" i="2"/>
  <c r="I32" i="19"/>
  <c r="D48"/>
  <c r="E33"/>
  <c r="B4"/>
  <c r="L50"/>
  <c r="C29"/>
  <c r="H46"/>
  <c r="B53"/>
  <c r="L10"/>
  <c r="F40"/>
  <c r="H44"/>
  <c r="L36"/>
  <c r="I50"/>
  <c r="F12" i="2"/>
  <c r="G23" i="19"/>
  <c r="C20"/>
  <c r="F53"/>
  <c r="H36"/>
  <c r="C51"/>
  <c r="F33"/>
  <c r="K44"/>
  <c r="G50"/>
  <c r="E47"/>
  <c r="G13"/>
  <c r="X7" i="2"/>
  <c r="G11" i="19"/>
  <c r="D31"/>
  <c r="H40"/>
  <c r="F28"/>
  <c r="I46"/>
  <c r="J49"/>
  <c r="K48"/>
  <c r="F37"/>
  <c r="K43"/>
  <c r="I48"/>
  <c r="I52"/>
  <c r="B55"/>
  <c r="B13"/>
  <c r="D53"/>
  <c r="B40"/>
  <c r="L2"/>
  <c r="B56"/>
  <c r="J46"/>
  <c r="K45"/>
  <c r="E53"/>
  <c r="K8"/>
  <c r="J19"/>
  <c r="D39"/>
  <c r="H49"/>
  <c r="G10"/>
  <c r="I20"/>
  <c r="L41"/>
  <c r="X5" i="2"/>
  <c r="H47" i="19"/>
  <c r="X10" i="2"/>
  <c r="G37" i="19"/>
  <c r="J52"/>
  <c r="C41"/>
  <c r="F26"/>
  <c r="B57"/>
  <c r="D52"/>
  <c r="K23"/>
  <c r="J53"/>
  <c r="K42"/>
  <c r="J35"/>
  <c r="H29"/>
  <c r="F31"/>
  <c r="L40"/>
  <c r="C7"/>
  <c r="E49"/>
  <c r="E52"/>
  <c r="H34"/>
  <c r="K52"/>
  <c r="D44"/>
  <c r="L18"/>
  <c r="K51"/>
  <c r="D41"/>
  <c r="H51"/>
  <c r="E35"/>
  <c r="C47"/>
  <c r="J32"/>
  <c r="H33"/>
  <c r="B54"/>
  <c r="G46"/>
  <c r="B42"/>
  <c r="B15"/>
  <c r="B49"/>
  <c r="E22"/>
  <c r="B39"/>
  <c r="F20"/>
  <c r="L46"/>
  <c r="F7"/>
  <c r="X4" i="2"/>
  <c r="H50" i="19"/>
  <c r="J48"/>
  <c r="I38"/>
  <c r="L16"/>
  <c r="C50"/>
  <c r="F17"/>
  <c r="G39"/>
  <c r="D47"/>
  <c r="F52"/>
  <c r="D49"/>
  <c r="G16"/>
  <c r="B43"/>
  <c r="H24"/>
  <c r="G52"/>
  <c r="AD34" i="10" l="1"/>
  <c r="AD33"/>
  <c r="AD32"/>
  <c r="Y7" i="2"/>
  <c r="Y11"/>
  <c r="Y3"/>
  <c r="Y5"/>
  <c r="Y10"/>
  <c r="Y6"/>
  <c r="Y8"/>
  <c r="Y9"/>
  <c r="Y4"/>
  <c r="Y13"/>
  <c r="C31"/>
  <c r="D32"/>
  <c r="E32" s="1"/>
  <c r="D28"/>
  <c r="E28" s="1"/>
  <c r="F28" s="1"/>
  <c r="G28" s="1"/>
  <c r="H28" s="1"/>
  <c r="I28" s="1"/>
  <c r="J28" s="1"/>
  <c r="K28" s="1"/>
  <c r="L28" s="1"/>
  <c r="AB23"/>
  <c r="AD50" i="10"/>
  <c r="AE50"/>
  <c r="AB31" i="2"/>
  <c r="B46"/>
  <c r="AB46" s="1"/>
  <c r="AB28"/>
  <c r="B43"/>
  <c r="AB43" s="1"/>
  <c r="AB29"/>
  <c r="AB44"/>
  <c r="D29"/>
  <c r="D30"/>
  <c r="AE32" i="10"/>
  <c r="AE33"/>
  <c r="AE34"/>
  <c r="AE35"/>
  <c r="AD35"/>
  <c r="AD39"/>
  <c r="AD36"/>
  <c r="AE39"/>
  <c r="AE38"/>
  <c r="AE37"/>
  <c r="AE36"/>
  <c r="AD38"/>
  <c r="AD37"/>
  <c r="D27" i="2"/>
  <c r="E27" s="1"/>
  <c r="AD54" i="10"/>
  <c r="AD53"/>
  <c r="AD51"/>
  <c r="AD48"/>
  <c r="AD46"/>
  <c r="AD44"/>
  <c r="AD42"/>
  <c r="AD40"/>
  <c r="AD31"/>
  <c r="AD29"/>
  <c r="AD27"/>
  <c r="AD25"/>
  <c r="AD23"/>
  <c r="AD19"/>
  <c r="AD52"/>
  <c r="AD49"/>
  <c r="AD47"/>
  <c r="AD45"/>
  <c r="AD43"/>
  <c r="AD41"/>
  <c r="AD30"/>
  <c r="AD28"/>
  <c r="AD26"/>
  <c r="AD24"/>
  <c r="AD22"/>
  <c r="AD20"/>
  <c r="AD21"/>
  <c r="K25" i="21"/>
  <c r="K24"/>
  <c r="K26"/>
  <c r="B41" i="2"/>
  <c r="AB41" s="1"/>
  <c r="AB27"/>
  <c r="AB42"/>
  <c r="B40"/>
  <c r="AB40" s="1"/>
  <c r="AE21" i="10"/>
  <c r="AD2"/>
  <c r="AF2" s="1"/>
  <c r="AD3"/>
  <c r="AF3" s="1"/>
  <c r="AD5"/>
  <c r="AF5" s="1"/>
  <c r="AD7"/>
  <c r="AF7" s="1"/>
  <c r="AD9"/>
  <c r="AF9" s="1"/>
  <c r="AD11"/>
  <c r="AF11" s="1"/>
  <c r="AD15"/>
  <c r="AF15" s="1"/>
  <c r="AD17"/>
  <c r="AF17" s="1"/>
  <c r="AD4"/>
  <c r="AF4" s="1"/>
  <c r="AD6"/>
  <c r="AF6" s="1"/>
  <c r="AD8"/>
  <c r="AF8" s="1"/>
  <c r="AD10"/>
  <c r="AF10" s="1"/>
  <c r="AD12"/>
  <c r="AF12" s="1"/>
  <c r="AD14"/>
  <c r="AF14" s="1"/>
  <c r="AD16"/>
  <c r="AF16" s="1"/>
  <c r="AD18"/>
  <c r="AF18" s="1"/>
  <c r="AD13"/>
  <c r="AF13" s="1"/>
  <c r="AE22"/>
  <c r="AE9"/>
  <c r="AE6"/>
  <c r="AE17"/>
  <c r="AE29"/>
  <c r="AE14"/>
  <c r="AE26"/>
  <c r="AE46"/>
  <c r="AE48"/>
  <c r="AE41"/>
  <c r="AE43"/>
  <c r="AE49"/>
  <c r="AE45"/>
  <c r="AE42"/>
  <c r="AE54"/>
  <c r="AE13"/>
  <c r="AE5"/>
  <c r="AE25"/>
  <c r="AE18"/>
  <c r="AE10"/>
  <c r="AE30"/>
  <c r="AE44"/>
  <c r="AE53"/>
  <c r="AE52"/>
  <c r="AE47"/>
  <c r="AE51"/>
  <c r="AE40"/>
  <c r="AE2"/>
  <c r="AE15"/>
  <c r="AE11"/>
  <c r="AE7"/>
  <c r="AE3"/>
  <c r="AE31"/>
  <c r="AE27"/>
  <c r="AE23"/>
  <c r="AE19"/>
  <c r="AE16"/>
  <c r="AE12"/>
  <c r="AE8"/>
  <c r="AE4"/>
  <c r="AE28"/>
  <c r="AE24"/>
  <c r="AE20"/>
  <c r="AB26" i="2"/>
  <c r="AB24"/>
  <c r="K5" i="21"/>
  <c r="K7"/>
  <c r="K9"/>
  <c r="K11"/>
  <c r="K13"/>
  <c r="K15"/>
  <c r="K17"/>
  <c r="K19"/>
  <c r="K4"/>
  <c r="K6"/>
  <c r="K8"/>
  <c r="K10"/>
  <c r="K12"/>
  <c r="K14"/>
  <c r="K16"/>
  <c r="K18"/>
  <c r="K20"/>
  <c r="J22"/>
  <c r="AB47" i="2"/>
  <c r="AB25"/>
  <c r="K3" i="17"/>
  <c r="K3" i="32"/>
  <c r="K3" i="15"/>
  <c r="K3" i="34"/>
  <c r="K3" i="33"/>
  <c r="H49" i="2"/>
  <c r="AH36"/>
  <c r="I21"/>
  <c r="AI21" s="1"/>
  <c r="I36"/>
  <c r="H12"/>
  <c r="M28" l="1"/>
  <c r="D31"/>
  <c r="E31" s="1"/>
  <c r="F31" s="1"/>
  <c r="G31" s="1"/>
  <c r="H31" s="1"/>
  <c r="D24"/>
  <c r="E24" s="1"/>
  <c r="F24" s="1"/>
  <c r="G24" s="1"/>
  <c r="H24" s="1"/>
  <c r="D25"/>
  <c r="E25" s="1"/>
  <c r="F25" s="1"/>
  <c r="G25" s="1"/>
  <c r="H25" s="1"/>
  <c r="D22"/>
  <c r="E22" s="1"/>
  <c r="D26"/>
  <c r="E26" s="1"/>
  <c r="F26" s="1"/>
  <c r="G26" s="1"/>
  <c r="H26" s="1"/>
  <c r="D23"/>
  <c r="E23" s="1"/>
  <c r="F23" s="1"/>
  <c r="G23" s="1"/>
  <c r="H23" s="1"/>
  <c r="E29"/>
  <c r="F29" s="1"/>
  <c r="G29" s="1"/>
  <c r="H29" s="1"/>
  <c r="I29" s="1"/>
  <c r="J29" s="1"/>
  <c r="K29" s="1"/>
  <c r="F27"/>
  <c r="G27" s="1"/>
  <c r="H27" s="1"/>
  <c r="L24" i="21"/>
  <c r="L26"/>
  <c r="L25"/>
  <c r="AG18" i="10"/>
  <c r="L4" i="21"/>
  <c r="L6"/>
  <c r="L8"/>
  <c r="L10"/>
  <c r="L12"/>
  <c r="L14"/>
  <c r="L16"/>
  <c r="L18"/>
  <c r="L20"/>
  <c r="L5"/>
  <c r="L7"/>
  <c r="L9"/>
  <c r="L11"/>
  <c r="L13"/>
  <c r="L15"/>
  <c r="L17"/>
  <c r="L19"/>
  <c r="K22"/>
  <c r="L3" i="33"/>
  <c r="L3" i="17"/>
  <c r="L3" i="15"/>
  <c r="L3" i="34"/>
  <c r="L3" i="32"/>
  <c r="J36" i="2"/>
  <c r="J21"/>
  <c r="AJ21" s="1"/>
  <c r="I49"/>
  <c r="AI36"/>
  <c r="I12"/>
  <c r="L29" l="1"/>
  <c r="M29" s="1"/>
  <c r="N29" s="1"/>
  <c r="O29" s="1"/>
  <c r="P29" s="1"/>
  <c r="Q29" s="1"/>
  <c r="R29" s="1"/>
  <c r="S29" s="1"/>
  <c r="T29" s="1"/>
  <c r="U29" s="1"/>
  <c r="V29" s="1"/>
  <c r="W29" s="1"/>
  <c r="N28"/>
  <c r="I31"/>
  <c r="I26"/>
  <c r="I25"/>
  <c r="I23"/>
  <c r="I24"/>
  <c r="I27"/>
  <c r="M25" i="21"/>
  <c r="M24"/>
  <c r="M26"/>
  <c r="M5"/>
  <c r="M7"/>
  <c r="M9"/>
  <c r="M11"/>
  <c r="M13"/>
  <c r="M15"/>
  <c r="M17"/>
  <c r="M19"/>
  <c r="M4"/>
  <c r="M6"/>
  <c r="M8"/>
  <c r="M10"/>
  <c r="M12"/>
  <c r="M14"/>
  <c r="M16"/>
  <c r="M18"/>
  <c r="M20"/>
  <c r="L22"/>
  <c r="AJ36" i="2"/>
  <c r="J49"/>
  <c r="M3" i="33"/>
  <c r="M3" i="32"/>
  <c r="M3" i="34"/>
  <c r="M3" i="17"/>
  <c r="M3" i="15"/>
  <c r="K36" i="2"/>
  <c r="K21"/>
  <c r="AK21" s="1"/>
  <c r="J12"/>
  <c r="O28" l="1"/>
  <c r="P28" s="1"/>
  <c r="J31"/>
  <c r="J26"/>
  <c r="J25"/>
  <c r="J23"/>
  <c r="J24"/>
  <c r="J27"/>
  <c r="N24" i="21"/>
  <c r="N26"/>
  <c r="N25"/>
  <c r="N4"/>
  <c r="N6"/>
  <c r="N8"/>
  <c r="N10"/>
  <c r="N12"/>
  <c r="N14"/>
  <c r="N16"/>
  <c r="N18"/>
  <c r="N20"/>
  <c r="N5"/>
  <c r="N7"/>
  <c r="N9"/>
  <c r="N11"/>
  <c r="N13"/>
  <c r="N15"/>
  <c r="N17"/>
  <c r="N19"/>
  <c r="M22"/>
  <c r="AK36" i="2"/>
  <c r="K49"/>
  <c r="N3" i="17"/>
  <c r="N3" i="34"/>
  <c r="N3" i="33"/>
  <c r="N3" i="32"/>
  <c r="N3" i="15"/>
  <c r="L36" i="2"/>
  <c r="L21"/>
  <c r="AL21" s="1"/>
  <c r="K12"/>
  <c r="Q28" l="1"/>
  <c r="R28" s="1"/>
  <c r="S28" s="1"/>
  <c r="T28" s="1"/>
  <c r="U28" s="1"/>
  <c r="V28" s="1"/>
  <c r="W28" s="1"/>
  <c r="K31"/>
  <c r="K26"/>
  <c r="K25"/>
  <c r="K23"/>
  <c r="K24"/>
  <c r="K27"/>
  <c r="O25" i="21"/>
  <c r="O24"/>
  <c r="O26"/>
  <c r="N22"/>
  <c r="O5"/>
  <c r="O7"/>
  <c r="O9"/>
  <c r="O11"/>
  <c r="O13"/>
  <c r="O15"/>
  <c r="O17"/>
  <c r="O19"/>
  <c r="O4"/>
  <c r="O6"/>
  <c r="O8"/>
  <c r="O10"/>
  <c r="O12"/>
  <c r="O14"/>
  <c r="O16"/>
  <c r="O18"/>
  <c r="O20"/>
  <c r="L49" i="2"/>
  <c r="AL36"/>
  <c r="O3" i="34"/>
  <c r="O3" i="32"/>
  <c r="O3" i="15"/>
  <c r="O3" i="33"/>
  <c r="O3" i="17"/>
  <c r="M36" i="2"/>
  <c r="M21"/>
  <c r="AM21" s="1"/>
  <c r="L12"/>
  <c r="L31" l="1"/>
  <c r="L26"/>
  <c r="L25"/>
  <c r="L23"/>
  <c r="L24"/>
  <c r="L27"/>
  <c r="P24" i="21"/>
  <c r="P26"/>
  <c r="P25"/>
  <c r="P4"/>
  <c r="P6"/>
  <c r="P8"/>
  <c r="P10"/>
  <c r="P12"/>
  <c r="P14"/>
  <c r="P16"/>
  <c r="P18"/>
  <c r="P20"/>
  <c r="P5"/>
  <c r="P7"/>
  <c r="P9"/>
  <c r="P11"/>
  <c r="P13"/>
  <c r="P15"/>
  <c r="P17"/>
  <c r="P19"/>
  <c r="O22"/>
  <c r="M49" i="2"/>
  <c r="AM36"/>
  <c r="P3" i="33"/>
  <c r="P3" i="32"/>
  <c r="P3" i="15"/>
  <c r="P3" i="17"/>
  <c r="P3" i="34"/>
  <c r="N36" i="2"/>
  <c r="N21"/>
  <c r="AN21" s="1"/>
  <c r="M12"/>
  <c r="M31" l="1"/>
  <c r="M26"/>
  <c r="M25"/>
  <c r="M23"/>
  <c r="M24"/>
  <c r="M27"/>
  <c r="Q25" i="21"/>
  <c r="Q24"/>
  <c r="Q26"/>
  <c r="Q5"/>
  <c r="Q7"/>
  <c r="Q9"/>
  <c r="Q11"/>
  <c r="Q13"/>
  <c r="Q15"/>
  <c r="Q17"/>
  <c r="Q19"/>
  <c r="Q4"/>
  <c r="Q6"/>
  <c r="Q8"/>
  <c r="Q10"/>
  <c r="Q12"/>
  <c r="Q14"/>
  <c r="Q16"/>
  <c r="Q18"/>
  <c r="Q20"/>
  <c r="P22"/>
  <c r="AN36" i="2"/>
  <c r="N49"/>
  <c r="O21"/>
  <c r="AO21" s="1"/>
  <c r="O36"/>
  <c r="Q3" i="34"/>
  <c r="Q3" i="17"/>
  <c r="Q3" i="15"/>
  <c r="Q3" i="33"/>
  <c r="Q3" i="32"/>
  <c r="N12" i="2"/>
  <c r="N31" l="1"/>
  <c r="N26"/>
  <c r="N25"/>
  <c r="N24"/>
  <c r="R24" i="21"/>
  <c r="R26"/>
  <c r="R25"/>
  <c r="R4"/>
  <c r="R6"/>
  <c r="R8"/>
  <c r="R10"/>
  <c r="R12"/>
  <c r="R14"/>
  <c r="R16"/>
  <c r="R18"/>
  <c r="R20"/>
  <c r="R5"/>
  <c r="R7"/>
  <c r="R9"/>
  <c r="R11"/>
  <c r="R13"/>
  <c r="R15"/>
  <c r="R17"/>
  <c r="R19"/>
  <c r="Q22"/>
  <c r="P21" i="2"/>
  <c r="AP21" s="1"/>
  <c r="P36"/>
  <c r="R3" i="17"/>
  <c r="R3" i="34"/>
  <c r="R3" i="33"/>
  <c r="R3" i="32"/>
  <c r="R3" i="15"/>
  <c r="O49" i="2"/>
  <c r="AO36"/>
  <c r="O12"/>
  <c r="O31" l="1"/>
  <c r="O26"/>
  <c r="O25"/>
  <c r="O24"/>
  <c r="S25" i="21"/>
  <c r="S24"/>
  <c r="S26"/>
  <c r="S5"/>
  <c r="S7"/>
  <c r="S9"/>
  <c r="S11"/>
  <c r="S13"/>
  <c r="S15"/>
  <c r="S17"/>
  <c r="S19"/>
  <c r="S4"/>
  <c r="S6"/>
  <c r="S8"/>
  <c r="S10"/>
  <c r="S12"/>
  <c r="S14"/>
  <c r="S16"/>
  <c r="S18"/>
  <c r="S20"/>
  <c r="R22"/>
  <c r="S3" i="34"/>
  <c r="S3" i="17"/>
  <c r="S3" i="15"/>
  <c r="S3" i="33"/>
  <c r="S3" i="32"/>
  <c r="Q21" i="2"/>
  <c r="AQ21" s="1"/>
  <c r="Q36"/>
  <c r="P49"/>
  <c r="AP36"/>
  <c r="P12"/>
  <c r="P31" l="1"/>
  <c r="P26"/>
  <c r="P25"/>
  <c r="P24"/>
  <c r="T24" i="21"/>
  <c r="T26"/>
  <c r="T25"/>
  <c r="S22"/>
  <c r="T4"/>
  <c r="T6"/>
  <c r="T8"/>
  <c r="T10"/>
  <c r="T12"/>
  <c r="T14"/>
  <c r="T16"/>
  <c r="T18"/>
  <c r="T20"/>
  <c r="T5"/>
  <c r="T7"/>
  <c r="T9"/>
  <c r="T11"/>
  <c r="T13"/>
  <c r="T15"/>
  <c r="T17"/>
  <c r="T19"/>
  <c r="T3" i="15"/>
  <c r="T3" i="34"/>
  <c r="T3" i="32"/>
  <c r="T3" i="33"/>
  <c r="T3" i="17"/>
  <c r="Q49" i="2"/>
  <c r="AQ36"/>
  <c r="R21"/>
  <c r="AR21" s="1"/>
  <c r="R36"/>
  <c r="Q12"/>
  <c r="Q31" l="1"/>
  <c r="Q25"/>
  <c r="F22"/>
  <c r="U25" i="21"/>
  <c r="U24"/>
  <c r="U21" s="1"/>
  <c r="U26"/>
  <c r="U5"/>
  <c r="U7"/>
  <c r="U9"/>
  <c r="U11"/>
  <c r="U13"/>
  <c r="U15"/>
  <c r="U17"/>
  <c r="U19"/>
  <c r="U4"/>
  <c r="U6"/>
  <c r="U8"/>
  <c r="U10"/>
  <c r="U12"/>
  <c r="U14"/>
  <c r="U16"/>
  <c r="U18"/>
  <c r="U20"/>
  <c r="T22"/>
  <c r="S36" i="2"/>
  <c r="S21"/>
  <c r="AS21" s="1"/>
  <c r="AR36"/>
  <c r="R49"/>
  <c r="U3" i="34"/>
  <c r="U3" i="17"/>
  <c r="U3" i="15"/>
  <c r="U3" i="33"/>
  <c r="U3" i="32"/>
  <c r="R12" i="2"/>
  <c r="R31" l="1"/>
  <c r="R25"/>
  <c r="AC33"/>
  <c r="AD33"/>
  <c r="V24" i="21"/>
  <c r="V26"/>
  <c r="V25"/>
  <c r="V4"/>
  <c r="V6"/>
  <c r="V8"/>
  <c r="V10"/>
  <c r="V12"/>
  <c r="V14"/>
  <c r="V16"/>
  <c r="V18"/>
  <c r="V20"/>
  <c r="V5"/>
  <c r="V7"/>
  <c r="V9"/>
  <c r="V11"/>
  <c r="V13"/>
  <c r="V15"/>
  <c r="V17"/>
  <c r="V19"/>
  <c r="U22"/>
  <c r="S49" i="2"/>
  <c r="AS36"/>
  <c r="T36"/>
  <c r="T21"/>
  <c r="AT21" s="1"/>
  <c r="V3" i="17"/>
  <c r="V3" i="34"/>
  <c r="V3" i="33"/>
  <c r="V3" i="32"/>
  <c r="V3" i="15"/>
  <c r="S12" i="2"/>
  <c r="S31" l="1"/>
  <c r="AD28"/>
  <c r="AD32"/>
  <c r="AD29"/>
  <c r="AD31"/>
  <c r="AD30"/>
  <c r="AC31"/>
  <c r="AC30"/>
  <c r="AC28"/>
  <c r="AC29"/>
  <c r="AC32"/>
  <c r="AD25"/>
  <c r="AC25"/>
  <c r="S25"/>
  <c r="AC23"/>
  <c r="AC27"/>
  <c r="AC24"/>
  <c r="AD23"/>
  <c r="AD22"/>
  <c r="AC22"/>
  <c r="AC26"/>
  <c r="AD27"/>
  <c r="AD24"/>
  <c r="AD26"/>
  <c r="W25" i="21"/>
  <c r="W24"/>
  <c r="W26"/>
  <c r="AA21" s="1"/>
  <c r="W5"/>
  <c r="W7"/>
  <c r="W9"/>
  <c r="W11"/>
  <c r="W13"/>
  <c r="W15"/>
  <c r="W17"/>
  <c r="W19"/>
  <c r="W4"/>
  <c r="W6"/>
  <c r="W8"/>
  <c r="W10"/>
  <c r="W12"/>
  <c r="W14"/>
  <c r="W16"/>
  <c r="W18"/>
  <c r="W20"/>
  <c r="V22"/>
  <c r="W3" i="34"/>
  <c r="W3" i="33"/>
  <c r="W3" i="32"/>
  <c r="W3" i="15"/>
  <c r="W3" i="17"/>
  <c r="AT36" i="2"/>
  <c r="T49"/>
  <c r="U21"/>
  <c r="AU21" s="1"/>
  <c r="U36"/>
  <c r="T12"/>
  <c r="T31" l="1"/>
  <c r="T25"/>
  <c r="X24" i="21"/>
  <c r="X26"/>
  <c r="X25"/>
  <c r="W22"/>
  <c r="X4"/>
  <c r="X6"/>
  <c r="X8"/>
  <c r="X10"/>
  <c r="X12"/>
  <c r="X14"/>
  <c r="X16"/>
  <c r="X18"/>
  <c r="X20"/>
  <c r="X5"/>
  <c r="X7"/>
  <c r="X9"/>
  <c r="X11"/>
  <c r="X13"/>
  <c r="X15"/>
  <c r="X17"/>
  <c r="X19"/>
  <c r="X3" i="33"/>
  <c r="X3" i="32"/>
  <c r="X3" i="15"/>
  <c r="X3" i="17"/>
  <c r="X3" i="34"/>
  <c r="U49" i="2"/>
  <c r="AU36"/>
  <c r="V36"/>
  <c r="V21"/>
  <c r="AV21" s="1"/>
  <c r="U12"/>
  <c r="F50" i="19"/>
  <c r="K47"/>
  <c r="E30" i="2" l="1"/>
  <c r="F30" s="1"/>
  <c r="G30" s="1"/>
  <c r="H30" s="1"/>
  <c r="I30" s="1"/>
  <c r="J30" s="1"/>
  <c r="K30" s="1"/>
  <c r="F32"/>
  <c r="G32" s="1"/>
  <c r="H32" s="1"/>
  <c r="I32" s="1"/>
  <c r="J32" s="1"/>
  <c r="K32" s="1"/>
  <c r="L32" s="1"/>
  <c r="M32" s="1"/>
  <c r="N32" s="1"/>
  <c r="O32" s="1"/>
  <c r="P32" s="1"/>
  <c r="U31"/>
  <c r="Q26"/>
  <c r="R26" s="1"/>
  <c r="S26" s="1"/>
  <c r="T26" s="1"/>
  <c r="U26" s="1"/>
  <c r="N23"/>
  <c r="O23" s="1"/>
  <c r="P23" s="1"/>
  <c r="Q23" s="1"/>
  <c r="R23" s="1"/>
  <c r="S23" s="1"/>
  <c r="T23" s="1"/>
  <c r="U23" s="1"/>
  <c r="X28"/>
  <c r="X29"/>
  <c r="U25"/>
  <c r="H63" i="19"/>
  <c r="H68"/>
  <c r="H62" s="1"/>
  <c r="Q24" i="2"/>
  <c r="R24" s="1"/>
  <c r="S24" s="1"/>
  <c r="T24" s="1"/>
  <c r="U24" s="1"/>
  <c r="L63" i="19"/>
  <c r="L68"/>
  <c r="L62" s="1"/>
  <c r="J68"/>
  <c r="J62" s="1"/>
  <c r="J63"/>
  <c r="F68"/>
  <c r="F62" s="1"/>
  <c r="F63"/>
  <c r="E68"/>
  <c r="E62" s="1"/>
  <c r="E63"/>
  <c r="K63"/>
  <c r="K68"/>
  <c r="K62" s="1"/>
  <c r="G22" i="2"/>
  <c r="H22" s="1"/>
  <c r="I22" s="1"/>
  <c r="J22" s="1"/>
  <c r="K22" s="1"/>
  <c r="L22" s="1"/>
  <c r="M22" s="1"/>
  <c r="N22" s="1"/>
  <c r="O22" s="1"/>
  <c r="P22" s="1"/>
  <c r="Q22" s="1"/>
  <c r="R22" s="1"/>
  <c r="S22" s="1"/>
  <c r="I68" i="19"/>
  <c r="I62" s="1"/>
  <c r="I63"/>
  <c r="B63"/>
  <c r="B68"/>
  <c r="B62" s="1"/>
  <c r="D68"/>
  <c r="D62" s="1"/>
  <c r="D63"/>
  <c r="N27" i="2"/>
  <c r="O27" s="1"/>
  <c r="P27" s="1"/>
  <c r="Q27" s="1"/>
  <c r="R27" s="1"/>
  <c r="S27" s="1"/>
  <c r="T27" s="1"/>
  <c r="U27" s="1"/>
  <c r="C68" i="19"/>
  <c r="C62" s="1"/>
  <c r="C63"/>
  <c r="G63"/>
  <c r="G68"/>
  <c r="G62" s="1"/>
  <c r="Y25" i="21"/>
  <c r="AA25" s="1"/>
  <c r="Y24"/>
  <c r="AA24" s="1"/>
  <c r="Y26"/>
  <c r="AA26" s="1"/>
  <c r="Y5"/>
  <c r="AA5" s="1"/>
  <c r="Y7"/>
  <c r="AA7" s="1"/>
  <c r="Y9"/>
  <c r="AA9" s="1"/>
  <c r="Y11"/>
  <c r="AA11" s="1"/>
  <c r="Y13"/>
  <c r="AA13" s="1"/>
  <c r="Y15"/>
  <c r="AA15" s="1"/>
  <c r="Y17"/>
  <c r="AA17" s="1"/>
  <c r="Y19"/>
  <c r="AA19" s="1"/>
  <c r="Y4"/>
  <c r="Y6"/>
  <c r="AA6" s="1"/>
  <c r="Y8"/>
  <c r="AA8" s="1"/>
  <c r="Y10"/>
  <c r="AA10" s="1"/>
  <c r="Y12"/>
  <c r="AA12" s="1"/>
  <c r="Y14"/>
  <c r="AA14" s="1"/>
  <c r="Y16"/>
  <c r="AA16" s="1"/>
  <c r="Y18"/>
  <c r="AA18" s="1"/>
  <c r="Y20"/>
  <c r="AA20" s="1"/>
  <c r="X22"/>
  <c r="W21" i="2"/>
  <c r="AW21" s="1"/>
  <c r="W36"/>
  <c r="AV36"/>
  <c r="V49"/>
  <c r="V12"/>
  <c r="L30" l="1"/>
  <c r="AL33" s="1"/>
  <c r="Q32"/>
  <c r="R32" s="1"/>
  <c r="S32" s="1"/>
  <c r="T32" s="1"/>
  <c r="U32" s="1"/>
  <c r="V32" s="1"/>
  <c r="V31"/>
  <c r="V26"/>
  <c r="AE33"/>
  <c r="AE32" s="1"/>
  <c r="V25"/>
  <c r="AF33"/>
  <c r="AF23" s="1"/>
  <c r="AG33"/>
  <c r="AG28" s="1"/>
  <c r="AH33"/>
  <c r="AH32" s="1"/>
  <c r="G64" i="19"/>
  <c r="G65" s="1"/>
  <c r="AI33" i="2"/>
  <c r="AI32" s="1"/>
  <c r="AK33"/>
  <c r="AK30" s="1"/>
  <c r="AJ33"/>
  <c r="AJ25" s="1"/>
  <c r="K64" i="19"/>
  <c r="K65" s="1"/>
  <c r="I64"/>
  <c r="I65" s="1"/>
  <c r="D64"/>
  <c r="D65" s="1"/>
  <c r="B64"/>
  <c r="B65" s="1"/>
  <c r="E64"/>
  <c r="E65" s="1"/>
  <c r="F64"/>
  <c r="F65" s="1"/>
  <c r="C64"/>
  <c r="C65" s="1"/>
  <c r="H64"/>
  <c r="H65" s="1"/>
  <c r="J64"/>
  <c r="J65" s="1"/>
  <c r="L64"/>
  <c r="L65" s="1"/>
  <c r="V23" i="2"/>
  <c r="V24"/>
  <c r="V27"/>
  <c r="T22"/>
  <c r="Y22" i="21"/>
  <c r="AA4"/>
  <c r="AA22" s="1"/>
  <c r="AW36" i="2"/>
  <c r="W49"/>
  <c r="W12"/>
  <c r="AI26" l="1"/>
  <c r="AI22"/>
  <c r="AL25"/>
  <c r="AL24"/>
  <c r="AL27"/>
  <c r="AL26"/>
  <c r="AL23"/>
  <c r="AK27"/>
  <c r="AK23"/>
  <c r="AK26"/>
  <c r="AK32"/>
  <c r="Y12"/>
  <c r="AI23"/>
  <c r="AI24"/>
  <c r="AJ24"/>
  <c r="AJ26"/>
  <c r="AJ31"/>
  <c r="AJ28"/>
  <c r="AK28"/>
  <c r="AK29"/>
  <c r="AK31"/>
  <c r="AL30"/>
  <c r="M30"/>
  <c r="AJ22"/>
  <c r="AJ29"/>
  <c r="AJ30"/>
  <c r="AL22"/>
  <c r="AL28"/>
  <c r="AL29"/>
  <c r="AL31"/>
  <c r="AJ32"/>
  <c r="AL32"/>
  <c r="AI27"/>
  <c r="AI25"/>
  <c r="AI30"/>
  <c r="AI31"/>
  <c r="AI28"/>
  <c r="AI29"/>
  <c r="AH24"/>
  <c r="AH22"/>
  <c r="AH27"/>
  <c r="AH28"/>
  <c r="AH29"/>
  <c r="AH31"/>
  <c r="AH30"/>
  <c r="AG26"/>
  <c r="AG22"/>
  <c r="AG25"/>
  <c r="AG30"/>
  <c r="AG23"/>
  <c r="AG24"/>
  <c r="AG27"/>
  <c r="AG31"/>
  <c r="AG29"/>
  <c r="AG32"/>
  <c r="AA5"/>
  <c r="I39" s="1"/>
  <c r="AA9"/>
  <c r="I43" s="1"/>
  <c r="AA3"/>
  <c r="I37" s="1"/>
  <c r="AA8"/>
  <c r="I42" s="1"/>
  <c r="AA6"/>
  <c r="I40" s="1"/>
  <c r="W31"/>
  <c r="W26"/>
  <c r="X26" s="1"/>
  <c r="AA10"/>
  <c r="AA11"/>
  <c r="AA13"/>
  <c r="Y47" s="1"/>
  <c r="AA12"/>
  <c r="Y46" s="1"/>
  <c r="AA4"/>
  <c r="I38" s="1"/>
  <c r="AA7"/>
  <c r="I41" s="1"/>
  <c r="AF22"/>
  <c r="AF26"/>
  <c r="AF25"/>
  <c r="AF24"/>
  <c r="AF32"/>
  <c r="AF27"/>
  <c r="AF28"/>
  <c r="AF30"/>
  <c r="AF31"/>
  <c r="AF29"/>
  <c r="AE25"/>
  <c r="AE24"/>
  <c r="AE23"/>
  <c r="AE26"/>
  <c r="AE28"/>
  <c r="AE30"/>
  <c r="AE29"/>
  <c r="AE31"/>
  <c r="AE27"/>
  <c r="AE22"/>
  <c r="W32"/>
  <c r="X32" s="1"/>
  <c r="W25"/>
  <c r="X25" s="1"/>
  <c r="AH26"/>
  <c r="AK25"/>
  <c r="AK24"/>
  <c r="AH23"/>
  <c r="AH25"/>
  <c r="AJ23"/>
  <c r="AJ27"/>
  <c r="AK22"/>
  <c r="W23"/>
  <c r="W24"/>
  <c r="W27"/>
  <c r="U22"/>
  <c r="N30" l="1"/>
  <c r="N45" s="1"/>
  <c r="AM33"/>
  <c r="X31"/>
  <c r="X46" s="1"/>
  <c r="D47"/>
  <c r="F47"/>
  <c r="H47"/>
  <c r="J47"/>
  <c r="L47"/>
  <c r="N47"/>
  <c r="P47"/>
  <c r="R47"/>
  <c r="T47"/>
  <c r="V47"/>
  <c r="X47"/>
  <c r="C47"/>
  <c r="E47"/>
  <c r="G47"/>
  <c r="I47"/>
  <c r="K47"/>
  <c r="M47"/>
  <c r="O47"/>
  <c r="Q47"/>
  <c r="S47"/>
  <c r="U47"/>
  <c r="W47"/>
  <c r="D46"/>
  <c r="F46"/>
  <c r="H46"/>
  <c r="J46"/>
  <c r="L46"/>
  <c r="N46"/>
  <c r="P46"/>
  <c r="R46"/>
  <c r="T46"/>
  <c r="V46"/>
  <c r="C46"/>
  <c r="E46"/>
  <c r="G46"/>
  <c r="I46"/>
  <c r="K46"/>
  <c r="M46"/>
  <c r="O46"/>
  <c r="Q46"/>
  <c r="S46"/>
  <c r="U46"/>
  <c r="W46"/>
  <c r="I45"/>
  <c r="I44"/>
  <c r="M38"/>
  <c r="N42"/>
  <c r="N43"/>
  <c r="J41"/>
  <c r="C40"/>
  <c r="E37"/>
  <c r="T39"/>
  <c r="S39"/>
  <c r="G39"/>
  <c r="H39"/>
  <c r="Q39"/>
  <c r="N39"/>
  <c r="R39"/>
  <c r="E39"/>
  <c r="V39"/>
  <c r="W39"/>
  <c r="J39"/>
  <c r="F39"/>
  <c r="D39"/>
  <c r="P39"/>
  <c r="M39"/>
  <c r="C39"/>
  <c r="L39"/>
  <c r="D38"/>
  <c r="G38"/>
  <c r="S38"/>
  <c r="H38"/>
  <c r="Q38"/>
  <c r="J38"/>
  <c r="O38"/>
  <c r="U39"/>
  <c r="Y39"/>
  <c r="O39"/>
  <c r="C38"/>
  <c r="K39"/>
  <c r="P38"/>
  <c r="L38"/>
  <c r="T38"/>
  <c r="V38"/>
  <c r="H45"/>
  <c r="M45"/>
  <c r="R38"/>
  <c r="E38"/>
  <c r="Y38"/>
  <c r="F45"/>
  <c r="K45"/>
  <c r="J45"/>
  <c r="N38"/>
  <c r="K38"/>
  <c r="F38"/>
  <c r="D45"/>
  <c r="C45"/>
  <c r="U38"/>
  <c r="Y45"/>
  <c r="G45"/>
  <c r="L45"/>
  <c r="E45"/>
  <c r="L42"/>
  <c r="W40"/>
  <c r="E40"/>
  <c r="L43"/>
  <c r="X43"/>
  <c r="U40"/>
  <c r="F40"/>
  <c r="V42"/>
  <c r="G42"/>
  <c r="H42"/>
  <c r="H43"/>
  <c r="F42"/>
  <c r="X44"/>
  <c r="V44"/>
  <c r="T44"/>
  <c r="R44"/>
  <c r="P44"/>
  <c r="N44"/>
  <c r="L44"/>
  <c r="J44"/>
  <c r="H44"/>
  <c r="F44"/>
  <c r="D44"/>
  <c r="Y44"/>
  <c r="W44"/>
  <c r="U44"/>
  <c r="S44"/>
  <c r="Q44"/>
  <c r="O44"/>
  <c r="M44"/>
  <c r="K44"/>
  <c r="G44"/>
  <c r="E44"/>
  <c r="C44"/>
  <c r="Y43"/>
  <c r="Q42"/>
  <c r="M42"/>
  <c r="Y42"/>
  <c r="P42"/>
  <c r="N40"/>
  <c r="H40"/>
  <c r="P40"/>
  <c r="J40"/>
  <c r="R40"/>
  <c r="K40"/>
  <c r="O40"/>
  <c r="X40"/>
  <c r="G40"/>
  <c r="D40"/>
  <c r="S40"/>
  <c r="T40"/>
  <c r="V40"/>
  <c r="Q40"/>
  <c r="L40"/>
  <c r="Y40"/>
  <c r="M40"/>
  <c r="Z8"/>
  <c r="Z10"/>
  <c r="Z6"/>
  <c r="Z5"/>
  <c r="Z9"/>
  <c r="Z7"/>
  <c r="Z11"/>
  <c r="Z4"/>
  <c r="Z3"/>
  <c r="E43"/>
  <c r="T43"/>
  <c r="K37"/>
  <c r="P43"/>
  <c r="Z12"/>
  <c r="Z13"/>
  <c r="S42"/>
  <c r="Q43"/>
  <c r="F43"/>
  <c r="J43"/>
  <c r="V43"/>
  <c r="R43"/>
  <c r="Y37"/>
  <c r="G43"/>
  <c r="C43"/>
  <c r="U43"/>
  <c r="K43"/>
  <c r="W43"/>
  <c r="S43"/>
  <c r="M43"/>
  <c r="M37"/>
  <c r="O37"/>
  <c r="D43"/>
  <c r="D41"/>
  <c r="S41"/>
  <c r="G41"/>
  <c r="O41"/>
  <c r="K41"/>
  <c r="C41"/>
  <c r="V41"/>
  <c r="N37"/>
  <c r="J37"/>
  <c r="T42"/>
  <c r="K42"/>
  <c r="C42"/>
  <c r="O42"/>
  <c r="J42"/>
  <c r="U42"/>
  <c r="E42"/>
  <c r="R41"/>
  <c r="U41"/>
  <c r="H41"/>
  <c r="N41"/>
  <c r="X41"/>
  <c r="M41"/>
  <c r="L41"/>
  <c r="R42"/>
  <c r="Y41"/>
  <c r="Q41"/>
  <c r="T41"/>
  <c r="P41"/>
  <c r="P37"/>
  <c r="F41"/>
  <c r="E41"/>
  <c r="W41"/>
  <c r="D42"/>
  <c r="O43"/>
  <c r="T37"/>
  <c r="G37"/>
  <c r="C37"/>
  <c r="L37"/>
  <c r="Q37"/>
  <c r="F37"/>
  <c r="S37"/>
  <c r="R37"/>
  <c r="H37"/>
  <c r="D37"/>
  <c r="X24"/>
  <c r="X39" s="1"/>
  <c r="W38"/>
  <c r="X23"/>
  <c r="X38" s="1"/>
  <c r="W42"/>
  <c r="X27"/>
  <c r="X42" s="1"/>
  <c r="U37"/>
  <c r="V22"/>
  <c r="AM25" l="1"/>
  <c r="AM22"/>
  <c r="AM31"/>
  <c r="AM32"/>
  <c r="AM29"/>
  <c r="AM26"/>
  <c r="AM24"/>
  <c r="AM23"/>
  <c r="AM27"/>
  <c r="AM28"/>
  <c r="AM30"/>
  <c r="O30"/>
  <c r="AN33"/>
  <c r="AN48"/>
  <c r="AN37" s="1"/>
  <c r="AJ48"/>
  <c r="AJ38" s="1"/>
  <c r="AF48"/>
  <c r="AF37" s="1"/>
  <c r="AH48"/>
  <c r="AH44" s="1"/>
  <c r="B50"/>
  <c r="X50" s="1"/>
  <c r="B52"/>
  <c r="B54"/>
  <c r="B56"/>
  <c r="B58"/>
  <c r="B60"/>
  <c r="B51"/>
  <c r="B53"/>
  <c r="B55"/>
  <c r="B57"/>
  <c r="B59"/>
  <c r="AG48"/>
  <c r="AG44" s="1"/>
  <c r="AM48"/>
  <c r="AM38" s="1"/>
  <c r="AD48"/>
  <c r="AD47" s="1"/>
  <c r="AL48"/>
  <c r="AL39" s="1"/>
  <c r="AE48"/>
  <c r="AE37" s="1"/>
  <c r="AI48"/>
  <c r="AI44" s="1"/>
  <c r="AK48"/>
  <c r="AK37" s="1"/>
  <c r="AC48"/>
  <c r="AC42" s="1"/>
  <c r="V37"/>
  <c r="W22"/>
  <c r="AN23" l="1"/>
  <c r="AN28"/>
  <c r="AN30"/>
  <c r="AN29"/>
  <c r="AN24"/>
  <c r="AN26"/>
  <c r="AN22"/>
  <c r="AN27"/>
  <c r="P30"/>
  <c r="Q30" s="1"/>
  <c r="AO33"/>
  <c r="O45"/>
  <c r="AO48" s="1"/>
  <c r="AO40" s="1"/>
  <c r="AN32"/>
  <c r="AN25"/>
  <c r="AN31"/>
  <c r="AJ43"/>
  <c r="AJ41"/>
  <c r="AG38"/>
  <c r="AJ37"/>
  <c r="AJ47"/>
  <c r="AF42"/>
  <c r="AN41"/>
  <c r="AN40"/>
  <c r="AN43"/>
  <c r="AN39"/>
  <c r="AJ45"/>
  <c r="AN47"/>
  <c r="AC41"/>
  <c r="AJ42"/>
  <c r="AN45"/>
  <c r="AN38"/>
  <c r="AJ46"/>
  <c r="AN46"/>
  <c r="AN42"/>
  <c r="AJ44"/>
  <c r="AF40"/>
  <c r="AF47"/>
  <c r="AF44"/>
  <c r="AH43"/>
  <c r="AF41"/>
  <c r="AJ39"/>
  <c r="AN44"/>
  <c r="AF39"/>
  <c r="AK47"/>
  <c r="AH46"/>
  <c r="AF43"/>
  <c r="AJ40"/>
  <c r="AF45"/>
  <c r="AE40"/>
  <c r="AL38"/>
  <c r="AG47"/>
  <c r="AG42"/>
  <c r="AF46"/>
  <c r="AF38"/>
  <c r="AK39"/>
  <c r="AK45"/>
  <c r="AE46"/>
  <c r="AE45"/>
  <c r="AM41"/>
  <c r="AM45"/>
  <c r="AC46"/>
  <c r="AC45"/>
  <c r="AI37"/>
  <c r="AI45"/>
  <c r="AL47"/>
  <c r="AL45"/>
  <c r="AD46"/>
  <c r="AD45"/>
  <c r="AG37"/>
  <c r="AG45"/>
  <c r="AH41"/>
  <c r="AH45"/>
  <c r="AM44"/>
  <c r="AE44"/>
  <c r="AL44"/>
  <c r="AD44"/>
  <c r="AK44"/>
  <c r="AC44"/>
  <c r="AC37"/>
  <c r="AH40"/>
  <c r="AD39"/>
  <c r="AC39"/>
  <c r="AG41"/>
  <c r="AC43"/>
  <c r="AG40"/>
  <c r="AC47"/>
  <c r="AH39"/>
  <c r="AH37"/>
  <c r="AI47"/>
  <c r="AC40"/>
  <c r="AH38"/>
  <c r="AH42"/>
  <c r="AI41"/>
  <c r="AI42"/>
  <c r="AC38"/>
  <c r="AL43"/>
  <c r="AH47"/>
  <c r="AL40"/>
  <c r="AD43"/>
  <c r="AG46"/>
  <c r="AG43"/>
  <c r="AG39"/>
  <c r="AD42"/>
  <c r="AE39"/>
  <c r="AM42"/>
  <c r="AK38"/>
  <c r="AE43"/>
  <c r="AM43"/>
  <c r="AE42"/>
  <c r="AM39"/>
  <c r="AM37"/>
  <c r="AK43"/>
  <c r="AK41"/>
  <c r="AE38"/>
  <c r="AE47"/>
  <c r="AM46"/>
  <c r="AM40"/>
  <c r="AM47"/>
  <c r="AE41"/>
  <c r="AK40"/>
  <c r="AK46"/>
  <c r="AK42"/>
  <c r="AI38"/>
  <c r="AI39"/>
  <c r="AI43"/>
  <c r="AI40"/>
  <c r="AI46"/>
  <c r="AL37"/>
  <c r="AL41"/>
  <c r="AL42"/>
  <c r="AD41"/>
  <c r="AD38"/>
  <c r="AD40"/>
  <c r="AL46"/>
  <c r="AD37"/>
  <c r="X56"/>
  <c r="V56"/>
  <c r="T56"/>
  <c r="R56"/>
  <c r="P56"/>
  <c r="N56"/>
  <c r="L56"/>
  <c r="J56"/>
  <c r="H56"/>
  <c r="F56"/>
  <c r="D56"/>
  <c r="W56"/>
  <c r="U56"/>
  <c r="S56"/>
  <c r="Q56"/>
  <c r="O56"/>
  <c r="M56"/>
  <c r="K56"/>
  <c r="I56"/>
  <c r="G56"/>
  <c r="E56"/>
  <c r="C56"/>
  <c r="W57"/>
  <c r="U57"/>
  <c r="S57"/>
  <c r="Q57"/>
  <c r="O57"/>
  <c r="M57"/>
  <c r="K57"/>
  <c r="I57"/>
  <c r="G57"/>
  <c r="E57"/>
  <c r="C57"/>
  <c r="X57"/>
  <c r="V57"/>
  <c r="T57"/>
  <c r="R57"/>
  <c r="P57"/>
  <c r="N57"/>
  <c r="L57"/>
  <c r="J57"/>
  <c r="H57"/>
  <c r="F57"/>
  <c r="D57"/>
  <c r="X22"/>
  <c r="W59"/>
  <c r="X59"/>
  <c r="W53"/>
  <c r="X53"/>
  <c r="W58"/>
  <c r="X58"/>
  <c r="W52"/>
  <c r="X52"/>
  <c r="W55"/>
  <c r="X55"/>
  <c r="W51"/>
  <c r="X51"/>
  <c r="W60"/>
  <c r="X60"/>
  <c r="W54"/>
  <c r="X54"/>
  <c r="W50"/>
  <c r="W37"/>
  <c r="R30" l="1"/>
  <c r="AR56" s="1"/>
  <c r="AQ33"/>
  <c r="AQ30" s="1"/>
  <c r="Q45"/>
  <c r="AO22"/>
  <c r="AO31"/>
  <c r="AO26"/>
  <c r="AO27"/>
  <c r="AO29"/>
  <c r="AO46"/>
  <c r="AO43"/>
  <c r="AO38"/>
  <c r="AO39"/>
  <c r="AO45"/>
  <c r="AO37"/>
  <c r="AO41"/>
  <c r="AO42"/>
  <c r="AO44"/>
  <c r="AO47"/>
  <c r="AE56"/>
  <c r="AG56"/>
  <c r="AI56"/>
  <c r="AK56"/>
  <c r="AM56"/>
  <c r="AO56"/>
  <c r="AQ56"/>
  <c r="AD56"/>
  <c r="AF56"/>
  <c r="AH56"/>
  <c r="AJ56"/>
  <c r="AL56"/>
  <c r="AN56"/>
  <c r="AP56"/>
  <c r="AE57"/>
  <c r="AG57"/>
  <c r="AI57"/>
  <c r="AK57"/>
  <c r="AM57"/>
  <c r="AO57"/>
  <c r="AQ57"/>
  <c r="AD57"/>
  <c r="AF57"/>
  <c r="AH57"/>
  <c r="AJ57"/>
  <c r="AL57"/>
  <c r="AN57"/>
  <c r="AP57"/>
  <c r="AC57"/>
  <c r="AC56"/>
  <c r="AO32"/>
  <c r="AO24"/>
  <c r="AO28"/>
  <c r="AO23"/>
  <c r="AO25"/>
  <c r="AO30"/>
  <c r="AP33"/>
  <c r="P45"/>
  <c r="Z56"/>
  <c r="AB56" s="1"/>
  <c r="Z57"/>
  <c r="AB57" s="1"/>
  <c r="W62"/>
  <c r="W63"/>
  <c r="X37"/>
  <c r="AR57" l="1"/>
  <c r="AQ48"/>
  <c r="AQ31"/>
  <c r="AQ23"/>
  <c r="AQ22"/>
  <c r="AQ25"/>
  <c r="AQ27"/>
  <c r="AQ26"/>
  <c r="AQ24"/>
  <c r="AQ28"/>
  <c r="AQ32"/>
  <c r="AQ29"/>
  <c r="S30"/>
  <c r="T30" s="1"/>
  <c r="U30" s="1"/>
  <c r="V30" s="1"/>
  <c r="W30" s="1"/>
  <c r="X30" s="1"/>
  <c r="AR33"/>
  <c r="AR30" s="1"/>
  <c r="R45"/>
  <c r="AP22"/>
  <c r="AP27"/>
  <c r="AP29"/>
  <c r="AP24"/>
  <c r="AP26"/>
  <c r="AP31"/>
  <c r="AP23"/>
  <c r="AP30"/>
  <c r="AP48"/>
  <c r="AP45" s="1"/>
  <c r="AP28"/>
  <c r="AP25"/>
  <c r="AP32"/>
  <c r="E54"/>
  <c r="T51"/>
  <c r="J52"/>
  <c r="L58"/>
  <c r="C55"/>
  <c r="V50"/>
  <c r="T59"/>
  <c r="U53"/>
  <c r="P60"/>
  <c r="Q55"/>
  <c r="D51"/>
  <c r="O52"/>
  <c r="D59"/>
  <c r="K60"/>
  <c r="X45" l="1"/>
  <c r="AX56"/>
  <c r="AX33"/>
  <c r="AX57"/>
  <c r="AX30"/>
  <c r="W45"/>
  <c r="AW33"/>
  <c r="AW32" s="1"/>
  <c r="AW56"/>
  <c r="AW57"/>
  <c r="V45"/>
  <c r="AV48" s="1"/>
  <c r="AV33"/>
  <c r="AV56"/>
  <c r="AV57"/>
  <c r="U45"/>
  <c r="AU48" s="1"/>
  <c r="AU33"/>
  <c r="AU25" s="1"/>
  <c r="AU56"/>
  <c r="AU57"/>
  <c r="AT33"/>
  <c r="AT30" s="1"/>
  <c r="T45"/>
  <c r="AT57"/>
  <c r="AT56"/>
  <c r="AS33"/>
  <c r="S45"/>
  <c r="AS57"/>
  <c r="AS56"/>
  <c r="AQ42"/>
  <c r="AQ46"/>
  <c r="AQ37"/>
  <c r="AQ38"/>
  <c r="AQ43"/>
  <c r="AQ39"/>
  <c r="AQ41"/>
  <c r="AQ40"/>
  <c r="AQ47"/>
  <c r="AQ44"/>
  <c r="AR28"/>
  <c r="AR26"/>
  <c r="AR22"/>
  <c r="AR24"/>
  <c r="AR27"/>
  <c r="AR23"/>
  <c r="AR32"/>
  <c r="AR31"/>
  <c r="AR25"/>
  <c r="AR29"/>
  <c r="AQ45"/>
  <c r="AR48"/>
  <c r="AR45" s="1"/>
  <c r="AC55"/>
  <c r="AP44"/>
  <c r="AP38"/>
  <c r="AP41"/>
  <c r="AP37"/>
  <c r="AP42"/>
  <c r="AP46"/>
  <c r="AP39"/>
  <c r="AP47"/>
  <c r="AP40"/>
  <c r="AP43"/>
  <c r="S54"/>
  <c r="N58"/>
  <c r="I54"/>
  <c r="K54"/>
  <c r="E53"/>
  <c r="T50"/>
  <c r="N54"/>
  <c r="P54"/>
  <c r="O58"/>
  <c r="E58"/>
  <c r="I50"/>
  <c r="P50"/>
  <c r="T54"/>
  <c r="U54"/>
  <c r="F54"/>
  <c r="D54"/>
  <c r="V53"/>
  <c r="Q53"/>
  <c r="I58"/>
  <c r="J58"/>
  <c r="D52"/>
  <c r="S51"/>
  <c r="U55"/>
  <c r="U50"/>
  <c r="C50"/>
  <c r="M54"/>
  <c r="L54"/>
  <c r="J54"/>
  <c r="C54"/>
  <c r="G54"/>
  <c r="R54"/>
  <c r="Q54"/>
  <c r="O54"/>
  <c r="H54"/>
  <c r="V54"/>
  <c r="P53"/>
  <c r="S53"/>
  <c r="D53"/>
  <c r="R58"/>
  <c r="S58"/>
  <c r="Q58"/>
  <c r="K58"/>
  <c r="O60"/>
  <c r="M59"/>
  <c r="O59"/>
  <c r="T52"/>
  <c r="J51"/>
  <c r="E51"/>
  <c r="G51"/>
  <c r="P55"/>
  <c r="G60"/>
  <c r="L60"/>
  <c r="R59"/>
  <c r="N59"/>
  <c r="L52"/>
  <c r="H52"/>
  <c r="V52"/>
  <c r="I51"/>
  <c r="H51"/>
  <c r="R51"/>
  <c r="N51"/>
  <c r="M51"/>
  <c r="D55"/>
  <c r="H55"/>
  <c r="I60"/>
  <c r="T60"/>
  <c r="F60"/>
  <c r="M60"/>
  <c r="E60"/>
  <c r="D60"/>
  <c r="G59"/>
  <c r="P59"/>
  <c r="J59"/>
  <c r="L59"/>
  <c r="U59"/>
  <c r="G52"/>
  <c r="R52"/>
  <c r="I52"/>
  <c r="E52"/>
  <c r="N52"/>
  <c r="C51"/>
  <c r="U51"/>
  <c r="Q51"/>
  <c r="P51"/>
  <c r="F51"/>
  <c r="O51"/>
  <c r="L51"/>
  <c r="V51"/>
  <c r="K51"/>
  <c r="N55"/>
  <c r="M55"/>
  <c r="E55"/>
  <c r="R55"/>
  <c r="V55"/>
  <c r="C60"/>
  <c r="N60"/>
  <c r="U60"/>
  <c r="Q60"/>
  <c r="R60"/>
  <c r="J60"/>
  <c r="S60"/>
  <c r="H60"/>
  <c r="V60"/>
  <c r="I59"/>
  <c r="F59"/>
  <c r="K59"/>
  <c r="C59"/>
  <c r="V59"/>
  <c r="E59"/>
  <c r="H59"/>
  <c r="Q59"/>
  <c r="S59"/>
  <c r="K52"/>
  <c r="P52"/>
  <c r="Q52"/>
  <c r="M52"/>
  <c r="U52"/>
  <c r="C52"/>
  <c r="F52"/>
  <c r="S52"/>
  <c r="I55"/>
  <c r="K55"/>
  <c r="L55"/>
  <c r="S55"/>
  <c r="O55"/>
  <c r="J55"/>
  <c r="F55"/>
  <c r="G55"/>
  <c r="T55"/>
  <c r="L50"/>
  <c r="N50"/>
  <c r="S50"/>
  <c r="R50"/>
  <c r="J50"/>
  <c r="L53"/>
  <c r="O53"/>
  <c r="C53"/>
  <c r="T53"/>
  <c r="F53"/>
  <c r="C58"/>
  <c r="M58"/>
  <c r="U58"/>
  <c r="H58"/>
  <c r="T58"/>
  <c r="G58"/>
  <c r="V58"/>
  <c r="F58"/>
  <c r="D58"/>
  <c r="P58"/>
  <c r="E50"/>
  <c r="G50"/>
  <c r="D50"/>
  <c r="Q50"/>
  <c r="F50"/>
  <c r="K50"/>
  <c r="H50"/>
  <c r="M50"/>
  <c r="O50"/>
  <c r="J53"/>
  <c r="G53"/>
  <c r="I53"/>
  <c r="M53"/>
  <c r="N53"/>
  <c r="K53"/>
  <c r="R53"/>
  <c r="H53"/>
  <c r="AX31" l="1"/>
  <c r="AX23"/>
  <c r="AX28"/>
  <c r="AX29"/>
  <c r="AX32"/>
  <c r="AX24"/>
  <c r="AX25"/>
  <c r="AX26"/>
  <c r="AX22"/>
  <c r="AX27"/>
  <c r="AX48"/>
  <c r="AX45" s="1"/>
  <c r="AW30"/>
  <c r="AW48"/>
  <c r="AW45" s="1"/>
  <c r="AW29"/>
  <c r="AW23"/>
  <c r="AW26"/>
  <c r="AW25"/>
  <c r="AW28"/>
  <c r="AW31"/>
  <c r="AW27"/>
  <c r="AW22"/>
  <c r="AW24"/>
  <c r="AV30"/>
  <c r="AV25"/>
  <c r="AV45"/>
  <c r="AV44"/>
  <c r="AV42"/>
  <c r="AV41"/>
  <c r="AV46"/>
  <c r="AV37"/>
  <c r="AV38"/>
  <c r="AV40"/>
  <c r="AV43"/>
  <c r="AV47"/>
  <c r="AV39"/>
  <c r="AV29"/>
  <c r="AV31"/>
  <c r="AV27"/>
  <c r="AV24"/>
  <c r="AV23"/>
  <c r="AV28"/>
  <c r="AV32"/>
  <c r="AV26"/>
  <c r="AV22"/>
  <c r="AU29"/>
  <c r="AU31"/>
  <c r="AU23"/>
  <c r="AU22"/>
  <c r="AU27"/>
  <c r="AU24"/>
  <c r="AU26"/>
  <c r="AU32"/>
  <c r="AU28"/>
  <c r="AU30"/>
  <c r="AU45"/>
  <c r="AU40"/>
  <c r="AU39"/>
  <c r="AU37"/>
  <c r="AU44"/>
  <c r="AU41"/>
  <c r="AU43"/>
  <c r="AU38"/>
  <c r="AU46"/>
  <c r="AU42"/>
  <c r="AU47"/>
  <c r="AT32"/>
  <c r="AT23"/>
  <c r="AT29"/>
  <c r="AT26"/>
  <c r="AT27"/>
  <c r="AT22"/>
  <c r="AT28"/>
  <c r="AT24"/>
  <c r="AT31"/>
  <c r="AT25"/>
  <c r="AT48"/>
  <c r="AT45" s="1"/>
  <c r="AS24"/>
  <c r="AS25"/>
  <c r="AS22"/>
  <c r="AS27"/>
  <c r="AS26"/>
  <c r="AS23"/>
  <c r="AS29"/>
  <c r="AS31"/>
  <c r="AS32"/>
  <c r="AS28"/>
  <c r="AS30"/>
  <c r="AR41"/>
  <c r="AR37"/>
  <c r="AR38"/>
  <c r="AR43"/>
  <c r="AR44"/>
  <c r="AR40"/>
  <c r="AR39"/>
  <c r="AR47"/>
  <c r="AR46"/>
  <c r="AR42"/>
  <c r="AS48"/>
  <c r="AG55"/>
  <c r="AE58"/>
  <c r="AG58"/>
  <c r="AI58"/>
  <c r="AK58"/>
  <c r="AM58"/>
  <c r="AO58"/>
  <c r="AQ58"/>
  <c r="AS58"/>
  <c r="AU58"/>
  <c r="AW58"/>
  <c r="AD58"/>
  <c r="AF58"/>
  <c r="AH58"/>
  <c r="AJ58"/>
  <c r="AL58"/>
  <c r="AN58"/>
  <c r="AP58"/>
  <c r="AR58"/>
  <c r="AT58"/>
  <c r="AV58"/>
  <c r="AX58"/>
  <c r="AE52"/>
  <c r="AG52"/>
  <c r="AI52"/>
  <c r="AK52"/>
  <c r="AM52"/>
  <c r="AO52"/>
  <c r="AQ52"/>
  <c r="AS52"/>
  <c r="AU52"/>
  <c r="AW52"/>
  <c r="AD52"/>
  <c r="AF52"/>
  <c r="AH52"/>
  <c r="AJ52"/>
  <c r="AL52"/>
  <c r="AN52"/>
  <c r="AP52"/>
  <c r="AR52"/>
  <c r="AT52"/>
  <c r="AV52"/>
  <c r="AX52"/>
  <c r="AV55"/>
  <c r="AR55"/>
  <c r="AN55"/>
  <c r="AJ55"/>
  <c r="AF55"/>
  <c r="AU55"/>
  <c r="AQ55"/>
  <c r="AM55"/>
  <c r="AI55"/>
  <c r="AE55"/>
  <c r="AE53"/>
  <c r="AG53"/>
  <c r="AI53"/>
  <c r="AK53"/>
  <c r="AM53"/>
  <c r="AO53"/>
  <c r="AQ53"/>
  <c r="AS53"/>
  <c r="AU53"/>
  <c r="AW53"/>
  <c r="AD53"/>
  <c r="AF53"/>
  <c r="AH53"/>
  <c r="AJ53"/>
  <c r="AL53"/>
  <c r="AN53"/>
  <c r="AP53"/>
  <c r="AR53"/>
  <c r="AT53"/>
  <c r="AV53"/>
  <c r="AX53"/>
  <c r="AE59"/>
  <c r="AG59"/>
  <c r="AI59"/>
  <c r="AK59"/>
  <c r="AM59"/>
  <c r="AO59"/>
  <c r="AQ59"/>
  <c r="AS59"/>
  <c r="AU59"/>
  <c r="AW59"/>
  <c r="AD59"/>
  <c r="AF59"/>
  <c r="AH59"/>
  <c r="AJ59"/>
  <c r="AL59"/>
  <c r="AN59"/>
  <c r="AP59"/>
  <c r="AR59"/>
  <c r="AT59"/>
  <c r="AV59"/>
  <c r="AX59"/>
  <c r="AE60"/>
  <c r="AG60"/>
  <c r="AK60"/>
  <c r="AQ60"/>
  <c r="AU60"/>
  <c r="AD60"/>
  <c r="AF60"/>
  <c r="AH60"/>
  <c r="AJ60"/>
  <c r="AL60"/>
  <c r="AN60"/>
  <c r="AP60"/>
  <c r="AR60"/>
  <c r="AT60"/>
  <c r="AV60"/>
  <c r="AX60"/>
  <c r="AI60"/>
  <c r="AM60"/>
  <c r="AO60"/>
  <c r="AS60"/>
  <c r="AW60"/>
  <c r="AE51"/>
  <c r="AG51"/>
  <c r="AI51"/>
  <c r="AK51"/>
  <c r="AM51"/>
  <c r="AO51"/>
  <c r="AQ51"/>
  <c r="AS51"/>
  <c r="AU51"/>
  <c r="AW51"/>
  <c r="AD51"/>
  <c r="AF51"/>
  <c r="AH51"/>
  <c r="AJ51"/>
  <c r="AL51"/>
  <c r="AN51"/>
  <c r="AP51"/>
  <c r="AR51"/>
  <c r="AT51"/>
  <c r="AV51"/>
  <c r="AX51"/>
  <c r="AE54"/>
  <c r="AG54"/>
  <c r="AI54"/>
  <c r="AK54"/>
  <c r="AM54"/>
  <c r="AO54"/>
  <c r="AQ54"/>
  <c r="AS54"/>
  <c r="AU54"/>
  <c r="AW54"/>
  <c r="AD54"/>
  <c r="AF54"/>
  <c r="AH54"/>
  <c r="AJ54"/>
  <c r="AL54"/>
  <c r="AN54"/>
  <c r="AP54"/>
  <c r="AR54"/>
  <c r="AT54"/>
  <c r="AV54"/>
  <c r="AX54"/>
  <c r="AE50"/>
  <c r="AG50"/>
  <c r="AI50"/>
  <c r="AK50"/>
  <c r="AM50"/>
  <c r="AO50"/>
  <c r="AQ50"/>
  <c r="AS50"/>
  <c r="AU50"/>
  <c r="AW50"/>
  <c r="AD50"/>
  <c r="AF50"/>
  <c r="AH50"/>
  <c r="AJ50"/>
  <c r="AL50"/>
  <c r="AN50"/>
  <c r="AP50"/>
  <c r="AR50"/>
  <c r="AT50"/>
  <c r="AV50"/>
  <c r="AX50"/>
  <c r="AX55"/>
  <c r="AT55"/>
  <c r="AP55"/>
  <c r="AL55"/>
  <c r="AH55"/>
  <c r="AD55"/>
  <c r="AW55"/>
  <c r="AS55"/>
  <c r="AO55"/>
  <c r="AK55"/>
  <c r="AC53"/>
  <c r="AC59"/>
  <c r="AC60"/>
  <c r="AC51"/>
  <c r="AC54"/>
  <c r="AC50"/>
  <c r="AC58"/>
  <c r="AC52"/>
  <c r="V62"/>
  <c r="M62"/>
  <c r="M63"/>
  <c r="X63"/>
  <c r="X62"/>
  <c r="F63"/>
  <c r="F62"/>
  <c r="D63"/>
  <c r="D62"/>
  <c r="E62"/>
  <c r="E63"/>
  <c r="J63"/>
  <c r="J62"/>
  <c r="S62"/>
  <c r="S63"/>
  <c r="L63"/>
  <c r="L62"/>
  <c r="U62"/>
  <c r="U63"/>
  <c r="I62"/>
  <c r="I63"/>
  <c r="V63"/>
  <c r="O62"/>
  <c r="O63"/>
  <c r="H63"/>
  <c r="H62"/>
  <c r="K62"/>
  <c r="K63"/>
  <c r="Q62"/>
  <c r="Q63"/>
  <c r="G62"/>
  <c r="G63"/>
  <c r="R63"/>
  <c r="R62"/>
  <c r="N63"/>
  <c r="N62"/>
  <c r="P63"/>
  <c r="P62"/>
  <c r="T63"/>
  <c r="T62"/>
  <c r="Z54"/>
  <c r="AB54" s="1"/>
  <c r="Z52"/>
  <c r="AB52" s="1"/>
  <c r="Z51"/>
  <c r="AB51" s="1"/>
  <c r="C62"/>
  <c r="Z55"/>
  <c r="AB55" s="1"/>
  <c r="Z60"/>
  <c r="AB60" s="1"/>
  <c r="C63"/>
  <c r="Z59"/>
  <c r="AB59" s="1"/>
  <c r="Z53"/>
  <c r="AB53" s="1"/>
  <c r="Z58"/>
  <c r="AB58" s="1"/>
  <c r="Z50"/>
  <c r="AX44" l="1"/>
  <c r="AX41"/>
  <c r="AX47"/>
  <c r="AX39"/>
  <c r="AX46"/>
  <c r="AX43"/>
  <c r="AX42"/>
  <c r="AX37"/>
  <c r="AX38"/>
  <c r="AX40"/>
  <c r="AW39"/>
  <c r="AW38"/>
  <c r="AW47"/>
  <c r="AW43"/>
  <c r="AW46"/>
  <c r="AW42"/>
  <c r="AW41"/>
  <c r="AW44"/>
  <c r="AW37"/>
  <c r="AW40"/>
  <c r="AT42"/>
  <c r="AT43"/>
  <c r="AT40"/>
  <c r="AT38"/>
  <c r="AT41"/>
  <c r="AT39"/>
  <c r="AT44"/>
  <c r="AT37"/>
  <c r="AT47"/>
  <c r="AT46"/>
  <c r="AS40"/>
  <c r="AS47"/>
  <c r="AS38"/>
  <c r="AS43"/>
  <c r="AS42"/>
  <c r="AS46"/>
  <c r="AS41"/>
  <c r="AS39"/>
  <c r="AS37"/>
  <c r="AS44"/>
  <c r="AS45"/>
  <c r="Z62"/>
  <c r="AB50"/>
  <c r="Z63"/>
</calcChain>
</file>

<file path=xl/comments1.xml><?xml version="1.0" encoding="utf-8"?>
<comments xmlns="http://schemas.openxmlformats.org/spreadsheetml/2006/main">
  <authors>
    <author>Ernest Berkhout</author>
  </authors>
  <commentList>
    <comment ref="C13" authorId="0">
      <text>
        <r>
          <rPr>
            <b/>
            <sz val="8"/>
            <color indexed="81"/>
            <rFont val="Tahoma"/>
            <family val="2"/>
          </rPr>
          <t>Ernest Berkhout:</t>
        </r>
        <r>
          <rPr>
            <sz val="8"/>
            <color indexed="81"/>
            <rFont val="Tahoma"/>
            <family val="2"/>
          </rPr>
          <t xml:space="preserve">
plus Aselect/10 om exact gelijke stand te vermijden</t>
        </r>
      </text>
    </comment>
  </commentList>
</comments>
</file>

<file path=xl/sharedStrings.xml><?xml version="1.0" encoding="utf-8"?>
<sst xmlns="http://schemas.openxmlformats.org/spreadsheetml/2006/main" count="963" uniqueCount="195">
  <si>
    <t>Aantal etappe-overwinningen</t>
  </si>
  <si>
    <t>Bonus</t>
  </si>
  <si>
    <t>B</t>
  </si>
  <si>
    <t>Originaliteit:</t>
  </si>
  <si>
    <t>Gemiddeld:</t>
  </si>
  <si>
    <t>daguitslag</t>
  </si>
  <si>
    <t>cumulatief</t>
  </si>
  <si>
    <t>rekenblad</t>
  </si>
  <si>
    <t>afwijking, cumulatief</t>
  </si>
  <si>
    <t># deelnemers</t>
  </si>
  <si>
    <t>klimmer</t>
  </si>
  <si>
    <t>sprinter</t>
  </si>
  <si>
    <t>orig1</t>
  </si>
  <si>
    <t>cumulatief, gecorrigeerd voor originaliteit</t>
  </si>
  <si>
    <t xml:space="preserve"> </t>
  </si>
  <si>
    <t xml:space="preserve">  </t>
  </si>
  <si>
    <t>evt. jokers:</t>
  </si>
  <si>
    <t>Etappe uitslag</t>
  </si>
  <si>
    <t>Positie</t>
  </si>
  <si>
    <t>Gele Trui</t>
  </si>
  <si>
    <t>Bolletjes Trui</t>
  </si>
  <si>
    <t xml:space="preserve">Groene Trui </t>
  </si>
  <si>
    <t>BONUS-punten eindklassement (eenmalig):</t>
  </si>
  <si>
    <t>P</t>
  </si>
  <si>
    <t>E</t>
  </si>
  <si>
    <t>F</t>
  </si>
  <si>
    <t>G</t>
  </si>
  <si>
    <t>H</t>
  </si>
  <si>
    <t>I</t>
  </si>
  <si>
    <t>J</t>
  </si>
  <si>
    <t>K</t>
  </si>
  <si>
    <t>L</t>
  </si>
  <si>
    <t>M</t>
  </si>
  <si>
    <t>N</t>
  </si>
  <si>
    <t>O</t>
  </si>
  <si>
    <t>Q</t>
  </si>
  <si>
    <t>R</t>
  </si>
  <si>
    <t>S</t>
  </si>
  <si>
    <t>T</t>
  </si>
  <si>
    <t>U</t>
  </si>
  <si>
    <t>V</t>
  </si>
  <si>
    <t>W</t>
  </si>
  <si>
    <t>X</t>
  </si>
  <si>
    <t>teamnaam</t>
  </si>
  <si>
    <t>IJffjes Boys</t>
  </si>
  <si>
    <t>Cavendish</t>
  </si>
  <si>
    <t>Martin</t>
  </si>
  <si>
    <t>Peter K.</t>
  </si>
  <si>
    <t>Kees</t>
  </si>
  <si>
    <t>Rojas</t>
  </si>
  <si>
    <t>Voeckler</t>
  </si>
  <si>
    <t>Populariteit</t>
  </si>
  <si>
    <t>Willem</t>
  </si>
  <si>
    <t xml:space="preserve">Bolletjes Trui </t>
  </si>
  <si>
    <t xml:space="preserve">Gele Trui </t>
  </si>
  <si>
    <t>Mollema</t>
  </si>
  <si>
    <t>Greipel</t>
  </si>
  <si>
    <t>Goss</t>
  </si>
  <si>
    <t>Van Den Broeck</t>
  </si>
  <si>
    <t>Gemiddeld eerste 8 overall:</t>
  </si>
  <si>
    <t>Y</t>
  </si>
  <si>
    <t>afwijking, cumulatief gecorrigeerd voor originaliteit</t>
  </si>
  <si>
    <t>Kopieer de kolommen B:C uit de formulieren naar de blauwe sheets</t>
  </si>
  <si>
    <t>Pas de namen van de sheets aan</t>
  </si>
  <si>
    <t>Neem die namen over boven de sheet originaliteit…</t>
  </si>
  <si>
    <t>… en hoop dat nu alles in 1x goed gaat.</t>
  </si>
  <si>
    <t>Rang</t>
  </si>
  <si>
    <t>LET OP: als je formules mooi wilt meekopieren moet je niet aan het eind invoegen, maar een rij kopieren en invoegen tussen de eerste en de laatste</t>
  </si>
  <si>
    <t>vervolgens stap 1, 2 en 3 doorlopen</t>
  </si>
  <si>
    <t>Dit gaat goed tot max 17 deelnemers.</t>
  </si>
  <si>
    <t>Mochten er meer dan 10 teams zijn, dan kun je een bestaande deelnemerssheet kopieren…</t>
  </si>
  <si>
    <r>
      <t xml:space="preserve">en op sheet Originaliteit een kolom </t>
    </r>
    <r>
      <rPr>
        <u/>
        <sz val="10"/>
        <color rgb="FFFF0000"/>
        <rFont val="Arial"/>
        <family val="2"/>
      </rPr>
      <t>tussenkopieren</t>
    </r>
    <r>
      <rPr>
        <sz val="10"/>
        <color rgb="FFFF0000"/>
        <rFont val="Arial"/>
        <family val="2"/>
      </rPr>
      <t>.</t>
    </r>
  </si>
  <si>
    <t>Zo niet, dan mag je lekker gaan puzzelen. :-)</t>
  </si>
  <si>
    <t>Wel zul je nog wat moeten aanpassen in de weergave van de scores op de sheet Teams en op de sheet Etappes. Dat kan evt. ook automatisch mbv de functie verschuiven, ik daag je uit het te proberen. :-)</t>
  </si>
  <si>
    <t>Sagan</t>
  </si>
  <si>
    <t>Kittel</t>
  </si>
  <si>
    <t>Valverde</t>
  </si>
  <si>
    <t>Froome</t>
  </si>
  <si>
    <t>Matthijs</t>
  </si>
  <si>
    <t>Thomas</t>
  </si>
  <si>
    <t>Am Selfkant</t>
  </si>
  <si>
    <t>Rolland</t>
  </si>
  <si>
    <t>De Lange Man</t>
  </si>
  <si>
    <t>El Gran</t>
  </si>
  <si>
    <t>Lothar</t>
  </si>
  <si>
    <t>Selfkant</t>
  </si>
  <si>
    <t>Lange</t>
  </si>
  <si>
    <t>Gran</t>
  </si>
  <si>
    <t>IJff</t>
  </si>
  <si>
    <t>Contador</t>
  </si>
  <si>
    <t>Pinot</t>
  </si>
  <si>
    <t>Porte</t>
  </si>
  <si>
    <t>Fuglsang</t>
  </si>
  <si>
    <t>Costa</t>
  </si>
  <si>
    <t>Rodriguez</t>
  </si>
  <si>
    <t>van Garderen</t>
  </si>
  <si>
    <t>Degenkolb</t>
  </si>
  <si>
    <t>Kristoff</t>
  </si>
  <si>
    <t>Talansky</t>
  </si>
  <si>
    <t>Gerard Brinksma</t>
  </si>
  <si>
    <t>TinTopTeam</t>
  </si>
  <si>
    <t>Marjon Tinnemans</t>
  </si>
  <si>
    <t>Geraint</t>
  </si>
  <si>
    <t>Niet geschoten</t>
  </si>
  <si>
    <t>Doet niet mee:</t>
  </si>
  <si>
    <t>Equipe l'Ami</t>
  </si>
  <si>
    <t>Lothar Matthäus</t>
  </si>
  <si>
    <t>Annita IJff</t>
  </si>
  <si>
    <t>Carin Kruiskamp</t>
  </si>
  <si>
    <t>Tin</t>
  </si>
  <si>
    <t>Démare</t>
  </si>
  <si>
    <t>Kwiatkowski</t>
  </si>
  <si>
    <t>Coquard</t>
  </si>
  <si>
    <t>Nibali</t>
  </si>
  <si>
    <t>Dumoulin</t>
  </si>
  <si>
    <t>Cancellara</t>
  </si>
  <si>
    <t>Bardet</t>
  </si>
  <si>
    <t>aanvaller/tijdrijder</t>
  </si>
  <si>
    <t>Kangert</t>
  </si>
  <si>
    <t>Leen</t>
  </si>
  <si>
    <t>selecteer type renner:</t>
  </si>
  <si>
    <t>Gerrans</t>
  </si>
  <si>
    <t>Modolo</t>
  </si>
  <si>
    <t>Navarro</t>
  </si>
  <si>
    <t>Jolanthe &amp; Bart</t>
  </si>
  <si>
    <t>Matthews</t>
  </si>
  <si>
    <t>van Poppel</t>
  </si>
  <si>
    <t>Freaky</t>
  </si>
  <si>
    <t/>
  </si>
  <si>
    <t>Z</t>
  </si>
  <si>
    <t>Frank</t>
  </si>
  <si>
    <t>Gesink</t>
  </si>
  <si>
    <t>Kelderman</t>
  </si>
  <si>
    <t>Konig</t>
  </si>
  <si>
    <t>Boasson Hagen</t>
  </si>
  <si>
    <t>Arredondo</t>
  </si>
  <si>
    <t>klimmer/klassement</t>
  </si>
  <si>
    <t>Lothars Grand Depart</t>
  </si>
  <si>
    <t>Uran</t>
  </si>
  <si>
    <t>Majka</t>
  </si>
  <si>
    <t>Meintjes</t>
  </si>
  <si>
    <t>S.Yates</t>
  </si>
  <si>
    <t>Freaky naar de top</t>
  </si>
  <si>
    <t>Barguil</t>
  </si>
  <si>
    <t>Kruijswijk</t>
  </si>
  <si>
    <t>Bouhanni</t>
  </si>
  <si>
    <t>Van Garderen</t>
  </si>
  <si>
    <t>Poels</t>
  </si>
  <si>
    <t>Gallopin</t>
  </si>
  <si>
    <t>Buchmann</t>
  </si>
  <si>
    <t>Sepulveda</t>
  </si>
  <si>
    <t>Kreuziger</t>
  </si>
  <si>
    <t>Peraud</t>
  </si>
  <si>
    <t>Navardauskas</t>
  </si>
  <si>
    <t>Cimolai</t>
  </si>
  <si>
    <t>Demare</t>
  </si>
  <si>
    <t>wadaf*ckers</t>
  </si>
  <si>
    <t>Vanmarcke</t>
  </si>
  <si>
    <t>Van Lego kun je alles maken</t>
  </si>
  <si>
    <t>Zubeldia</t>
  </si>
  <si>
    <t>boasson hagen</t>
  </si>
  <si>
    <t>mollema</t>
  </si>
  <si>
    <t>fuglsang</t>
  </si>
  <si>
    <t>greipel</t>
  </si>
  <si>
    <t>cavendish</t>
  </si>
  <si>
    <t>hesjedal</t>
  </si>
  <si>
    <t>gesink</t>
  </si>
  <si>
    <t>van garderen</t>
  </si>
  <si>
    <t>valverde</t>
  </si>
  <si>
    <t>basso</t>
  </si>
  <si>
    <t>majka</t>
  </si>
  <si>
    <t>sagan</t>
  </si>
  <si>
    <t>kristoff</t>
  </si>
  <si>
    <t>pinot</t>
  </si>
  <si>
    <t>degenkolb</t>
  </si>
  <si>
    <t>uran</t>
  </si>
  <si>
    <t>matthews</t>
  </si>
  <si>
    <t>cancellara</t>
  </si>
  <si>
    <t>Basso</t>
  </si>
  <si>
    <t>Hesjedal</t>
  </si>
  <si>
    <t>Wadaf</t>
  </si>
  <si>
    <t>Lego</t>
  </si>
  <si>
    <t>Bangkok</t>
  </si>
  <si>
    <t>Ami</t>
  </si>
  <si>
    <t>Mahawat</t>
  </si>
  <si>
    <t>D.Martin</t>
  </si>
  <si>
    <t>T.Martin</t>
  </si>
  <si>
    <t>t.martin</t>
  </si>
  <si>
    <t>van Avermaet</t>
  </si>
  <si>
    <t>RESERVES:</t>
  </si>
  <si>
    <t>knecht</t>
  </si>
  <si>
    <t>Jan</t>
  </si>
  <si>
    <t>rodriguez</t>
  </si>
  <si>
    <t>Rangverloop:</t>
  </si>
  <si>
    <t>EN BEDANKT HE!</t>
  </si>
</sst>
</file>

<file path=xl/styles.xml><?xml version="1.0" encoding="utf-8"?>
<styleSheet xmlns="http://schemas.openxmlformats.org/spreadsheetml/2006/main">
  <numFmts count="1">
    <numFmt numFmtId="164" formatCode="[$-413]General"/>
  </numFmts>
  <fonts count="101">
    <font>
      <sz val="10"/>
      <name val="Arial"/>
    </font>
    <font>
      <sz val="11"/>
      <color indexed="8"/>
      <name val="Calibri"/>
      <family val="2"/>
    </font>
    <font>
      <sz val="10"/>
      <name val="Arial"/>
      <family val="2"/>
    </font>
    <font>
      <b/>
      <sz val="10"/>
      <name val="Arial"/>
      <family val="2"/>
    </font>
    <font>
      <b/>
      <i/>
      <sz val="10"/>
      <name val="Arial"/>
      <family val="2"/>
    </font>
    <font>
      <sz val="10"/>
      <name val="Arial"/>
      <family val="2"/>
    </font>
    <font>
      <i/>
      <sz val="10"/>
      <name val="Arial"/>
      <family val="2"/>
    </font>
    <font>
      <sz val="10"/>
      <name val="Garamond"/>
      <family val="1"/>
    </font>
    <font>
      <sz val="9"/>
      <name val="Verdana"/>
      <family val="2"/>
    </font>
    <font>
      <i/>
      <sz val="10"/>
      <name val="Verdana"/>
      <family val="2"/>
    </font>
    <font>
      <sz val="10"/>
      <name val="Verdana"/>
      <family val="2"/>
    </font>
    <font>
      <b/>
      <sz val="10"/>
      <name val="Verdana"/>
      <family val="2"/>
    </font>
    <font>
      <i/>
      <sz val="9"/>
      <name val="Verdana"/>
      <family val="2"/>
    </font>
    <font>
      <b/>
      <sz val="10"/>
      <name val="Arial"/>
      <family val="2"/>
    </font>
    <font>
      <sz val="10"/>
      <name val="Arial"/>
      <family val="2"/>
    </font>
    <font>
      <sz val="10"/>
      <color indexed="10"/>
      <name val="Arial"/>
      <family val="2"/>
    </font>
    <font>
      <i/>
      <sz val="10"/>
      <name val="Arial"/>
      <family val="2"/>
    </font>
    <font>
      <b/>
      <i/>
      <sz val="10"/>
      <name val="Verdana"/>
      <family val="2"/>
    </font>
    <font>
      <i/>
      <sz val="10"/>
      <color indexed="14"/>
      <name val="Arial"/>
      <family val="2"/>
    </font>
    <font>
      <i/>
      <sz val="10"/>
      <color indexed="14"/>
      <name val="Arial"/>
      <family val="2"/>
    </font>
    <font>
      <sz val="10"/>
      <color indexed="10"/>
      <name val="Arial"/>
      <family val="2"/>
    </font>
    <font>
      <sz val="10"/>
      <color indexed="10"/>
      <name val="Verdana"/>
      <family val="2"/>
    </font>
    <font>
      <b/>
      <sz val="10"/>
      <color indexed="14"/>
      <name val="Arial"/>
      <family val="2"/>
    </font>
    <font>
      <b/>
      <sz val="12"/>
      <name val="Times New Roman"/>
      <family val="1"/>
    </font>
    <font>
      <sz val="12"/>
      <name val="Times New Roman"/>
      <family val="1"/>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indexed="8"/>
      <name val="Arial"/>
      <family val="2"/>
    </font>
    <font>
      <i/>
      <sz val="10"/>
      <color indexed="8"/>
      <name val="Arial"/>
      <family val="2"/>
    </font>
    <font>
      <sz val="10"/>
      <name val="Arial"/>
      <family val="2"/>
    </font>
    <font>
      <strike/>
      <sz val="10"/>
      <name val="Cambria"/>
      <family val="1"/>
    </font>
    <font>
      <sz val="10"/>
      <name val="Arial"/>
      <family val="2"/>
    </font>
    <font>
      <b/>
      <i/>
      <sz val="10"/>
      <color indexed="8"/>
      <name val="Arial"/>
      <family val="2"/>
    </font>
    <font>
      <sz val="10"/>
      <color rgb="FFFF0000"/>
      <name val="Cambria"/>
      <family val="1"/>
    </font>
    <font>
      <sz val="10"/>
      <name val="Calibri"/>
      <family val="2"/>
      <scheme val="minor"/>
    </font>
    <font>
      <i/>
      <sz val="10"/>
      <name val="Calibri"/>
      <family val="2"/>
      <scheme val="minor"/>
    </font>
    <font>
      <b/>
      <i/>
      <sz val="10"/>
      <name val="Calibri"/>
      <family val="2"/>
      <scheme val="minor"/>
    </font>
    <font>
      <b/>
      <sz val="10"/>
      <name val="Calibri"/>
      <family val="2"/>
      <scheme val="minor"/>
    </font>
    <font>
      <i/>
      <sz val="10"/>
      <color rgb="FFFF0000"/>
      <name val="Calibri"/>
      <family val="2"/>
      <scheme val="minor"/>
    </font>
    <font>
      <sz val="10"/>
      <color indexed="40"/>
      <name val="Calibri"/>
      <family val="2"/>
      <scheme val="minor"/>
    </font>
    <font>
      <i/>
      <sz val="10"/>
      <color indexed="40"/>
      <name val="Calibri"/>
      <family val="2"/>
      <scheme val="minor"/>
    </font>
    <font>
      <sz val="10"/>
      <color rgb="FF0070C0"/>
      <name val="Calibri"/>
      <family val="2"/>
      <scheme val="minor"/>
    </font>
    <font>
      <b/>
      <i/>
      <sz val="10"/>
      <color rgb="FF0070C0"/>
      <name val="Calibri"/>
      <family val="2"/>
      <scheme val="minor"/>
    </font>
    <font>
      <i/>
      <sz val="10"/>
      <color rgb="FF0070C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8"/>
      <color indexed="81"/>
      <name val="Tahoma"/>
      <family val="2"/>
    </font>
    <font>
      <b/>
      <sz val="8"/>
      <color indexed="81"/>
      <name val="Tahoma"/>
      <family val="2"/>
    </font>
    <font>
      <strike/>
      <sz val="10"/>
      <name val="Calibri"/>
      <family val="2"/>
      <scheme val="minor"/>
    </font>
    <font>
      <i/>
      <sz val="10"/>
      <color indexed="14"/>
      <name val="Calibri"/>
      <family val="2"/>
      <scheme val="minor"/>
    </font>
    <font>
      <sz val="10"/>
      <color indexed="10"/>
      <name val="Calibri"/>
      <family val="2"/>
      <scheme val="minor"/>
    </font>
    <font>
      <b/>
      <sz val="10"/>
      <color indexed="10"/>
      <name val="Calibri"/>
      <family val="2"/>
      <scheme val="minor"/>
    </font>
    <font>
      <i/>
      <sz val="10"/>
      <color indexed="10"/>
      <name val="Calibri"/>
      <family val="2"/>
      <scheme val="minor"/>
    </font>
    <font>
      <b/>
      <sz val="10"/>
      <color indexed="14"/>
      <name val="Calibri"/>
      <family val="2"/>
      <scheme val="minor"/>
    </font>
    <font>
      <sz val="10"/>
      <color theme="0" tint="-0.249977111117893"/>
      <name val="Calibri"/>
      <family val="2"/>
      <scheme val="minor"/>
    </font>
    <font>
      <sz val="10"/>
      <color theme="0" tint="-9.9978637043366805E-2"/>
      <name val="Cambria"/>
      <family val="1"/>
    </font>
    <font>
      <sz val="10"/>
      <color rgb="FFFF0000"/>
      <name val="Arial"/>
      <family val="2"/>
    </font>
    <font>
      <u/>
      <sz val="10"/>
      <color rgb="FFFF0000"/>
      <name val="Arial"/>
      <family val="2"/>
    </font>
    <font>
      <b/>
      <i/>
      <sz val="10"/>
      <color rgb="FFFF0000"/>
      <name val="Arial"/>
      <family val="2"/>
    </font>
    <font>
      <sz val="10"/>
      <color rgb="FFFF0000"/>
      <name val="Calibri"/>
      <family val="2"/>
      <scheme val="minor"/>
    </font>
    <font>
      <sz val="10"/>
      <color theme="1"/>
      <name val="Arial1"/>
    </font>
    <font>
      <i/>
      <sz val="10"/>
      <color indexed="14"/>
      <name val="Verdana"/>
      <family val="2"/>
    </font>
    <font>
      <i/>
      <strike/>
      <sz val="10"/>
      <name val="Arial"/>
      <family val="2"/>
    </font>
    <font>
      <strike/>
      <sz val="10"/>
      <name val="Arial"/>
      <family val="2"/>
    </font>
    <font>
      <sz val="10"/>
      <color rgb="FFFF0000"/>
      <name val="Verdana"/>
      <family val="2"/>
    </font>
    <font>
      <sz val="10"/>
      <color indexed="55"/>
      <name val="Calibri"/>
      <family val="2"/>
      <scheme val="minor"/>
    </font>
    <font>
      <i/>
      <sz val="10"/>
      <color theme="0" tint="-0.499984740745262"/>
      <name val="Verdana"/>
      <family val="2"/>
    </font>
    <font>
      <sz val="10"/>
      <color theme="0" tint="-0.499984740745262"/>
      <name val="Verdana"/>
      <family val="2"/>
    </font>
    <font>
      <strike/>
      <sz val="10"/>
      <color theme="0" tint="-0.249977111117893"/>
      <name val="Calibri"/>
      <family val="2"/>
      <scheme val="minor"/>
    </font>
    <font>
      <u/>
      <sz val="10"/>
      <name val="Arial"/>
      <family val="2"/>
    </font>
    <font>
      <i/>
      <sz val="10"/>
      <color theme="0" tint="-0.249977111117893"/>
      <name val="Calibri"/>
      <family val="2"/>
      <scheme val="minor"/>
    </font>
    <font>
      <sz val="10"/>
      <color rgb="FF00B0F0"/>
      <name val="Calibri"/>
      <family val="2"/>
      <scheme val="minor"/>
    </font>
    <font>
      <u/>
      <sz val="10"/>
      <name val="Calibri"/>
      <family val="2"/>
      <scheme val="minor"/>
    </font>
    <font>
      <sz val="10"/>
      <color theme="0" tint="-0.14999847407452621"/>
      <name val="Calibri"/>
      <family val="2"/>
      <scheme val="minor"/>
    </font>
    <font>
      <b/>
      <sz val="10"/>
      <color rgb="FFFF0000"/>
      <name val="Calibri"/>
      <family val="2"/>
      <scheme val="minor"/>
    </font>
  </fonts>
  <fills count="28">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11"/>
        <bgColor indexed="64"/>
      </patternFill>
    </fill>
    <fill>
      <patternFill patternType="solid">
        <fgColor indexed="42"/>
        <bgColor indexed="64"/>
      </patternFill>
    </fill>
    <fill>
      <patternFill patternType="solid">
        <fgColor indexed="9"/>
        <bgColor indexed="64"/>
      </patternFill>
    </fill>
    <fill>
      <patternFill patternType="solid">
        <fgColor indexed="29"/>
        <bgColor indexed="29"/>
      </patternFill>
    </fill>
    <fill>
      <patternFill patternType="solid">
        <fgColor indexed="31"/>
        <bgColor indexed="64"/>
      </patternFill>
    </fill>
    <fill>
      <patternFill patternType="solid">
        <fgColor rgb="FFFFFF00"/>
        <bgColor indexed="64"/>
      </patternFill>
    </fill>
    <fill>
      <patternFill patternType="solid">
        <fgColor rgb="FFFFC0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3" tint="0.79998168889431442"/>
        <bgColor indexed="64"/>
      </patternFill>
    </fill>
    <fill>
      <patternFill patternType="solid">
        <fgColor theme="0" tint="-9.9978637043366805E-2"/>
        <bgColor indexed="64"/>
      </patternFill>
    </fill>
    <fill>
      <patternFill patternType="solid">
        <fgColor theme="0" tint="-0.14999847407452621"/>
        <bgColor indexed="64"/>
      </patternFill>
    </fill>
    <fill>
      <patternFill patternType="solid">
        <fgColor rgb="FF92D050"/>
        <bgColor indexed="64"/>
      </patternFill>
    </fill>
  </fills>
  <borders count="5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medium">
        <color indexed="64"/>
      </bottom>
      <diagonal/>
    </border>
    <border>
      <left style="dotted">
        <color indexed="64"/>
      </left>
      <right style="dotted">
        <color indexed="64"/>
      </right>
      <top/>
      <bottom/>
      <diagonal/>
    </border>
    <border>
      <left style="dotted">
        <color indexed="64"/>
      </left>
      <right/>
      <top/>
      <bottom/>
      <diagonal/>
    </border>
    <border>
      <left/>
      <right/>
      <top/>
      <bottom style="double">
        <color indexed="64"/>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right/>
      <top style="medium">
        <color indexed="64"/>
      </top>
      <bottom/>
      <diagonal/>
    </border>
    <border>
      <left/>
      <right style="dotted">
        <color indexed="64"/>
      </right>
      <top/>
      <bottom style="double">
        <color indexed="64"/>
      </bottom>
      <diagonal/>
    </border>
    <border>
      <left/>
      <right style="dotted">
        <color indexed="64"/>
      </right>
      <top/>
      <bottom/>
      <diagonal/>
    </border>
    <border>
      <left/>
      <right/>
      <top style="thin">
        <color indexed="64"/>
      </top>
      <bottom style="thin">
        <color indexed="64"/>
      </bottom>
      <diagonal/>
    </border>
    <border>
      <left/>
      <right/>
      <top/>
      <bottom style="dotted">
        <color indexed="64"/>
      </bottom>
      <diagonal/>
    </border>
    <border>
      <left style="dotted">
        <color indexed="64"/>
      </left>
      <right style="dotted">
        <color indexed="64"/>
      </right>
      <top/>
      <bottom style="thin">
        <color indexed="9"/>
      </bottom>
      <diagonal/>
    </border>
    <border>
      <left/>
      <right/>
      <top/>
      <bottom style="thin">
        <color indexed="9"/>
      </bottom>
      <diagonal/>
    </border>
    <border>
      <left style="dotted">
        <color indexed="64"/>
      </left>
      <right style="dotted">
        <color indexed="64"/>
      </right>
      <top style="thin">
        <color indexed="64"/>
      </top>
      <bottom/>
      <diagonal/>
    </border>
    <border>
      <left style="medium">
        <color indexed="64"/>
      </left>
      <right style="medium">
        <color indexed="64"/>
      </right>
      <top/>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medium">
        <color indexed="64"/>
      </left>
      <right/>
      <top/>
      <bottom style="thin">
        <color indexed="9"/>
      </bottom>
      <diagonal/>
    </border>
    <border>
      <left style="medium">
        <color indexed="64"/>
      </left>
      <right style="medium">
        <color indexed="64"/>
      </right>
      <top/>
      <bottom style="thin">
        <color indexed="9"/>
      </bottom>
      <diagonal/>
    </border>
    <border>
      <left style="medium">
        <color indexed="64"/>
      </left>
      <right/>
      <top style="thin">
        <color indexed="9"/>
      </top>
      <bottom/>
      <diagonal/>
    </border>
    <border>
      <left style="medium">
        <color indexed="64"/>
      </left>
      <right style="medium">
        <color indexed="64"/>
      </right>
      <top style="thin">
        <color indexed="9"/>
      </top>
      <bottom/>
      <diagonal/>
    </border>
    <border>
      <left style="dotted">
        <color indexed="64"/>
      </left>
      <right style="dotted">
        <color indexed="64"/>
      </right>
      <top style="thin">
        <color indexed="9"/>
      </top>
      <bottom/>
      <diagonal/>
    </border>
    <border>
      <left/>
      <right/>
      <top style="thin">
        <color indexed="9"/>
      </top>
      <bottom/>
      <diagonal/>
    </border>
    <border>
      <left style="thin">
        <color indexed="64"/>
      </left>
      <right style="thin">
        <color indexed="9"/>
      </right>
      <top/>
      <bottom style="thin">
        <color indexed="9"/>
      </bottom>
      <diagonal/>
    </border>
    <border>
      <left style="thin">
        <color indexed="64"/>
      </left>
      <right style="thin">
        <color indexed="9"/>
      </right>
      <top style="thin">
        <color indexed="9"/>
      </top>
      <bottom/>
      <diagonal/>
    </border>
    <border>
      <left style="medium">
        <color indexed="64"/>
      </left>
      <right style="thin">
        <color indexed="9"/>
      </right>
      <top/>
      <bottom style="thin">
        <color indexed="9"/>
      </bottom>
      <diagonal/>
    </border>
    <border>
      <left style="medium">
        <color indexed="64"/>
      </left>
      <right style="thin">
        <color indexed="9"/>
      </right>
      <top style="thin">
        <color indexed="9"/>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right/>
      <top/>
      <bottom style="thin">
        <color auto="1"/>
      </bottom>
      <diagonal/>
    </border>
    <border>
      <left/>
      <right style="dotted">
        <color indexed="64"/>
      </right>
      <top/>
      <bottom style="thin">
        <color auto="1"/>
      </bottom>
      <diagonal/>
    </border>
    <border>
      <left style="dotted">
        <color indexed="64"/>
      </left>
      <right style="dotted">
        <color indexed="64"/>
      </right>
      <top/>
      <bottom style="thin">
        <color auto="1"/>
      </bottom>
      <diagonal/>
    </border>
    <border>
      <left/>
      <right/>
      <top style="thin">
        <color auto="1"/>
      </top>
      <bottom/>
      <diagonal/>
    </border>
    <border>
      <left/>
      <right style="dotted">
        <color indexed="64"/>
      </right>
      <top style="thin">
        <color auto="1"/>
      </top>
      <bottom/>
      <diagonal/>
    </border>
    <border>
      <left style="medium">
        <color indexed="64"/>
      </left>
      <right style="medium">
        <color indexed="64"/>
      </right>
      <top/>
      <bottom style="medium">
        <color indexed="64"/>
      </bottom>
      <diagonal/>
    </border>
    <border>
      <left style="dotted">
        <color indexed="64"/>
      </left>
      <right style="dotted">
        <color indexed="64"/>
      </right>
      <top style="thin">
        <color auto="1"/>
      </top>
      <bottom/>
      <diagonal/>
    </border>
  </borders>
  <cellStyleXfs count="40">
    <xf numFmtId="0" fontId="0" fillId="0" borderId="0"/>
    <xf numFmtId="0" fontId="34" fillId="2" borderId="0" applyNumberFormat="0" applyBorder="0" applyAlignment="0" applyProtection="0"/>
    <xf numFmtId="0" fontId="25" fillId="5" borderId="1" applyNumberFormat="0" applyAlignment="0" applyProtection="0"/>
    <xf numFmtId="0" fontId="26" fillId="6" borderId="2" applyNumberFormat="0" applyAlignment="0" applyProtection="0"/>
    <xf numFmtId="0" fontId="38" fillId="0" borderId="0" applyNumberFormat="0" applyFill="0" applyBorder="0" applyAlignment="0" applyProtection="0"/>
    <xf numFmtId="0" fontId="28" fillId="3" borderId="0" applyNumberFormat="0" applyBorder="0" applyAlignment="0" applyProtection="0"/>
    <xf numFmtId="0" fontId="30" fillId="0" borderId="3" applyNumberFormat="0" applyFill="0" applyAlignment="0" applyProtection="0"/>
    <xf numFmtId="0" fontId="31" fillId="0" borderId="4" applyNumberFormat="0" applyFill="0" applyAlignment="0" applyProtection="0"/>
    <xf numFmtId="0" fontId="32" fillId="0" borderId="5" applyNumberFormat="0" applyFill="0" applyAlignment="0" applyProtection="0"/>
    <xf numFmtId="0" fontId="32" fillId="0" borderId="0" applyNumberFormat="0" applyFill="0" applyBorder="0" applyAlignment="0" applyProtection="0"/>
    <xf numFmtId="0" fontId="29" fillId="4" borderId="1" applyNumberFormat="0" applyAlignment="0" applyProtection="0"/>
    <xf numFmtId="0" fontId="27" fillId="0" borderId="6" applyNumberFormat="0" applyFill="0" applyAlignment="0" applyProtection="0"/>
    <xf numFmtId="0" fontId="33" fillId="7" borderId="0" applyNumberFormat="0" applyBorder="0" applyAlignment="0" applyProtection="0"/>
    <xf numFmtId="0" fontId="2" fillId="0" borderId="0"/>
    <xf numFmtId="0" fontId="1" fillId="0" borderId="0"/>
    <xf numFmtId="0" fontId="7" fillId="0" borderId="0"/>
    <xf numFmtId="0" fontId="42" fillId="8" borderId="7" applyNumberFormat="0" applyFont="0" applyAlignment="0" applyProtection="0"/>
    <xf numFmtId="0" fontId="37" fillId="5" borderId="8" applyNumberFormat="0" applyAlignment="0" applyProtection="0"/>
    <xf numFmtId="9" fontId="42" fillId="0" borderId="0" applyFont="0" applyFill="0" applyBorder="0" applyAlignment="0" applyProtection="0"/>
    <xf numFmtId="0" fontId="35" fillId="0" borderId="0" applyNumberFormat="0" applyFill="0" applyBorder="0" applyAlignment="0" applyProtection="0"/>
    <xf numFmtId="0" fontId="36" fillId="0" borderId="9" applyNumberFormat="0" applyFill="0" applyAlignment="0" applyProtection="0"/>
    <xf numFmtId="0" fontId="39" fillId="0" borderId="0" applyNumberFormat="0" applyFill="0" applyBorder="0" applyAlignment="0" applyProtection="0"/>
    <xf numFmtId="0" fontId="57" fillId="0" borderId="0" applyNumberFormat="0" applyFill="0" applyBorder="0" applyAlignment="0" applyProtection="0"/>
    <xf numFmtId="0" fontId="58" fillId="0" borderId="38" applyNumberFormat="0" applyFill="0" applyAlignment="0" applyProtection="0"/>
    <xf numFmtId="0" fontId="59" fillId="0" borderId="39" applyNumberFormat="0" applyFill="0" applyAlignment="0" applyProtection="0"/>
    <xf numFmtId="0" fontId="60" fillId="0" borderId="40" applyNumberFormat="0" applyFill="0" applyAlignment="0" applyProtection="0"/>
    <xf numFmtId="0" fontId="60" fillId="0" borderId="0" applyNumberFormat="0" applyFill="0" applyBorder="0" applyAlignment="0" applyProtection="0"/>
    <xf numFmtId="0" fontId="61" fillId="17" borderId="0" applyNumberFormat="0" applyBorder="0" applyAlignment="0" applyProtection="0"/>
    <xf numFmtId="0" fontId="62" fillId="18" borderId="0" applyNumberFormat="0" applyBorder="0" applyAlignment="0" applyProtection="0"/>
    <xf numFmtId="0" fontId="63" fillId="19" borderId="0" applyNumberFormat="0" applyBorder="0" applyAlignment="0" applyProtection="0"/>
    <xf numFmtId="0" fontId="64" fillId="20" borderId="41" applyNumberFormat="0" applyAlignment="0" applyProtection="0"/>
    <xf numFmtId="0" fontId="65" fillId="21" borderId="42" applyNumberFormat="0" applyAlignment="0" applyProtection="0"/>
    <xf numFmtId="0" fontId="66" fillId="21" borderId="41" applyNumberFormat="0" applyAlignment="0" applyProtection="0"/>
    <xf numFmtId="0" fontId="67" fillId="0" borderId="43" applyNumberFormat="0" applyFill="0" applyAlignment="0" applyProtection="0"/>
    <xf numFmtId="0" fontId="68" fillId="22" borderId="44" applyNumberFormat="0" applyAlignment="0" applyProtection="0"/>
    <xf numFmtId="0" fontId="69" fillId="0" borderId="0" applyNumberFormat="0" applyFill="0" applyBorder="0" applyAlignment="0" applyProtection="0"/>
    <xf numFmtId="0" fontId="44" fillId="23" borderId="45" applyNumberFormat="0" applyFont="0" applyAlignment="0" applyProtection="0"/>
    <xf numFmtId="0" fontId="70" fillId="0" borderId="0" applyNumberFormat="0" applyFill="0" applyBorder="0" applyAlignment="0" applyProtection="0"/>
    <xf numFmtId="0" fontId="71" fillId="0" borderId="46" applyNumberFormat="0" applyFill="0" applyAlignment="0" applyProtection="0"/>
    <xf numFmtId="164" fontId="86" fillId="0" borderId="0"/>
  </cellStyleXfs>
  <cellXfs count="335">
    <xf numFmtId="0" fontId="0" fillId="0" borderId="0" xfId="0"/>
    <xf numFmtId="0" fontId="3" fillId="0" borderId="0" xfId="0" applyFont="1"/>
    <xf numFmtId="0" fontId="0" fillId="0" borderId="0" xfId="0" applyAlignment="1">
      <alignment horizontal="center"/>
    </xf>
    <xf numFmtId="0" fontId="0" fillId="0" borderId="0" xfId="0" applyBorder="1" applyAlignment="1">
      <alignment horizontal="center"/>
    </xf>
    <xf numFmtId="0" fontId="0" fillId="0" borderId="0" xfId="0" applyBorder="1"/>
    <xf numFmtId="0" fontId="3" fillId="0" borderId="0" xfId="0" applyFont="1" applyBorder="1" applyAlignment="1">
      <alignment horizontal="center"/>
    </xf>
    <xf numFmtId="0" fontId="3" fillId="0" borderId="0" xfId="0" applyFont="1" applyAlignment="1">
      <alignment horizontal="right"/>
    </xf>
    <xf numFmtId="0" fontId="3" fillId="0" borderId="0" xfId="0" applyFont="1" applyBorder="1"/>
    <xf numFmtId="0" fontId="0" fillId="0" borderId="0" xfId="0" applyFill="1" applyAlignment="1">
      <alignment horizontal="center"/>
    </xf>
    <xf numFmtId="0" fontId="4" fillId="9" borderId="10" xfId="0" applyFont="1" applyFill="1" applyBorder="1" applyAlignment="1">
      <alignment horizontal="center"/>
    </xf>
    <xf numFmtId="0" fontId="0" fillId="0" borderId="0" xfId="0" applyAlignment="1" applyProtection="1">
      <alignment horizontal="center"/>
      <protection locked="0"/>
    </xf>
    <xf numFmtId="0" fontId="3" fillId="0" borderId="0" xfId="0" applyFont="1" applyBorder="1" applyAlignment="1" applyProtection="1">
      <alignment horizontal="center"/>
      <protection locked="0"/>
    </xf>
    <xf numFmtId="0" fontId="0" fillId="0" borderId="0" xfId="0" applyBorder="1" applyAlignment="1" applyProtection="1">
      <alignment horizontal="center"/>
      <protection locked="0"/>
    </xf>
    <xf numFmtId="0" fontId="0" fillId="0" borderId="0" xfId="0" applyBorder="1" applyProtection="1">
      <protection locked="0"/>
    </xf>
    <xf numFmtId="0" fontId="0" fillId="0" borderId="0" xfId="0" applyProtection="1">
      <protection locked="0"/>
    </xf>
    <xf numFmtId="0" fontId="3" fillId="0" borderId="0" xfId="0" applyFont="1" applyProtection="1">
      <protection locked="0"/>
    </xf>
    <xf numFmtId="0" fontId="0" fillId="0" borderId="0" xfId="0" applyFill="1"/>
    <xf numFmtId="0" fontId="9" fillId="0" borderId="0" xfId="0" applyFont="1"/>
    <xf numFmtId="0" fontId="10" fillId="0" borderId="0" xfId="0" applyFont="1" applyAlignment="1">
      <alignment horizontal="center"/>
    </xf>
    <xf numFmtId="0" fontId="10" fillId="0" borderId="0" xfId="0" applyFont="1"/>
    <xf numFmtId="0" fontId="10" fillId="0" borderId="0" xfId="0" applyFont="1" applyFill="1" applyAlignment="1">
      <alignment horizontal="center"/>
    </xf>
    <xf numFmtId="0" fontId="11" fillId="0" borderId="12" xfId="0" applyFont="1" applyBorder="1" applyAlignment="1">
      <alignment horizontal="center"/>
    </xf>
    <xf numFmtId="0" fontId="12" fillId="0" borderId="0" xfId="0" applyFont="1"/>
    <xf numFmtId="0" fontId="10" fillId="0" borderId="13" xfId="0" applyFont="1" applyBorder="1" applyAlignment="1">
      <alignment wrapText="1"/>
    </xf>
    <xf numFmtId="0" fontId="10" fillId="9" borderId="14" xfId="0" applyFont="1" applyFill="1" applyBorder="1" applyAlignment="1">
      <alignment horizontal="left"/>
    </xf>
    <xf numFmtId="0" fontId="8" fillId="10" borderId="14" xfId="0" applyFont="1" applyFill="1" applyBorder="1" applyAlignment="1">
      <alignment horizontal="left"/>
    </xf>
    <xf numFmtId="0" fontId="8" fillId="0" borderId="15" xfId="0" applyFont="1" applyBorder="1" applyAlignment="1">
      <alignment horizontal="left"/>
    </xf>
    <xf numFmtId="0" fontId="10" fillId="0" borderId="0" xfId="0" applyFont="1" applyFill="1"/>
    <xf numFmtId="0" fontId="0" fillId="0" borderId="0" xfId="0" applyFill="1" applyProtection="1">
      <protection locked="0"/>
    </xf>
    <xf numFmtId="0" fontId="9" fillId="0" borderId="0" xfId="0" applyFont="1" applyFill="1"/>
    <xf numFmtId="0" fontId="2" fillId="0" borderId="0" xfId="0" applyFont="1" applyFill="1" applyBorder="1"/>
    <xf numFmtId="0" fontId="0" fillId="0" borderId="16" xfId="0" applyFill="1" applyBorder="1"/>
    <xf numFmtId="0" fontId="0" fillId="0" borderId="0" xfId="0" applyFill="1" applyAlignment="1" applyProtection="1">
      <alignment horizontal="center"/>
      <protection locked="0"/>
    </xf>
    <xf numFmtId="1" fontId="11" fillId="0" borderId="0" xfId="0" applyNumberFormat="1" applyFont="1" applyBorder="1" applyAlignment="1" applyProtection="1">
      <alignment horizontal="right"/>
    </xf>
    <xf numFmtId="0" fontId="10" fillId="0" borderId="0" xfId="0" applyFont="1" applyAlignment="1" applyProtection="1">
      <alignment horizontal="left"/>
    </xf>
    <xf numFmtId="1" fontId="3" fillId="0" borderId="0" xfId="0" applyNumberFormat="1" applyFont="1" applyBorder="1" applyAlignment="1" applyProtection="1">
      <alignment horizontal="right"/>
    </xf>
    <xf numFmtId="0" fontId="0" fillId="0" borderId="0" xfId="0" applyFill="1" applyBorder="1"/>
    <xf numFmtId="0" fontId="5" fillId="0" borderId="0" xfId="0" applyFont="1" applyFill="1" applyBorder="1" applyAlignment="1" applyProtection="1">
      <alignment horizontal="left"/>
    </xf>
    <xf numFmtId="0" fontId="2" fillId="0" borderId="0" xfId="0" applyFont="1" applyFill="1" applyBorder="1" applyAlignment="1" applyProtection="1">
      <alignment horizontal="center"/>
      <protection locked="0"/>
    </xf>
    <xf numFmtId="0" fontId="13" fillId="0" borderId="0" xfId="0" applyFont="1" applyFill="1" applyBorder="1" applyAlignment="1" applyProtection="1">
      <alignment horizontal="center"/>
      <protection locked="0"/>
    </xf>
    <xf numFmtId="0" fontId="14" fillId="0" borderId="0" xfId="0" applyFont="1" applyFill="1" applyBorder="1" applyAlignment="1" applyProtection="1">
      <alignment horizontal="center"/>
      <protection locked="0"/>
    </xf>
    <xf numFmtId="0" fontId="14" fillId="0" borderId="0" xfId="0" applyFont="1" applyFill="1" applyBorder="1" applyProtection="1">
      <protection locked="0"/>
    </xf>
    <xf numFmtId="0" fontId="13" fillId="0" borderId="0" xfId="0" applyFont="1" applyFill="1" applyBorder="1" applyProtection="1">
      <protection locked="0"/>
    </xf>
    <xf numFmtId="0" fontId="14" fillId="0" borderId="0" xfId="0" applyFont="1" applyFill="1" applyBorder="1"/>
    <xf numFmtId="0" fontId="14" fillId="0" borderId="0" xfId="0" applyFont="1" applyFill="1" applyBorder="1" applyAlignment="1">
      <alignment horizontal="center"/>
    </xf>
    <xf numFmtId="0" fontId="13" fillId="0" borderId="0" xfId="0" applyFont="1" applyFill="1" applyBorder="1" applyAlignment="1">
      <alignment horizontal="center"/>
    </xf>
    <xf numFmtId="0" fontId="13" fillId="0" borderId="0" xfId="0" applyFont="1" applyFill="1" applyBorder="1"/>
    <xf numFmtId="0" fontId="3" fillId="0" borderId="0" xfId="0" applyFont="1" applyFill="1" applyBorder="1" applyAlignment="1" applyProtection="1">
      <alignment horizontal="center"/>
      <protection locked="0"/>
    </xf>
    <xf numFmtId="0" fontId="2" fillId="0" borderId="0" xfId="0" applyFont="1" applyFill="1" applyAlignment="1">
      <alignment horizontal="center"/>
    </xf>
    <xf numFmtId="0" fontId="2" fillId="0" borderId="0" xfId="0" applyFont="1" applyFill="1" applyBorder="1" applyProtection="1">
      <protection locked="0"/>
    </xf>
    <xf numFmtId="0" fontId="2" fillId="0" borderId="0" xfId="0" applyFont="1" applyFill="1" applyAlignment="1" applyProtection="1">
      <alignment horizontal="center"/>
      <protection locked="0"/>
    </xf>
    <xf numFmtId="0" fontId="0" fillId="0" borderId="0" xfId="0" applyFill="1" applyBorder="1" applyProtection="1">
      <protection locked="0"/>
    </xf>
    <xf numFmtId="0" fontId="0" fillId="0" borderId="0" xfId="0" applyFill="1" applyBorder="1" applyAlignment="1" applyProtection="1">
      <alignment horizontal="center"/>
      <protection locked="0"/>
    </xf>
    <xf numFmtId="0" fontId="15" fillId="0" borderId="0" xfId="0" applyFont="1" applyFill="1" applyBorder="1"/>
    <xf numFmtId="0" fontId="15" fillId="0" borderId="0" xfId="0" applyFont="1" applyFill="1"/>
    <xf numFmtId="0" fontId="14" fillId="0" borderId="0" xfId="0" quotePrefix="1" applyFont="1" applyFill="1" applyBorder="1" applyProtection="1">
      <protection locked="0"/>
    </xf>
    <xf numFmtId="0" fontId="0" fillId="0" borderId="0" xfId="0" quotePrefix="1" applyFill="1"/>
    <xf numFmtId="0" fontId="2" fillId="0" borderId="0" xfId="0" quotePrefix="1" applyFont="1" applyFill="1" applyBorder="1"/>
    <xf numFmtId="0" fontId="5" fillId="0" borderId="0" xfId="0" quotePrefix="1" applyFont="1" applyFill="1" applyBorder="1"/>
    <xf numFmtId="0" fontId="11" fillId="0" borderId="0" xfId="0" applyFont="1"/>
    <xf numFmtId="0" fontId="3" fillId="0" borderId="0" xfId="0" applyFont="1" applyFill="1" applyBorder="1" applyAlignment="1" applyProtection="1">
      <alignment horizontal="right"/>
      <protection locked="0"/>
    </xf>
    <xf numFmtId="0" fontId="16" fillId="0" borderId="0" xfId="0" applyFont="1"/>
    <xf numFmtId="0" fontId="16" fillId="0" borderId="0" xfId="0" applyFont="1" applyFill="1" applyBorder="1" applyAlignment="1">
      <alignment horizontal="center"/>
    </xf>
    <xf numFmtId="0" fontId="16" fillId="0" borderId="0" xfId="0" applyFont="1" applyFill="1" applyBorder="1" applyProtection="1">
      <protection locked="0"/>
    </xf>
    <xf numFmtId="0" fontId="16" fillId="0" borderId="0" xfId="0" applyFont="1" applyFill="1" applyBorder="1"/>
    <xf numFmtId="49" fontId="10" fillId="0" borderId="0" xfId="0" applyNumberFormat="1" applyFont="1" applyFill="1"/>
    <xf numFmtId="0" fontId="3" fillId="0" borderId="20" xfId="0" applyFont="1" applyBorder="1" applyAlignment="1">
      <alignment horizontal="center"/>
    </xf>
    <xf numFmtId="0" fontId="3" fillId="0" borderId="20" xfId="0" applyFont="1" applyBorder="1" applyAlignment="1">
      <alignment horizontal="right"/>
    </xf>
    <xf numFmtId="0" fontId="18" fillId="0" borderId="0" xfId="0" applyFont="1"/>
    <xf numFmtId="0" fontId="18" fillId="0" borderId="0" xfId="0" applyFont="1" applyBorder="1" applyAlignment="1">
      <alignment horizontal="center"/>
    </xf>
    <xf numFmtId="0" fontId="19" fillId="0" borderId="0" xfId="0" applyFont="1" applyBorder="1" applyAlignment="1">
      <alignment horizontal="center"/>
    </xf>
    <xf numFmtId="0" fontId="20" fillId="0" borderId="0" xfId="0" applyFont="1"/>
    <xf numFmtId="0" fontId="22" fillId="0" borderId="0" xfId="0" applyFont="1" applyAlignment="1">
      <alignment horizontal="right"/>
    </xf>
    <xf numFmtId="0" fontId="9" fillId="0" borderId="0" xfId="0" applyFont="1" applyFill="1" applyAlignment="1" applyProtection="1">
      <alignment horizontal="center"/>
    </xf>
    <xf numFmtId="0" fontId="9" fillId="0" borderId="0" xfId="0" applyFont="1" applyBorder="1" applyAlignment="1" applyProtection="1">
      <alignment horizontal="center"/>
    </xf>
    <xf numFmtId="0" fontId="10" fillId="0" borderId="0" xfId="0" applyFont="1" applyFill="1" applyBorder="1" applyProtection="1"/>
    <xf numFmtId="0" fontId="10" fillId="0" borderId="0" xfId="0" applyFont="1" applyFill="1" applyProtection="1"/>
    <xf numFmtId="0" fontId="10" fillId="0" borderId="0" xfId="0" applyFont="1" applyProtection="1"/>
    <xf numFmtId="0" fontId="10" fillId="11" borderId="0" xfId="0" applyFont="1" applyFill="1" applyProtection="1"/>
    <xf numFmtId="0" fontId="0" fillId="0" borderId="0" xfId="0" applyFill="1" applyProtection="1"/>
    <xf numFmtId="0" fontId="9" fillId="0" borderId="0" xfId="0" applyFont="1" applyFill="1" applyBorder="1" applyProtection="1"/>
    <xf numFmtId="0" fontId="9" fillId="0" borderId="0" xfId="0" applyFont="1" applyFill="1" applyProtection="1"/>
    <xf numFmtId="0" fontId="9" fillId="11" borderId="0" xfId="0" applyFont="1" applyFill="1" applyProtection="1"/>
    <xf numFmtId="0" fontId="0" fillId="11" borderId="0" xfId="0" applyFill="1" applyProtection="1"/>
    <xf numFmtId="0" fontId="9" fillId="0" borderId="0" xfId="0" applyFont="1" applyFill="1" applyAlignment="1" applyProtection="1"/>
    <xf numFmtId="0" fontId="6" fillId="0" borderId="0" xfId="0" applyFont="1" applyFill="1" applyBorder="1"/>
    <xf numFmtId="0" fontId="10" fillId="0" borderId="13" xfId="0" applyFont="1" applyBorder="1"/>
    <xf numFmtId="0" fontId="10" fillId="0" borderId="0" xfId="0" applyNumberFormat="1" applyFont="1" applyFill="1" applyBorder="1" applyAlignment="1">
      <alignment horizontal="center"/>
    </xf>
    <xf numFmtId="0" fontId="10" fillId="0" borderId="0" xfId="0" applyNumberFormat="1" applyFont="1" applyBorder="1" applyAlignment="1">
      <alignment horizontal="center"/>
    </xf>
    <xf numFmtId="0" fontId="10" fillId="0" borderId="0" xfId="0" applyNumberFormat="1" applyFont="1" applyFill="1" applyBorder="1" applyAlignment="1" applyProtection="1">
      <alignment horizontal="center"/>
    </xf>
    <xf numFmtId="0" fontId="10" fillId="0" borderId="0" xfId="0" applyNumberFormat="1" applyFont="1" applyBorder="1" applyAlignment="1" applyProtection="1">
      <alignment horizontal="center"/>
    </xf>
    <xf numFmtId="0" fontId="11" fillId="0" borderId="0" xfId="0" applyNumberFormat="1" applyFont="1" applyBorder="1" applyAlignment="1">
      <alignment horizontal="center"/>
    </xf>
    <xf numFmtId="0" fontId="23" fillId="9" borderId="0" xfId="0" applyFont="1" applyFill="1" applyAlignment="1">
      <alignment horizontal="center" wrapText="1"/>
    </xf>
    <xf numFmtId="0" fontId="24" fillId="0" borderId="0" xfId="0" applyFont="1" applyAlignment="1">
      <alignment horizontal="center" wrapText="1"/>
    </xf>
    <xf numFmtId="0" fontId="23" fillId="9" borderId="21" xfId="0" applyFont="1" applyFill="1" applyBorder="1" applyAlignment="1">
      <alignment horizontal="center" wrapText="1"/>
    </xf>
    <xf numFmtId="0" fontId="24" fillId="0" borderId="21" xfId="0" applyFont="1" applyBorder="1" applyAlignment="1">
      <alignment horizontal="center" wrapText="1"/>
    </xf>
    <xf numFmtId="0" fontId="24" fillId="12" borderId="0" xfId="0" applyFont="1" applyFill="1" applyAlignment="1">
      <alignment wrapText="1"/>
    </xf>
    <xf numFmtId="0" fontId="6" fillId="0" borderId="0" xfId="0" applyFont="1" applyFill="1" applyBorder="1" applyAlignment="1">
      <alignment horizontal="center"/>
    </xf>
    <xf numFmtId="0" fontId="40" fillId="13" borderId="22" xfId="0" applyNumberFormat="1" applyFont="1" applyFill="1" applyBorder="1" applyAlignment="1">
      <alignment horizontal="center"/>
    </xf>
    <xf numFmtId="1" fontId="41" fillId="13" borderId="23" xfId="0" applyNumberFormat="1" applyFont="1" applyFill="1" applyBorder="1" applyAlignment="1">
      <alignment horizontal="center"/>
    </xf>
    <xf numFmtId="0" fontId="2" fillId="0" borderId="0" xfId="0" applyFont="1"/>
    <xf numFmtId="0" fontId="2" fillId="0" borderId="0" xfId="0" applyNumberFormat="1" applyFont="1" applyFill="1" applyBorder="1" applyAlignment="1" applyProtection="1">
      <alignment horizontal="center"/>
    </xf>
    <xf numFmtId="0" fontId="2" fillId="0" borderId="0" xfId="0" applyNumberFormat="1" applyFont="1" applyFill="1" applyBorder="1" applyAlignment="1" applyProtection="1">
      <alignment horizontal="center"/>
      <protection locked="0"/>
    </xf>
    <xf numFmtId="0" fontId="40" fillId="13" borderId="28" xfId="0" applyFont="1" applyFill="1" applyBorder="1" applyAlignment="1">
      <alignment horizontal="center"/>
    </xf>
    <xf numFmtId="0" fontId="40" fillId="13" borderId="29" xfId="0" applyFont="1" applyFill="1" applyBorder="1" applyAlignment="1">
      <alignment horizontal="left"/>
    </xf>
    <xf numFmtId="0" fontId="43" fillId="0" borderId="0" xfId="0" applyFont="1" applyFill="1" applyProtection="1"/>
    <xf numFmtId="0" fontId="46" fillId="0" borderId="0" xfId="0" applyFont="1" applyFill="1" applyBorder="1"/>
    <xf numFmtId="0" fontId="40" fillId="11" borderId="30" xfId="0" applyFont="1" applyFill="1" applyBorder="1" applyAlignment="1">
      <alignment horizontal="center"/>
    </xf>
    <xf numFmtId="0" fontId="40" fillId="11" borderId="31" xfId="0" applyFont="1" applyFill="1" applyBorder="1" applyAlignment="1">
      <alignment horizontal="left"/>
    </xf>
    <xf numFmtId="0" fontId="40" fillId="11" borderId="32" xfId="0" applyNumberFormat="1" applyFont="1" applyFill="1" applyBorder="1" applyAlignment="1">
      <alignment horizontal="center"/>
    </xf>
    <xf numFmtId="1" fontId="41" fillId="11" borderId="33" xfId="0" applyNumberFormat="1" applyFont="1" applyFill="1" applyBorder="1" applyAlignment="1">
      <alignment horizontal="center"/>
    </xf>
    <xf numFmtId="1" fontId="41" fillId="0" borderId="0" xfId="0" applyNumberFormat="1" applyFont="1" applyFill="1" applyBorder="1" applyAlignment="1">
      <alignment horizontal="center"/>
    </xf>
    <xf numFmtId="0" fontId="40" fillId="0" borderId="0" xfId="0" applyFont="1" applyFill="1" applyBorder="1" applyAlignment="1">
      <alignment horizontal="center"/>
    </xf>
    <xf numFmtId="0" fontId="40" fillId="0" borderId="0" xfId="0" applyFont="1" applyFill="1" applyBorder="1" applyAlignment="1">
      <alignment horizontal="left"/>
    </xf>
    <xf numFmtId="0" fontId="40" fillId="0" borderId="0" xfId="0" applyNumberFormat="1" applyFont="1" applyFill="1" applyBorder="1" applyAlignment="1">
      <alignment horizontal="center"/>
    </xf>
    <xf numFmtId="0" fontId="40" fillId="0" borderId="0" xfId="0" applyNumberFormat="1" applyFont="1" applyFill="1" applyBorder="1" applyAlignment="1">
      <alignment horizontal="left"/>
    </xf>
    <xf numFmtId="0" fontId="47" fillId="0" borderId="0" xfId="0" applyFont="1"/>
    <xf numFmtId="0" fontId="47" fillId="0" borderId="0" xfId="0" applyFont="1" applyAlignment="1">
      <alignment horizontal="center"/>
    </xf>
    <xf numFmtId="0" fontId="48" fillId="0" borderId="0" xfId="0" applyFont="1" applyFill="1" applyAlignment="1">
      <alignment horizontal="right"/>
    </xf>
    <xf numFmtId="0" fontId="49" fillId="9" borderId="10" xfId="0" applyFont="1" applyFill="1" applyBorder="1" applyAlignment="1">
      <alignment horizontal="center"/>
    </xf>
    <xf numFmtId="0" fontId="50" fillId="0" borderId="0" xfId="0" applyFont="1"/>
    <xf numFmtId="0" fontId="47" fillId="0" borderId="0" xfId="0" applyFont="1" applyFill="1" applyAlignment="1">
      <alignment horizontal="center"/>
    </xf>
    <xf numFmtId="2" fontId="47" fillId="12" borderId="0" xfId="0" applyNumberFormat="1" applyFont="1" applyFill="1" applyBorder="1" applyAlignment="1">
      <alignment horizontal="center"/>
    </xf>
    <xf numFmtId="0" fontId="50" fillId="0" borderId="0" xfId="0" applyFont="1" applyAlignment="1">
      <alignment horizontal="center"/>
    </xf>
    <xf numFmtId="0" fontId="48" fillId="0" borderId="0" xfId="0" applyFont="1" applyAlignment="1">
      <alignment horizontal="right"/>
    </xf>
    <xf numFmtId="0" fontId="50" fillId="0" borderId="0" xfId="0" applyFont="1" applyFill="1" applyAlignment="1">
      <alignment horizontal="left"/>
    </xf>
    <xf numFmtId="0" fontId="50" fillId="0" borderId="0" xfId="0" applyFont="1" applyAlignment="1">
      <alignment horizontal="left"/>
    </xf>
    <xf numFmtId="1" fontId="47" fillId="0" borderId="0" xfId="0" applyNumberFormat="1" applyFont="1"/>
    <xf numFmtId="0" fontId="47" fillId="0" borderId="0" xfId="0" applyFont="1" applyFill="1"/>
    <xf numFmtId="0" fontId="48" fillId="0" borderId="0" xfId="0" applyFont="1"/>
    <xf numFmtId="0" fontId="48" fillId="0" borderId="0" xfId="0" applyFont="1" applyAlignment="1">
      <alignment horizontal="left"/>
    </xf>
    <xf numFmtId="2" fontId="47" fillId="0" borderId="0" xfId="15" applyNumberFormat="1" applyFont="1" applyBorder="1" applyAlignment="1">
      <alignment horizontal="center"/>
    </xf>
    <xf numFmtId="1" fontId="47" fillId="0" borderId="0" xfId="0" applyNumberFormat="1" applyFont="1" applyFill="1" applyAlignment="1">
      <alignment horizontal="center"/>
    </xf>
    <xf numFmtId="0" fontId="47" fillId="0" borderId="0" xfId="15" applyFont="1" applyBorder="1" applyAlignment="1">
      <alignment horizontal="center"/>
    </xf>
    <xf numFmtId="0" fontId="47" fillId="0" borderId="0" xfId="0" applyFont="1" applyBorder="1"/>
    <xf numFmtId="1" fontId="48" fillId="0" borderId="0" xfId="0" applyNumberFormat="1" applyFont="1"/>
    <xf numFmtId="0" fontId="47" fillId="0" borderId="0" xfId="0" applyFont="1" applyBorder="1" applyAlignment="1">
      <alignment horizontal="center"/>
    </xf>
    <xf numFmtId="0" fontId="50" fillId="0" borderId="0" xfId="0" applyFont="1" applyProtection="1">
      <protection locked="0"/>
    </xf>
    <xf numFmtId="0" fontId="47" fillId="0" borderId="0" xfId="0" applyFont="1" applyFill="1" applyBorder="1" applyAlignment="1"/>
    <xf numFmtId="9" fontId="51" fillId="0" borderId="0" xfId="18" applyNumberFormat="1" applyFont="1" applyAlignment="1">
      <alignment horizontal="left"/>
    </xf>
    <xf numFmtId="0" fontId="47" fillId="0" borderId="0" xfId="0" applyFont="1" applyAlignment="1"/>
    <xf numFmtId="0" fontId="52" fillId="0" borderId="0" xfId="0" applyFont="1"/>
    <xf numFmtId="0" fontId="53" fillId="0" borderId="0" xfId="0" applyFont="1" applyAlignment="1">
      <alignment horizontal="left"/>
    </xf>
    <xf numFmtId="1" fontId="53" fillId="0" borderId="0" xfId="0" applyNumberFormat="1" applyFont="1" applyAlignment="1">
      <alignment horizontal="center"/>
    </xf>
    <xf numFmtId="0" fontId="53" fillId="0" borderId="0" xfId="0" applyFont="1" applyAlignment="1">
      <alignment horizontal="center"/>
    </xf>
    <xf numFmtId="0" fontId="47" fillId="0" borderId="16" xfId="0" applyFont="1" applyBorder="1" applyAlignment="1">
      <alignment horizontal="left"/>
    </xf>
    <xf numFmtId="0" fontId="47" fillId="0" borderId="16" xfId="0" applyFont="1" applyBorder="1"/>
    <xf numFmtId="0" fontId="47" fillId="0" borderId="0" xfId="0" applyFont="1" applyBorder="1" applyAlignment="1" applyProtection="1">
      <alignment horizontal="center"/>
      <protection locked="0"/>
    </xf>
    <xf numFmtId="0" fontId="50" fillId="0" borderId="0" xfId="0" applyFont="1" applyBorder="1" applyAlignment="1">
      <alignment horizontal="center"/>
    </xf>
    <xf numFmtId="0" fontId="47" fillId="0" borderId="0" xfId="0" applyFont="1" applyBorder="1" applyAlignment="1"/>
    <xf numFmtId="0" fontId="47" fillId="0" borderId="0" xfId="0" applyFont="1" applyFill="1" applyAlignment="1" applyProtection="1">
      <alignment horizontal="center"/>
      <protection locked="0"/>
    </xf>
    <xf numFmtId="0" fontId="47" fillId="0" borderId="0" xfId="0" applyFont="1" applyFill="1" applyBorder="1" applyAlignment="1" applyProtection="1">
      <alignment horizontal="center"/>
      <protection locked="0"/>
    </xf>
    <xf numFmtId="0" fontId="47" fillId="0" borderId="0" xfId="0" applyFont="1" applyBorder="1" applyAlignment="1" applyProtection="1">
      <alignment horizontal="left"/>
      <protection locked="0"/>
    </xf>
    <xf numFmtId="0" fontId="47" fillId="0" borderId="0" xfId="0" applyFont="1" applyFill="1" applyBorder="1" applyAlignment="1">
      <alignment horizontal="center"/>
    </xf>
    <xf numFmtId="0" fontId="50" fillId="0" borderId="0" xfId="0" applyFont="1" applyBorder="1"/>
    <xf numFmtId="0" fontId="48" fillId="0" borderId="0" xfId="0" applyFont="1" applyFill="1" applyAlignment="1">
      <alignment horizontal="center"/>
    </xf>
    <xf numFmtId="0" fontId="48" fillId="0" borderId="0" xfId="0" applyFont="1" applyFill="1"/>
    <xf numFmtId="1" fontId="17" fillId="0" borderId="0" xfId="0" applyNumberFormat="1" applyFont="1" applyBorder="1" applyAlignment="1" applyProtection="1"/>
    <xf numFmtId="1" fontId="45" fillId="13" borderId="34" xfId="0" applyNumberFormat="1" applyFont="1" applyFill="1" applyBorder="1" applyAlignment="1"/>
    <xf numFmtId="1" fontId="45" fillId="11" borderId="35" xfId="0" applyNumberFormat="1" applyFont="1" applyFill="1" applyBorder="1" applyAlignment="1"/>
    <xf numFmtId="1" fontId="45" fillId="0" borderId="0" xfId="0" applyNumberFormat="1" applyFont="1" applyFill="1" applyBorder="1" applyAlignment="1"/>
    <xf numFmtId="1" fontId="45" fillId="13" borderId="36" xfId="0" applyNumberFormat="1" applyFont="1" applyFill="1" applyBorder="1" applyAlignment="1"/>
    <xf numFmtId="1" fontId="45" fillId="11" borderId="37" xfId="0" applyNumberFormat="1" applyFont="1" applyFill="1" applyBorder="1" applyAlignment="1"/>
    <xf numFmtId="0" fontId="54" fillId="0" borderId="0" xfId="0" applyFont="1" applyAlignment="1">
      <alignment horizontal="center"/>
    </xf>
    <xf numFmtId="0" fontId="55" fillId="9" borderId="10" xfId="0" applyFont="1" applyFill="1" applyBorder="1" applyAlignment="1">
      <alignment horizontal="center"/>
    </xf>
    <xf numFmtId="0" fontId="54" fillId="0" borderId="0" xfId="0" applyFont="1"/>
    <xf numFmtId="1" fontId="54" fillId="0" borderId="0" xfId="0" applyNumberFormat="1" applyFont="1" applyFill="1" applyAlignment="1">
      <alignment horizontal="center"/>
    </xf>
    <xf numFmtId="1" fontId="56" fillId="0" borderId="0" xfId="0" applyNumberFormat="1" applyFont="1" applyAlignment="1">
      <alignment horizontal="center"/>
    </xf>
    <xf numFmtId="0" fontId="47" fillId="0" borderId="0" xfId="0" applyFont="1" applyAlignment="1">
      <alignment horizontal="left"/>
    </xf>
    <xf numFmtId="0" fontId="48" fillId="0" borderId="0" xfId="0" applyFont="1" applyProtection="1">
      <protection locked="0"/>
    </xf>
    <xf numFmtId="0" fontId="74" fillId="0" borderId="0" xfId="0" applyFont="1"/>
    <xf numFmtId="0" fontId="75" fillId="0" borderId="0" xfId="0" applyFont="1"/>
    <xf numFmtId="0" fontId="50" fillId="0" borderId="20" xfId="0" applyFont="1" applyBorder="1" applyAlignment="1">
      <alignment horizontal="center"/>
    </xf>
    <xf numFmtId="0" fontId="47" fillId="0" borderId="0" xfId="0" applyFont="1" applyFill="1" applyBorder="1" applyProtection="1">
      <protection locked="0"/>
    </xf>
    <xf numFmtId="0" fontId="50" fillId="0" borderId="0" xfId="0" applyFont="1" applyFill="1" applyBorder="1" applyAlignment="1" applyProtection="1">
      <alignment horizontal="center"/>
      <protection locked="0"/>
    </xf>
    <xf numFmtId="0" fontId="78" fillId="0" borderId="0" xfId="0" applyFont="1" applyFill="1" applyBorder="1" applyProtection="1">
      <protection locked="0"/>
    </xf>
    <xf numFmtId="0" fontId="47" fillId="0" borderId="0" xfId="0" applyFont="1" applyProtection="1"/>
    <xf numFmtId="0" fontId="47" fillId="0" borderId="0" xfId="0" applyFont="1" applyFill="1" applyAlignment="1" applyProtection="1">
      <alignment horizontal="center"/>
    </xf>
    <xf numFmtId="0" fontId="75" fillId="0" borderId="0" xfId="0" applyFont="1" applyFill="1" applyBorder="1" applyAlignment="1" applyProtection="1">
      <alignment horizontal="center"/>
    </xf>
    <xf numFmtId="0" fontId="47" fillId="0" borderId="0" xfId="0" applyFont="1" applyFill="1" applyBorder="1" applyAlignment="1" applyProtection="1">
      <alignment horizontal="center"/>
    </xf>
    <xf numFmtId="0" fontId="75" fillId="0" borderId="0" xfId="0" applyFont="1" applyFill="1" applyBorder="1" applyAlignment="1">
      <alignment horizontal="center"/>
    </xf>
    <xf numFmtId="0" fontId="76" fillId="0" borderId="0" xfId="0" applyFont="1"/>
    <xf numFmtId="0" fontId="80" fillId="0" borderId="0" xfId="0" applyFont="1" applyFill="1"/>
    <xf numFmtId="0" fontId="80" fillId="0" borderId="0" xfId="0" applyFont="1" applyFill="1" applyProtection="1"/>
    <xf numFmtId="0" fontId="81" fillId="0" borderId="0" xfId="0" applyFont="1" applyFill="1" applyBorder="1"/>
    <xf numFmtId="0" fontId="11" fillId="24" borderId="0" xfId="0" applyFont="1" applyFill="1" applyBorder="1" applyProtection="1"/>
    <xf numFmtId="1" fontId="50" fillId="0" borderId="0" xfId="0" applyNumberFormat="1" applyFont="1" applyAlignment="1">
      <alignment horizontal="right"/>
    </xf>
    <xf numFmtId="1" fontId="50" fillId="0" borderId="0" xfId="0" applyNumberFormat="1" applyFont="1" applyAlignment="1">
      <alignment horizontal="center"/>
    </xf>
    <xf numFmtId="0" fontId="82" fillId="0" borderId="0" xfId="0" applyFont="1"/>
    <xf numFmtId="0" fontId="84" fillId="0" borderId="0" xfId="0" applyFont="1"/>
    <xf numFmtId="0" fontId="52" fillId="0" borderId="16" xfId="0" applyFont="1" applyBorder="1"/>
    <xf numFmtId="1" fontId="10" fillId="14" borderId="0" xfId="0" applyNumberFormat="1" applyFont="1" applyFill="1" applyBorder="1" applyProtection="1"/>
    <xf numFmtId="1" fontId="10" fillId="15" borderId="16" xfId="0" applyNumberFormat="1" applyFont="1" applyFill="1" applyBorder="1" applyProtection="1"/>
    <xf numFmtId="0" fontId="85" fillId="0" borderId="0" xfId="0" applyFont="1" applyFill="1" applyAlignment="1">
      <alignment horizontal="center"/>
    </xf>
    <xf numFmtId="0" fontId="17" fillId="0" borderId="0" xfId="0" applyFont="1" applyFill="1"/>
    <xf numFmtId="1" fontId="10" fillId="0" borderId="0" xfId="0" applyNumberFormat="1" applyFont="1" applyFill="1" applyAlignment="1">
      <alignment horizontal="center"/>
    </xf>
    <xf numFmtId="1" fontId="11" fillId="0" borderId="0" xfId="0" applyNumberFormat="1" applyFont="1" applyFill="1" applyAlignment="1">
      <alignment horizontal="center"/>
    </xf>
    <xf numFmtId="1" fontId="12" fillId="0" borderId="0" xfId="0" applyNumberFormat="1" applyFont="1" applyFill="1" applyAlignment="1">
      <alignment horizontal="center"/>
    </xf>
    <xf numFmtId="1" fontId="10" fillId="0" borderId="0" xfId="0" applyNumberFormat="1" applyFont="1" applyFill="1"/>
    <xf numFmtId="1" fontId="9" fillId="0" borderId="0" xfId="0" applyNumberFormat="1" applyFont="1" applyFill="1"/>
    <xf numFmtId="1" fontId="17" fillId="0" borderId="0" xfId="0" applyNumberFormat="1" applyFont="1" applyFill="1"/>
    <xf numFmtId="0" fontId="3" fillId="16" borderId="0" xfId="0" applyFont="1" applyFill="1" applyProtection="1">
      <protection locked="0"/>
    </xf>
    <xf numFmtId="0" fontId="0" fillId="0" borderId="0" xfId="0" applyFill="1" applyAlignment="1" applyProtection="1">
      <alignment horizontal="center"/>
    </xf>
    <xf numFmtId="0" fontId="2" fillId="25" borderId="47" xfId="0" applyFont="1" applyFill="1" applyBorder="1" applyProtection="1">
      <protection locked="0"/>
    </xf>
    <xf numFmtId="0" fontId="2" fillId="25" borderId="25" xfId="0" applyFont="1" applyFill="1" applyBorder="1" applyProtection="1">
      <protection locked="0"/>
    </xf>
    <xf numFmtId="0" fontId="87" fillId="0" borderId="17" xfId="0" applyFont="1" applyFill="1" applyBorder="1" applyAlignment="1" applyProtection="1">
      <alignment horizontal="center"/>
    </xf>
    <xf numFmtId="0" fontId="10" fillId="0" borderId="0" xfId="0" applyFont="1" applyFill="1" applyBorder="1" applyAlignment="1" applyProtection="1">
      <alignment horizontal="center"/>
    </xf>
    <xf numFmtId="0" fontId="0" fillId="0" borderId="0" xfId="0" applyProtection="1"/>
    <xf numFmtId="0" fontId="6" fillId="25" borderId="0" xfId="0" applyFont="1" applyFill="1" applyBorder="1" applyAlignment="1" applyProtection="1">
      <alignment horizontal="left"/>
      <protection locked="0"/>
    </xf>
    <xf numFmtId="0" fontId="0" fillId="0" borderId="0" xfId="0" applyBorder="1" applyProtection="1"/>
    <xf numFmtId="0" fontId="6" fillId="0" borderId="0" xfId="0" applyFont="1" applyProtection="1">
      <protection locked="0"/>
    </xf>
    <xf numFmtId="0" fontId="18" fillId="0" borderId="0" xfId="0" applyFont="1" applyProtection="1"/>
    <xf numFmtId="0" fontId="3" fillId="0" borderId="0" xfId="0" applyFont="1" applyProtection="1"/>
    <xf numFmtId="0" fontId="0" fillId="0" borderId="0" xfId="0" applyFill="1" applyBorder="1" applyProtection="1"/>
    <xf numFmtId="0" fontId="2" fillId="16" borderId="0" xfId="0" applyFont="1" applyFill="1" applyBorder="1" applyProtection="1">
      <protection locked="0"/>
    </xf>
    <xf numFmtId="0" fontId="88" fillId="0" borderId="0" xfId="0" applyFont="1" applyProtection="1">
      <protection locked="0"/>
    </xf>
    <xf numFmtId="0" fontId="89" fillId="25" borderId="25" xfId="0" applyFont="1" applyFill="1" applyBorder="1" applyProtection="1">
      <protection locked="0"/>
    </xf>
    <xf numFmtId="0" fontId="10" fillId="0" borderId="0" xfId="0" applyFont="1" applyBorder="1"/>
    <xf numFmtId="0" fontId="11" fillId="0" borderId="0" xfId="0" applyFont="1" applyBorder="1"/>
    <xf numFmtId="1" fontId="10" fillId="0" borderId="0" xfId="0" applyNumberFormat="1" applyFont="1" applyFill="1" applyBorder="1"/>
    <xf numFmtId="1" fontId="11" fillId="0" borderId="0" xfId="0" applyNumberFormat="1" applyFont="1" applyFill="1" applyBorder="1"/>
    <xf numFmtId="1" fontId="11" fillId="0" borderId="0" xfId="0" applyNumberFormat="1" applyFont="1" applyFill="1"/>
    <xf numFmtId="0" fontId="10" fillId="0" borderId="0" xfId="0" applyFont="1" applyFill="1" applyBorder="1"/>
    <xf numFmtId="0" fontId="10" fillId="0" borderId="0" xfId="0" applyFont="1" applyFill="1" applyAlignment="1" applyProtection="1">
      <alignment horizontal="center"/>
      <protection locked="0"/>
    </xf>
    <xf numFmtId="0" fontId="10" fillId="0" borderId="0" xfId="0" applyFont="1" applyFill="1" applyBorder="1" applyAlignment="1" applyProtection="1">
      <alignment horizontal="center"/>
      <protection locked="0"/>
    </xf>
    <xf numFmtId="0" fontId="10" fillId="0" borderId="0" xfId="0" applyFont="1" applyFill="1" applyBorder="1" applyProtection="1">
      <protection locked="0"/>
    </xf>
    <xf numFmtId="0" fontId="10" fillId="0" borderId="0" xfId="0" applyFont="1" applyProtection="1">
      <protection locked="0"/>
    </xf>
    <xf numFmtId="0" fontId="21" fillId="0" borderId="0" xfId="0" applyFont="1" applyFill="1"/>
    <xf numFmtId="0" fontId="10" fillId="0" borderId="0" xfId="0" applyFont="1" applyFill="1" applyProtection="1">
      <protection locked="0"/>
    </xf>
    <xf numFmtId="0" fontId="10" fillId="0" borderId="0" xfId="0" applyFont="1" applyFill="1" applyAlignment="1" applyProtection="1">
      <alignment horizontal="left"/>
      <protection locked="0"/>
    </xf>
    <xf numFmtId="0" fontId="10" fillId="0" borderId="0" xfId="0" applyFont="1" applyFill="1" applyBorder="1" applyAlignment="1" applyProtection="1">
      <alignment horizontal="left"/>
      <protection locked="0"/>
    </xf>
    <xf numFmtId="0" fontId="2" fillId="0" borderId="0" xfId="0" applyFont="1" applyProtection="1">
      <protection locked="0"/>
    </xf>
    <xf numFmtId="1" fontId="11" fillId="14" borderId="0" xfId="0" applyNumberFormat="1" applyFont="1" applyFill="1" applyBorder="1" applyProtection="1"/>
    <xf numFmtId="1" fontId="11" fillId="14" borderId="16" xfId="0" applyNumberFormat="1" applyFont="1" applyFill="1" applyBorder="1" applyProtection="1"/>
    <xf numFmtId="0" fontId="85" fillId="26" borderId="0" xfId="0" applyFont="1" applyFill="1" applyAlignment="1">
      <alignment horizontal="center"/>
    </xf>
    <xf numFmtId="1" fontId="50" fillId="0" borderId="0" xfId="0" applyNumberFormat="1" applyFont="1" applyFill="1" applyAlignment="1">
      <alignment horizontal="right"/>
    </xf>
    <xf numFmtId="1" fontId="50" fillId="0" borderId="20" xfId="0" applyNumberFormat="1" applyFont="1" applyBorder="1" applyAlignment="1">
      <alignment horizontal="right"/>
    </xf>
    <xf numFmtId="1" fontId="50" fillId="0" borderId="0" xfId="0" applyNumberFormat="1" applyFont="1" applyFill="1" applyBorder="1" applyAlignment="1" applyProtection="1">
      <alignment horizontal="right"/>
      <protection locked="0"/>
    </xf>
    <xf numFmtId="1" fontId="77" fillId="0" borderId="0" xfId="0" applyNumberFormat="1" applyFont="1" applyFill="1" applyAlignment="1">
      <alignment horizontal="right"/>
    </xf>
    <xf numFmtId="1" fontId="79" fillId="0" borderId="0" xfId="0" applyNumberFormat="1" applyFont="1" applyFill="1" applyAlignment="1">
      <alignment horizontal="right"/>
    </xf>
    <xf numFmtId="0" fontId="47" fillId="0" borderId="19" xfId="15" applyFont="1" applyBorder="1"/>
    <xf numFmtId="0" fontId="48" fillId="0" borderId="18" xfId="15" applyFont="1" applyBorder="1" applyAlignment="1">
      <alignment horizontal="left"/>
    </xf>
    <xf numFmtId="0" fontId="48" fillId="0" borderId="0" xfId="15" applyFont="1" applyFill="1"/>
    <xf numFmtId="0" fontId="47" fillId="0" borderId="0" xfId="15" applyFont="1"/>
    <xf numFmtId="0" fontId="47" fillId="0" borderId="19" xfId="15" applyFont="1" applyBorder="1" applyAlignment="1">
      <alignment horizontal="left"/>
    </xf>
    <xf numFmtId="0" fontId="47" fillId="0" borderId="11" xfId="15" applyFont="1" applyFill="1" applyBorder="1" applyAlignment="1">
      <alignment horizontal="center"/>
    </xf>
    <xf numFmtId="0" fontId="48" fillId="12" borderId="0" xfId="0" applyFont="1" applyFill="1" applyBorder="1"/>
    <xf numFmtId="1" fontId="47" fillId="0" borderId="0" xfId="0" applyNumberFormat="1" applyFont="1" applyFill="1" applyBorder="1" applyProtection="1"/>
    <xf numFmtId="0" fontId="74" fillId="0" borderId="0" xfId="15" applyFont="1"/>
    <xf numFmtId="0" fontId="47" fillId="0" borderId="19" xfId="0" applyFont="1" applyFill="1" applyBorder="1" applyAlignment="1">
      <alignment horizontal="left"/>
    </xf>
    <xf numFmtId="0" fontId="47" fillId="0" borderId="0" xfId="15" applyFont="1" applyBorder="1"/>
    <xf numFmtId="0" fontId="47" fillId="0" borderId="49" xfId="0" applyFont="1" applyFill="1" applyBorder="1" applyAlignment="1">
      <alignment horizontal="left"/>
    </xf>
    <xf numFmtId="0" fontId="47" fillId="0" borderId="50" xfId="15" applyFont="1" applyFill="1" applyBorder="1" applyAlignment="1">
      <alignment horizontal="center"/>
    </xf>
    <xf numFmtId="0" fontId="47" fillId="0" borderId="0" xfId="15" applyFont="1" applyBorder="1" applyAlignment="1">
      <alignment horizontal="left"/>
    </xf>
    <xf numFmtId="0" fontId="47" fillId="0" borderId="51" xfId="15" applyFont="1" applyBorder="1" applyAlignment="1">
      <alignment horizontal="left"/>
    </xf>
    <xf numFmtId="0" fontId="47" fillId="0" borderId="24" xfId="15" applyFont="1" applyFill="1" applyBorder="1" applyAlignment="1">
      <alignment horizontal="center"/>
    </xf>
    <xf numFmtId="0" fontId="47" fillId="0" borderId="0" xfId="0" applyFont="1" applyFill="1" applyBorder="1" applyAlignment="1">
      <alignment horizontal="left"/>
    </xf>
    <xf numFmtId="0" fontId="47" fillId="0" borderId="48" xfId="0" applyFont="1" applyFill="1" applyBorder="1" applyAlignment="1">
      <alignment horizontal="left"/>
    </xf>
    <xf numFmtId="0" fontId="47" fillId="0" borderId="27" xfId="15" applyFont="1" applyBorder="1" applyAlignment="1">
      <alignment horizontal="left"/>
    </xf>
    <xf numFmtId="0" fontId="47" fillId="0" borderId="26" xfId="15" applyFont="1" applyFill="1" applyBorder="1" applyAlignment="1">
      <alignment horizontal="center"/>
    </xf>
    <xf numFmtId="0" fontId="47" fillId="0" borderId="49" xfId="15" applyFont="1" applyBorder="1" applyAlignment="1">
      <alignment horizontal="left"/>
    </xf>
    <xf numFmtId="0" fontId="47" fillId="0" borderId="48" xfId="15" applyFont="1" applyBorder="1"/>
    <xf numFmtId="0" fontId="47" fillId="0" borderId="52" xfId="15" applyFont="1" applyBorder="1" applyAlignment="1">
      <alignment horizontal="left"/>
    </xf>
    <xf numFmtId="0" fontId="47" fillId="0" borderId="51" xfId="15" applyFont="1" applyBorder="1"/>
    <xf numFmtId="0" fontId="76" fillId="0" borderId="11" xfId="15" applyFont="1" applyBorder="1" applyAlignment="1">
      <alignment horizontal="center"/>
    </xf>
    <xf numFmtId="1" fontId="47" fillId="0" borderId="11" xfId="15" applyNumberFormat="1" applyFont="1" applyBorder="1" applyAlignment="1">
      <alignment horizontal="center"/>
    </xf>
    <xf numFmtId="2" fontId="47" fillId="0" borderId="11" xfId="15" applyNumberFormat="1" applyFont="1" applyBorder="1" applyAlignment="1">
      <alignment horizontal="center"/>
    </xf>
    <xf numFmtId="0" fontId="47" fillId="0" borderId="0" xfId="15" applyFont="1" applyFill="1" applyBorder="1" applyAlignment="1">
      <alignment horizontal="center"/>
    </xf>
    <xf numFmtId="0" fontId="91" fillId="0" borderId="0" xfId="15" applyFont="1" applyBorder="1" applyAlignment="1">
      <alignment horizontal="center"/>
    </xf>
    <xf numFmtId="0" fontId="47" fillId="0" borderId="11" xfId="15" applyFont="1" applyBorder="1" applyAlignment="1">
      <alignment horizontal="center"/>
    </xf>
    <xf numFmtId="0" fontId="2" fillId="25" borderId="0" xfId="0" applyFont="1" applyFill="1" applyBorder="1" applyProtection="1">
      <protection locked="0"/>
    </xf>
    <xf numFmtId="0" fontId="87" fillId="0" borderId="0" xfId="0" applyFont="1" applyFill="1" applyBorder="1" applyAlignment="1" applyProtection="1">
      <alignment horizontal="center"/>
    </xf>
    <xf numFmtId="0" fontId="89" fillId="25" borderId="0" xfId="0" applyFont="1" applyFill="1" applyBorder="1" applyProtection="1">
      <protection locked="0"/>
    </xf>
    <xf numFmtId="0" fontId="50" fillId="16" borderId="0" xfId="0" applyFont="1" applyFill="1" applyProtection="1">
      <protection locked="0"/>
    </xf>
    <xf numFmtId="0" fontId="47" fillId="16" borderId="0" xfId="0" applyFont="1" applyFill="1" applyBorder="1" applyProtection="1">
      <protection locked="0"/>
    </xf>
    <xf numFmtId="0" fontId="47" fillId="25" borderId="47" xfId="0" applyFont="1" applyFill="1" applyBorder="1" applyProtection="1">
      <protection locked="0"/>
    </xf>
    <xf numFmtId="0" fontId="47" fillId="25" borderId="0" xfId="0" applyFont="1" applyFill="1" applyBorder="1" applyProtection="1">
      <protection locked="0"/>
    </xf>
    <xf numFmtId="0" fontId="47" fillId="25" borderId="25" xfId="0" applyFont="1" applyFill="1" applyBorder="1" applyProtection="1">
      <protection locked="0"/>
    </xf>
    <xf numFmtId="0" fontId="75" fillId="0" borderId="17" xfId="0" applyFont="1" applyFill="1" applyBorder="1" applyAlignment="1" applyProtection="1">
      <alignment horizontal="center"/>
    </xf>
    <xf numFmtId="0" fontId="48" fillId="25" borderId="0" xfId="0" applyFont="1" applyFill="1" applyBorder="1" applyAlignment="1" applyProtection="1">
      <alignment horizontal="left"/>
      <protection locked="0"/>
    </xf>
    <xf numFmtId="0" fontId="92" fillId="0" borderId="0" xfId="0" applyFont="1" applyFill="1"/>
    <xf numFmtId="1" fontId="92" fillId="0" borderId="0" xfId="0" applyNumberFormat="1" applyFont="1" applyFill="1" applyAlignment="1">
      <alignment horizontal="center"/>
    </xf>
    <xf numFmtId="1" fontId="92" fillId="0" borderId="0" xfId="0" applyNumberFormat="1" applyFont="1" applyFill="1" applyBorder="1"/>
    <xf numFmtId="1" fontId="92" fillId="0" borderId="0" xfId="0" applyNumberFormat="1" applyFont="1" applyFill="1"/>
    <xf numFmtId="1" fontId="93" fillId="0" borderId="0" xfId="0" applyNumberFormat="1" applyFont="1" applyFill="1"/>
    <xf numFmtId="0" fontId="47" fillId="0" borderId="27" xfId="0" applyFont="1" applyFill="1" applyBorder="1" applyAlignment="1">
      <alignment horizontal="left"/>
    </xf>
    <xf numFmtId="0" fontId="74" fillId="0" borderId="0" xfId="15" applyFont="1" applyBorder="1"/>
    <xf numFmtId="0" fontId="47" fillId="24" borderId="0" xfId="15" applyFont="1" applyFill="1" applyBorder="1"/>
    <xf numFmtId="0" fontId="47" fillId="24" borderId="0" xfId="15" applyFont="1" applyFill="1" applyBorder="1" applyAlignment="1">
      <alignment horizontal="center"/>
    </xf>
    <xf numFmtId="0" fontId="47" fillId="25" borderId="53" xfId="0" applyFont="1" applyFill="1" applyBorder="1" applyProtection="1">
      <protection locked="0"/>
    </xf>
    <xf numFmtId="0" fontId="94" fillId="0" borderId="0" xfId="15" applyFont="1" applyBorder="1"/>
    <xf numFmtId="0" fontId="80" fillId="0" borderId="0" xfId="15" applyFont="1" applyBorder="1"/>
    <xf numFmtId="0" fontId="48" fillId="12" borderId="48" xfId="0" applyFont="1" applyFill="1" applyBorder="1"/>
    <xf numFmtId="1" fontId="47" fillId="0" borderId="48" xfId="0" applyNumberFormat="1" applyFont="1" applyFill="1" applyBorder="1" applyProtection="1"/>
    <xf numFmtId="0" fontId="80" fillId="0" borderId="48" xfId="15" applyFont="1" applyBorder="1"/>
    <xf numFmtId="0" fontId="54" fillId="0" borderId="0" xfId="0" applyFont="1" applyFill="1"/>
    <xf numFmtId="0" fontId="85" fillId="25" borderId="25" xfId="0" applyFont="1" applyFill="1" applyBorder="1" applyProtection="1">
      <protection locked="0"/>
    </xf>
    <xf numFmtId="0" fontId="47" fillId="0" borderId="54" xfId="15" applyFont="1" applyFill="1" applyBorder="1" applyAlignment="1">
      <alignment horizontal="center"/>
    </xf>
    <xf numFmtId="0" fontId="48" fillId="12" borderId="51" xfId="0" applyFont="1" applyFill="1" applyBorder="1"/>
    <xf numFmtId="1" fontId="47" fillId="0" borderId="51" xfId="0" applyNumberFormat="1" applyFont="1" applyFill="1" applyBorder="1" applyProtection="1"/>
    <xf numFmtId="0" fontId="95" fillId="0" borderId="0" xfId="0" applyFont="1" applyFill="1" applyBorder="1" applyProtection="1"/>
    <xf numFmtId="49" fontId="2" fillId="0" borderId="0" xfId="0" applyNumberFormat="1" applyFont="1" applyFill="1" applyBorder="1" applyProtection="1"/>
    <xf numFmtId="0" fontId="2" fillId="0" borderId="0" xfId="0" applyNumberFormat="1" applyFont="1" applyFill="1" applyBorder="1" applyAlignment="1" applyProtection="1">
      <alignment horizontal="left"/>
    </xf>
    <xf numFmtId="0" fontId="2" fillId="0" borderId="0" xfId="0" applyFont="1" applyFill="1" applyBorder="1" applyProtection="1"/>
    <xf numFmtId="1" fontId="10" fillId="15" borderId="0" xfId="0" applyNumberFormat="1" applyFont="1" applyFill="1" applyBorder="1"/>
    <xf numFmtId="1" fontId="10" fillId="15" borderId="0" xfId="0" applyNumberFormat="1" applyFont="1" applyFill="1"/>
    <xf numFmtId="1" fontId="10" fillId="27" borderId="0" xfId="0" applyNumberFormat="1" applyFont="1" applyFill="1" applyBorder="1"/>
    <xf numFmtId="1" fontId="10" fillId="27" borderId="0" xfId="0" applyNumberFormat="1" applyFont="1" applyFill="1"/>
    <xf numFmtId="0" fontId="10" fillId="15" borderId="0" xfId="0" applyFont="1" applyFill="1"/>
    <xf numFmtId="0" fontId="10" fillId="27" borderId="0" xfId="0" applyFont="1" applyFill="1"/>
    <xf numFmtId="0" fontId="80" fillId="0" borderId="19" xfId="15" applyFont="1" applyBorder="1" applyAlignment="1">
      <alignment horizontal="left"/>
    </xf>
    <xf numFmtId="0" fontId="80" fillId="0" borderId="11" xfId="15" applyFont="1" applyFill="1" applyBorder="1" applyAlignment="1">
      <alignment horizontal="center"/>
    </xf>
    <xf numFmtId="0" fontId="96" fillId="12" borderId="0" xfId="0" applyFont="1" applyFill="1" applyBorder="1"/>
    <xf numFmtId="1" fontId="80" fillId="0" borderId="0" xfId="0" applyNumberFormat="1" applyFont="1" applyFill="1" applyBorder="1" applyProtection="1"/>
    <xf numFmtId="0" fontId="80" fillId="0" borderId="49" xfId="15" applyFont="1" applyBorder="1" applyAlignment="1">
      <alignment horizontal="left"/>
    </xf>
    <xf numFmtId="0" fontId="80" fillId="0" borderId="50" xfId="15" applyFont="1" applyFill="1" applyBorder="1" applyAlignment="1">
      <alignment horizontal="center"/>
    </xf>
    <xf numFmtId="0" fontId="96" fillId="12" borderId="48" xfId="0" applyFont="1" applyFill="1" applyBorder="1"/>
    <xf numFmtId="1" fontId="80" fillId="0" borderId="48" xfId="0" applyNumberFormat="1" applyFont="1" applyFill="1" applyBorder="1" applyProtection="1"/>
    <xf numFmtId="0" fontId="85" fillId="25" borderId="53" xfId="0" applyFont="1" applyFill="1" applyBorder="1" applyProtection="1">
      <protection locked="0"/>
    </xf>
    <xf numFmtId="1" fontId="90" fillId="15" borderId="0" xfId="0" applyNumberFormat="1" applyFont="1" applyFill="1"/>
    <xf numFmtId="49" fontId="10" fillId="0" borderId="0" xfId="0" applyNumberFormat="1" applyFont="1" applyFill="1" applyBorder="1"/>
    <xf numFmtId="49" fontId="10" fillId="0" borderId="0" xfId="0" quotePrefix="1" applyNumberFormat="1" applyFont="1" applyFill="1" applyBorder="1"/>
    <xf numFmtId="49" fontId="10" fillId="0" borderId="0" xfId="0" applyNumberFormat="1" applyFont="1" applyFill="1" applyBorder="1" applyAlignment="1" applyProtection="1">
      <alignment horizontal="left"/>
      <protection locked="0"/>
    </xf>
    <xf numFmtId="49" fontId="10" fillId="0" borderId="0" xfId="0" applyNumberFormat="1" applyFont="1" applyFill="1" applyBorder="1" applyProtection="1">
      <protection locked="0"/>
    </xf>
    <xf numFmtId="0" fontId="21" fillId="0" borderId="0" xfId="0" applyFont="1" applyFill="1" applyBorder="1"/>
    <xf numFmtId="1" fontId="97" fillId="0" borderId="0" xfId="0" applyNumberFormat="1" applyFont="1" applyFill="1" applyAlignment="1">
      <alignment horizontal="center"/>
    </xf>
    <xf numFmtId="0" fontId="98" fillId="0" borderId="0" xfId="0" applyFont="1" applyAlignment="1">
      <alignment horizontal="center"/>
    </xf>
    <xf numFmtId="0" fontId="99" fillId="26" borderId="0" xfId="0" applyFont="1" applyFill="1" applyAlignment="1">
      <alignment horizontal="center"/>
    </xf>
    <xf numFmtId="0" fontId="85" fillId="0" borderId="0" xfId="0" applyFont="1" applyAlignment="1">
      <alignment horizontal="center"/>
    </xf>
    <xf numFmtId="1" fontId="100" fillId="0" borderId="0" xfId="0" applyNumberFormat="1" applyFont="1" applyAlignment="1">
      <alignment horizontal="right"/>
    </xf>
    <xf numFmtId="0" fontId="80" fillId="0" borderId="0" xfId="15" applyFont="1"/>
    <xf numFmtId="1" fontId="47" fillId="15" borderId="48" xfId="0" applyNumberFormat="1" applyFont="1" applyFill="1" applyBorder="1" applyProtection="1"/>
    <xf numFmtId="0" fontId="47" fillId="15" borderId="48" xfId="15" applyFont="1" applyFill="1" applyBorder="1"/>
    <xf numFmtId="0" fontId="80" fillId="15" borderId="48" xfId="15" applyFont="1" applyFill="1" applyBorder="1"/>
    <xf numFmtId="1" fontId="54" fillId="27" borderId="0" xfId="0" applyNumberFormat="1" applyFont="1" applyFill="1" applyAlignment="1">
      <alignment horizontal="center"/>
    </xf>
  </cellXfs>
  <cellStyles count="40">
    <cellStyle name="Bad" xfId="1"/>
    <cellStyle name="Berekening" xfId="32" builtinId="22" hidden="1"/>
    <cellStyle name="Calculation" xfId="2"/>
    <cellStyle name="Check Cell" xfId="3"/>
    <cellStyle name="Controlecel" xfId="34" builtinId="23" hidden="1"/>
    <cellStyle name="Excel Built-in Normal" xfId="39"/>
    <cellStyle name="Explanatory Text" xfId="4"/>
    <cellStyle name="Gekoppelde cel" xfId="33" builtinId="24" hidden="1"/>
    <cellStyle name="Goed" xfId="27" builtinId="26" hidden="1"/>
    <cellStyle name="Good" xfId="5"/>
    <cellStyle name="Heading 1" xfId="6"/>
    <cellStyle name="Heading 2" xfId="7"/>
    <cellStyle name="Heading 3" xfId="8"/>
    <cellStyle name="Heading 4" xfId="9"/>
    <cellStyle name="Input" xfId="10"/>
    <cellStyle name="Invoer" xfId="30" builtinId="20" hidden="1"/>
    <cellStyle name="Kop 1" xfId="23" builtinId="16" hidden="1"/>
    <cellStyle name="Kop 2" xfId="24" builtinId="17" hidden="1"/>
    <cellStyle name="Kop 3" xfId="25" builtinId="18" hidden="1"/>
    <cellStyle name="Kop 4" xfId="26" builtinId="19" hidden="1"/>
    <cellStyle name="Linked Cell" xfId="11"/>
    <cellStyle name="Neutraal" xfId="29" builtinId="28" hidden="1"/>
    <cellStyle name="Neutral" xfId="12"/>
    <cellStyle name="Normal 2" xfId="13"/>
    <cellStyle name="Normal 3" xfId="14"/>
    <cellStyle name="Normal_Tour de France 2002-ploegensamenstelling" xfId="15"/>
    <cellStyle name="Note" xfId="16"/>
    <cellStyle name="Notitie" xfId="36" builtinId="10" hidden="1"/>
    <cellStyle name="Ongeldig" xfId="28" builtinId="27" hidden="1"/>
    <cellStyle name="Output" xfId="17"/>
    <cellStyle name="Procent" xfId="18" builtinId="5"/>
    <cellStyle name="Standaard" xfId="0" builtinId="0"/>
    <cellStyle name="Titel" xfId="22" builtinId="15" hidden="1"/>
    <cellStyle name="Title" xfId="19"/>
    <cellStyle name="Totaal" xfId="38" builtinId="25" hidden="1"/>
    <cellStyle name="Total" xfId="20"/>
    <cellStyle name="Uitvoer" xfId="31" builtinId="21" hidden="1"/>
    <cellStyle name="Verklarende tekst" xfId="37" builtinId="53" hidden="1"/>
    <cellStyle name="Waarschuwingstekst" xfId="35" builtinId="11" hidden="1"/>
    <cellStyle name="Warning Text" xfId="21"/>
  </cellStyles>
  <dxfs count="70">
    <dxf>
      <fill>
        <patternFill>
          <bgColor rgb="FFFFFF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bgColor rgb="FFFFC0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border>
        <bottom style="thin">
          <color auto="1"/>
        </bottom>
        <vertical/>
        <horizontal/>
      </border>
    </dxf>
  </dxfs>
  <tableStyles count="0" defaultTableStyle="TableStyleMedium9" defaultPivotStyle="PivotStyleLight16"/>
  <colors>
    <mruColors>
      <color rgb="FF333333"/>
      <color rgb="FF3333FF"/>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5.xml"/><Relationship Id="rId13" Type="http://schemas.openxmlformats.org/officeDocument/2006/relationships/worksheet" Target="worksheets/sheet10.xml"/><Relationship Id="rId18" Type="http://schemas.openxmlformats.org/officeDocument/2006/relationships/worksheet" Target="worksheets/sheet15.xml"/><Relationship Id="rId26" Type="http://schemas.openxmlformats.org/officeDocument/2006/relationships/theme" Target="theme/theme1.xml"/><Relationship Id="rId3" Type="http://schemas.openxmlformats.org/officeDocument/2006/relationships/chartsheet" Target="chartsheets/sheet2.xml"/><Relationship Id="rId21" Type="http://schemas.openxmlformats.org/officeDocument/2006/relationships/worksheet" Target="worksheets/sheet18.xml"/><Relationship Id="rId7" Type="http://schemas.openxmlformats.org/officeDocument/2006/relationships/worksheet" Target="worksheets/sheet4.xml"/><Relationship Id="rId12" Type="http://schemas.openxmlformats.org/officeDocument/2006/relationships/worksheet" Target="worksheets/sheet9.xml"/><Relationship Id="rId17" Type="http://schemas.openxmlformats.org/officeDocument/2006/relationships/worksheet" Target="worksheets/sheet14.xml"/><Relationship Id="rId25" Type="http://schemas.openxmlformats.org/officeDocument/2006/relationships/worksheet" Target="worksheets/sheet22.xml"/><Relationship Id="rId2" Type="http://schemas.openxmlformats.org/officeDocument/2006/relationships/chartsheet" Target="chartsheets/sheet1.xml"/><Relationship Id="rId16" Type="http://schemas.openxmlformats.org/officeDocument/2006/relationships/worksheet" Target="worksheets/sheet13.xml"/><Relationship Id="rId20" Type="http://schemas.openxmlformats.org/officeDocument/2006/relationships/worksheet" Target="worksheets/sheet17.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3.xml"/><Relationship Id="rId11" Type="http://schemas.openxmlformats.org/officeDocument/2006/relationships/worksheet" Target="worksheets/sheet8.xml"/><Relationship Id="rId24" Type="http://schemas.openxmlformats.org/officeDocument/2006/relationships/worksheet" Target="worksheets/sheet21.xml"/><Relationship Id="rId5" Type="http://schemas.openxmlformats.org/officeDocument/2006/relationships/chartsheet" Target="chartsheets/sheet3.xml"/><Relationship Id="rId15" Type="http://schemas.openxmlformats.org/officeDocument/2006/relationships/worksheet" Target="worksheets/sheet12.xml"/><Relationship Id="rId23" Type="http://schemas.openxmlformats.org/officeDocument/2006/relationships/worksheet" Target="worksheets/sheet20.xml"/><Relationship Id="rId28" Type="http://schemas.openxmlformats.org/officeDocument/2006/relationships/sharedStrings" Target="sharedStrings.xml"/><Relationship Id="rId10" Type="http://schemas.openxmlformats.org/officeDocument/2006/relationships/worksheet" Target="worksheets/sheet7.xml"/><Relationship Id="rId19" Type="http://schemas.openxmlformats.org/officeDocument/2006/relationships/worksheet" Target="worksheets/sheet16.xml"/><Relationship Id="rId4" Type="http://schemas.openxmlformats.org/officeDocument/2006/relationships/worksheet" Target="worksheets/sheet2.xml"/><Relationship Id="rId9" Type="http://schemas.openxmlformats.org/officeDocument/2006/relationships/worksheet" Target="worksheets/sheet6.xml"/><Relationship Id="rId14" Type="http://schemas.openxmlformats.org/officeDocument/2006/relationships/worksheet" Target="worksheets/sheet11.xml"/><Relationship Id="rId22" Type="http://schemas.openxmlformats.org/officeDocument/2006/relationships/worksheet" Target="worksheets/sheet19.xml"/><Relationship Id="rId27"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nl-NL"/>
  <c:chart>
    <c:title>
      <c:tx>
        <c:rich>
          <a:bodyPr/>
          <a:lstStyle/>
          <a:p>
            <a:pPr>
              <a:defRPr sz="1600" b="1" i="0" u="none" strike="noStrike" baseline="0">
                <a:solidFill>
                  <a:srgbClr val="FFFF00"/>
                </a:solidFill>
                <a:latin typeface="Arial"/>
                <a:ea typeface="Arial"/>
                <a:cs typeface="Arial"/>
              </a:defRPr>
            </a:pPr>
            <a:r>
              <a:rPr lang="nl-NL"/>
              <a:t>TourToto 2015</a:t>
            </a:r>
          </a:p>
        </c:rich>
      </c:tx>
      <c:layout>
        <c:manualLayout>
          <c:xMode val="edge"/>
          <c:yMode val="edge"/>
          <c:x val="0.33092037228543969"/>
          <c:y val="2.0338983050847428E-2"/>
        </c:manualLayout>
      </c:layout>
      <c:spPr>
        <a:noFill/>
        <a:ln w="25400">
          <a:noFill/>
        </a:ln>
      </c:spPr>
    </c:title>
    <c:plotArea>
      <c:layout>
        <c:manualLayout>
          <c:layoutTarget val="inner"/>
          <c:xMode val="edge"/>
          <c:yMode val="edge"/>
          <c:x val="1.9648397104446741E-2"/>
          <c:y val="0.10508474576271541"/>
          <c:w val="0.93726301275422252"/>
          <c:h val="0.7525423728813555"/>
        </c:manualLayout>
      </c:layout>
      <c:lineChart>
        <c:grouping val="standard"/>
        <c:ser>
          <c:idx val="3"/>
          <c:order val="0"/>
          <c:tx>
            <c:strRef>
              <c:f>Etappes!$AB$22</c:f>
              <c:strCache>
                <c:ptCount val="1"/>
                <c:pt idx="0">
                  <c:v>El Gran</c:v>
                </c:pt>
              </c:strCache>
            </c:strRef>
          </c:tx>
          <c:spPr>
            <a:ln w="25400">
              <a:solidFill>
                <a:srgbClr val="00FFFF"/>
              </a:solidFill>
              <a:prstDash val="solid"/>
            </a:ln>
          </c:spPr>
          <c:marker>
            <c:symbol val="x"/>
            <c:size val="7"/>
            <c:spPr>
              <a:noFill/>
              <a:ln>
                <a:solidFill>
                  <a:srgbClr val="00FFFF"/>
                </a:solidFill>
                <a:prstDash val="solid"/>
              </a:ln>
            </c:spPr>
          </c:marker>
          <c:cat>
            <c:strRef>
              <c:f>Etappes!$AC$21:$AX$21</c:f>
              <c:strCache>
                <c:ptCount val="21"/>
                <c:pt idx="0">
                  <c:v>1</c:v>
                </c:pt>
                <c:pt idx="1">
                  <c:v>2</c:v>
                </c:pt>
                <c:pt idx="2">
                  <c:v>3</c:v>
                </c:pt>
                <c:pt idx="3">
                  <c:v>4</c:v>
                </c:pt>
                <c:pt idx="4">
                  <c:v>5</c:v>
                </c:pt>
                <c:pt idx="5">
                  <c:v>6</c:v>
                </c:pt>
                <c:pt idx="6">
                  <c:v>7</c:v>
                </c:pt>
                <c:pt idx="7">
                  <c:v>8</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Etappes!$AC$22:$AX$22</c:f>
              <c:numCache>
                <c:formatCode>0</c:formatCode>
                <c:ptCount val="21"/>
                <c:pt idx="0">
                  <c:v>16</c:v>
                </c:pt>
                <c:pt idx="1">
                  <c:v>91.363636363636374</c:v>
                </c:pt>
                <c:pt idx="2">
                  <c:v>117.18181818181819</c:v>
                </c:pt>
                <c:pt idx="3">
                  <c:v>167.18181818181819</c:v>
                </c:pt>
                <c:pt idx="4">
                  <c:v>209.81818181818187</c:v>
                </c:pt>
                <c:pt idx="5">
                  <c:v>233.72727272727275</c:v>
                </c:pt>
                <c:pt idx="6">
                  <c:v>268.5454545454545</c:v>
                </c:pt>
                <c:pt idx="7">
                  <c:v>272.90909090909099</c:v>
                </c:pt>
                <c:pt idx="8">
                  <c:v>266.45454545454527</c:v>
                </c:pt>
                <c:pt idx="9">
                  <c:v>207.27272727272702</c:v>
                </c:pt>
                <c:pt idx="10">
                  <c:v>192.27272727272702</c:v>
                </c:pt>
                <c:pt idx="11">
                  <c:v>203.63636363636328</c:v>
                </c:pt>
                <c:pt idx="12">
                  <c:v>251.72727272727275</c:v>
                </c:pt>
                <c:pt idx="13">
                  <c:v>258.4545454545455</c:v>
                </c:pt>
                <c:pt idx="14">
                  <c:v>255.63636363636374</c:v>
                </c:pt>
                <c:pt idx="15">
                  <c:v>240.36363636363649</c:v>
                </c:pt>
                <c:pt idx="16">
                  <c:v>220.81818181818221</c:v>
                </c:pt>
                <c:pt idx="17">
                  <c:v>188.90909090909145</c:v>
                </c:pt>
                <c:pt idx="18">
                  <c:v>204.90909090909145</c:v>
                </c:pt>
                <c:pt idx="19">
                  <c:v>201.18181818181847</c:v>
                </c:pt>
                <c:pt idx="20">
                  <c:v>130.90909090909145</c:v>
                </c:pt>
              </c:numCache>
            </c:numRef>
          </c:val>
        </c:ser>
        <c:ser>
          <c:idx val="8"/>
          <c:order val="1"/>
          <c:tx>
            <c:strRef>
              <c:f>Etappes!$AB$23</c:f>
              <c:strCache>
                <c:ptCount val="1"/>
                <c:pt idx="0">
                  <c:v>Mahawat</c:v>
                </c:pt>
              </c:strCache>
            </c:strRef>
          </c:tx>
          <c:spPr>
            <a:ln w="19050">
              <a:solidFill>
                <a:srgbClr val="FF9900"/>
              </a:solidFill>
              <a:prstDash val="solid"/>
            </a:ln>
          </c:spPr>
          <c:marker>
            <c:symbol val="dash"/>
            <c:size val="7"/>
            <c:spPr>
              <a:noFill/>
              <a:ln w="19050">
                <a:solidFill>
                  <a:srgbClr val="00CCFF"/>
                </a:solidFill>
                <a:prstDash val="solid"/>
              </a:ln>
            </c:spPr>
          </c:marker>
          <c:cat>
            <c:strRef>
              <c:f>Etappes!$AC$21:$AX$21</c:f>
              <c:strCache>
                <c:ptCount val="21"/>
                <c:pt idx="0">
                  <c:v>1</c:v>
                </c:pt>
                <c:pt idx="1">
                  <c:v>2</c:v>
                </c:pt>
                <c:pt idx="2">
                  <c:v>3</c:v>
                </c:pt>
                <c:pt idx="3">
                  <c:v>4</c:v>
                </c:pt>
                <c:pt idx="4">
                  <c:v>5</c:v>
                </c:pt>
                <c:pt idx="5">
                  <c:v>6</c:v>
                </c:pt>
                <c:pt idx="6">
                  <c:v>7</c:v>
                </c:pt>
                <c:pt idx="7">
                  <c:v>8</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Etappes!$AC$23:$AX$23</c:f>
              <c:numCache>
                <c:formatCode>0</c:formatCode>
                <c:ptCount val="21"/>
                <c:pt idx="0">
                  <c:v>71</c:v>
                </c:pt>
                <c:pt idx="1">
                  <c:v>147.36363636363637</c:v>
                </c:pt>
                <c:pt idx="2">
                  <c:v>129.18181818181819</c:v>
                </c:pt>
                <c:pt idx="3">
                  <c:v>177.18181818181819</c:v>
                </c:pt>
                <c:pt idx="4">
                  <c:v>215.81818181818187</c:v>
                </c:pt>
                <c:pt idx="5">
                  <c:v>228.72727272727275</c:v>
                </c:pt>
                <c:pt idx="6">
                  <c:v>250.5454545454545</c:v>
                </c:pt>
                <c:pt idx="7">
                  <c:v>240.90909090909099</c:v>
                </c:pt>
                <c:pt idx="8">
                  <c:v>263.45454545454527</c:v>
                </c:pt>
                <c:pt idx="9">
                  <c:v>288.27272727272702</c:v>
                </c:pt>
                <c:pt idx="10">
                  <c:v>271.27272727272702</c:v>
                </c:pt>
                <c:pt idx="11">
                  <c:v>278.63636363636328</c:v>
                </c:pt>
                <c:pt idx="12">
                  <c:v>258.72727272727275</c:v>
                </c:pt>
                <c:pt idx="13">
                  <c:v>295.4545454545455</c:v>
                </c:pt>
                <c:pt idx="14">
                  <c:v>308.63636363636374</c:v>
                </c:pt>
                <c:pt idx="15">
                  <c:v>330.36363636363649</c:v>
                </c:pt>
                <c:pt idx="16">
                  <c:v>303.81818181818221</c:v>
                </c:pt>
                <c:pt idx="17">
                  <c:v>299.90909090909145</c:v>
                </c:pt>
                <c:pt idx="18">
                  <c:v>324.90909090909145</c:v>
                </c:pt>
                <c:pt idx="19">
                  <c:v>372.18181818181847</c:v>
                </c:pt>
                <c:pt idx="20">
                  <c:v>359.90909090909145</c:v>
                </c:pt>
              </c:numCache>
            </c:numRef>
          </c:val>
        </c:ser>
        <c:ser>
          <c:idx val="7"/>
          <c:order val="2"/>
          <c:tx>
            <c:strRef>
              <c:f>Etappes!$AB$24</c:f>
              <c:strCache>
                <c:ptCount val="1"/>
                <c:pt idx="0">
                  <c:v>Van Lego kun je alles maken</c:v>
                </c:pt>
              </c:strCache>
            </c:strRef>
          </c:tx>
          <c:spPr>
            <a:ln w="38100">
              <a:solidFill>
                <a:srgbClr val="0000FF"/>
              </a:solidFill>
              <a:prstDash val="solid"/>
            </a:ln>
          </c:spPr>
          <c:marker>
            <c:symbol val="circle"/>
            <c:size val="5"/>
            <c:spPr>
              <a:solidFill>
                <a:srgbClr val="FF0000"/>
              </a:solidFill>
              <a:ln>
                <a:solidFill>
                  <a:srgbClr val="0000FF"/>
                </a:solidFill>
                <a:prstDash val="solid"/>
              </a:ln>
            </c:spPr>
          </c:marker>
          <c:cat>
            <c:strRef>
              <c:f>Etappes!$AC$21:$AX$21</c:f>
              <c:strCache>
                <c:ptCount val="21"/>
                <c:pt idx="0">
                  <c:v>1</c:v>
                </c:pt>
                <c:pt idx="1">
                  <c:v>2</c:v>
                </c:pt>
                <c:pt idx="2">
                  <c:v>3</c:v>
                </c:pt>
                <c:pt idx="3">
                  <c:v>4</c:v>
                </c:pt>
                <c:pt idx="4">
                  <c:v>5</c:v>
                </c:pt>
                <c:pt idx="5">
                  <c:v>6</c:v>
                </c:pt>
                <c:pt idx="6">
                  <c:v>7</c:v>
                </c:pt>
                <c:pt idx="7">
                  <c:v>8</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Etappes!$AC$24:$AX$24</c:f>
              <c:numCache>
                <c:formatCode>0</c:formatCode>
                <c:ptCount val="21"/>
                <c:pt idx="0">
                  <c:v>13</c:v>
                </c:pt>
                <c:pt idx="1">
                  <c:v>62.363636363636374</c:v>
                </c:pt>
                <c:pt idx="2">
                  <c:v>69.181818181818187</c:v>
                </c:pt>
                <c:pt idx="3">
                  <c:v>71.181818181818187</c:v>
                </c:pt>
                <c:pt idx="4">
                  <c:v>118.81818181818187</c:v>
                </c:pt>
                <c:pt idx="5">
                  <c:v>132.72727272727275</c:v>
                </c:pt>
                <c:pt idx="6">
                  <c:v>193.5454545454545</c:v>
                </c:pt>
                <c:pt idx="7">
                  <c:v>201.90909090909099</c:v>
                </c:pt>
                <c:pt idx="8">
                  <c:v>201.45454545454527</c:v>
                </c:pt>
                <c:pt idx="9">
                  <c:v>222.27272727272702</c:v>
                </c:pt>
                <c:pt idx="10">
                  <c:v>238.27272727272702</c:v>
                </c:pt>
                <c:pt idx="11">
                  <c:v>238.63636363636328</c:v>
                </c:pt>
                <c:pt idx="12">
                  <c:v>243.72727272727275</c:v>
                </c:pt>
                <c:pt idx="13">
                  <c:v>268.4545454545455</c:v>
                </c:pt>
                <c:pt idx="14">
                  <c:v>273.63636363636374</c:v>
                </c:pt>
                <c:pt idx="15">
                  <c:v>255.36363636363649</c:v>
                </c:pt>
                <c:pt idx="16">
                  <c:v>259.81818181818221</c:v>
                </c:pt>
                <c:pt idx="17">
                  <c:v>278.90909090909145</c:v>
                </c:pt>
                <c:pt idx="18">
                  <c:v>319.90909090909145</c:v>
                </c:pt>
                <c:pt idx="19">
                  <c:v>381.18181818181847</c:v>
                </c:pt>
                <c:pt idx="20">
                  <c:v>401.90909090909145</c:v>
                </c:pt>
              </c:numCache>
            </c:numRef>
          </c:val>
        </c:ser>
        <c:ser>
          <c:idx val="6"/>
          <c:order val="3"/>
          <c:tx>
            <c:strRef>
              <c:f>Etappes!$AB$25</c:f>
              <c:strCache>
                <c:ptCount val="1"/>
                <c:pt idx="0">
                  <c:v>De Lange Man</c:v>
                </c:pt>
              </c:strCache>
            </c:strRef>
          </c:tx>
          <c:spPr>
            <a:ln w="38100">
              <a:solidFill>
                <a:srgbClr val="00FF00"/>
              </a:solidFill>
              <a:prstDash val="sysDot"/>
            </a:ln>
          </c:spPr>
          <c:marker>
            <c:symbol val="circle"/>
            <c:size val="6"/>
            <c:spPr>
              <a:solidFill>
                <a:srgbClr val="FFFF00"/>
              </a:solidFill>
              <a:ln>
                <a:solidFill>
                  <a:srgbClr val="008080"/>
                </a:solidFill>
                <a:prstDash val="sysDot"/>
              </a:ln>
            </c:spPr>
          </c:marker>
          <c:cat>
            <c:strRef>
              <c:f>Etappes!$AC$21:$AX$21</c:f>
              <c:strCache>
                <c:ptCount val="21"/>
                <c:pt idx="0">
                  <c:v>1</c:v>
                </c:pt>
                <c:pt idx="1">
                  <c:v>2</c:v>
                </c:pt>
                <c:pt idx="2">
                  <c:v>3</c:v>
                </c:pt>
                <c:pt idx="3">
                  <c:v>4</c:v>
                </c:pt>
                <c:pt idx="4">
                  <c:v>5</c:v>
                </c:pt>
                <c:pt idx="5">
                  <c:v>6</c:v>
                </c:pt>
                <c:pt idx="6">
                  <c:v>7</c:v>
                </c:pt>
                <c:pt idx="7">
                  <c:v>8</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Etappes!$AC$25:$AX$25</c:f>
              <c:numCache>
                <c:formatCode>0</c:formatCode>
                <c:ptCount val="21"/>
                <c:pt idx="0">
                  <c:v>14</c:v>
                </c:pt>
                <c:pt idx="1">
                  <c:v>25.363636363636374</c:v>
                </c:pt>
                <c:pt idx="2">
                  <c:v>40.181818181818187</c:v>
                </c:pt>
                <c:pt idx="3">
                  <c:v>78.181818181818187</c:v>
                </c:pt>
                <c:pt idx="4">
                  <c:v>126.81818181818187</c:v>
                </c:pt>
                <c:pt idx="5">
                  <c:v>152.72727272727275</c:v>
                </c:pt>
                <c:pt idx="6">
                  <c:v>153.5454545454545</c:v>
                </c:pt>
                <c:pt idx="7">
                  <c:v>145.90909090909099</c:v>
                </c:pt>
                <c:pt idx="8">
                  <c:v>161.45454545454527</c:v>
                </c:pt>
                <c:pt idx="9">
                  <c:v>136.27272727272702</c:v>
                </c:pt>
                <c:pt idx="10">
                  <c:v>139.27272727272702</c:v>
                </c:pt>
                <c:pt idx="11">
                  <c:v>152.63636363636328</c:v>
                </c:pt>
                <c:pt idx="12">
                  <c:v>127.72727272727275</c:v>
                </c:pt>
                <c:pt idx="13">
                  <c:v>183.4545454545455</c:v>
                </c:pt>
                <c:pt idx="14">
                  <c:v>194.63636363636374</c:v>
                </c:pt>
                <c:pt idx="15">
                  <c:v>139.36363636363649</c:v>
                </c:pt>
                <c:pt idx="16">
                  <c:v>158.81818181818221</c:v>
                </c:pt>
                <c:pt idx="17">
                  <c:v>141.90909090909145</c:v>
                </c:pt>
                <c:pt idx="18">
                  <c:v>110.90909090909145</c:v>
                </c:pt>
                <c:pt idx="19">
                  <c:v>136.18181818181847</c:v>
                </c:pt>
                <c:pt idx="20">
                  <c:v>131.90909090909145</c:v>
                </c:pt>
              </c:numCache>
            </c:numRef>
          </c:val>
        </c:ser>
        <c:ser>
          <c:idx val="4"/>
          <c:order val="4"/>
          <c:tx>
            <c:strRef>
              <c:f>Etappes!$AB$26</c:f>
              <c:strCache>
                <c:ptCount val="1"/>
                <c:pt idx="0">
                  <c:v>TinTopTeam</c:v>
                </c:pt>
              </c:strCache>
            </c:strRef>
          </c:tx>
          <c:spPr>
            <a:ln w="38100">
              <a:solidFill>
                <a:srgbClr val="800080"/>
              </a:solidFill>
              <a:prstDash val="solid"/>
            </a:ln>
          </c:spPr>
          <c:marker>
            <c:symbol val="diamond"/>
            <c:size val="5"/>
            <c:spPr>
              <a:solidFill>
                <a:srgbClr val="800080"/>
              </a:solidFill>
              <a:ln>
                <a:solidFill>
                  <a:srgbClr val="FFFF00"/>
                </a:solidFill>
                <a:prstDash val="solid"/>
              </a:ln>
            </c:spPr>
          </c:marker>
          <c:cat>
            <c:strRef>
              <c:f>Etappes!$AC$21:$AX$21</c:f>
              <c:strCache>
                <c:ptCount val="21"/>
                <c:pt idx="0">
                  <c:v>1</c:v>
                </c:pt>
                <c:pt idx="1">
                  <c:v>2</c:v>
                </c:pt>
                <c:pt idx="2">
                  <c:v>3</c:v>
                </c:pt>
                <c:pt idx="3">
                  <c:v>4</c:v>
                </c:pt>
                <c:pt idx="4">
                  <c:v>5</c:v>
                </c:pt>
                <c:pt idx="5">
                  <c:v>6</c:v>
                </c:pt>
                <c:pt idx="6">
                  <c:v>7</c:v>
                </c:pt>
                <c:pt idx="7">
                  <c:v>8</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Etappes!$AC$26:$AX$26</c:f>
              <c:numCache>
                <c:formatCode>0</c:formatCode>
                <c:ptCount val="21"/>
                <c:pt idx="0">
                  <c:v>-36</c:v>
                </c:pt>
                <c:pt idx="1">
                  <c:v>-65.636363636363626</c:v>
                </c:pt>
                <c:pt idx="2">
                  <c:v>-56.818181818181813</c:v>
                </c:pt>
                <c:pt idx="3">
                  <c:v>-47.818181818181813</c:v>
                </c:pt>
                <c:pt idx="4">
                  <c:v>-37.18181818181813</c:v>
                </c:pt>
                <c:pt idx="5">
                  <c:v>-3.2727272727272521</c:v>
                </c:pt>
                <c:pt idx="6">
                  <c:v>2.5454545454545041</c:v>
                </c:pt>
                <c:pt idx="7">
                  <c:v>18.909090909090992</c:v>
                </c:pt>
                <c:pt idx="8">
                  <c:v>17.454545454545269</c:v>
                </c:pt>
                <c:pt idx="9">
                  <c:v>50.272727272727025</c:v>
                </c:pt>
                <c:pt idx="10">
                  <c:v>107.27272727272702</c:v>
                </c:pt>
                <c:pt idx="11">
                  <c:v>114.63636363636328</c:v>
                </c:pt>
                <c:pt idx="12">
                  <c:v>117.72727272727275</c:v>
                </c:pt>
                <c:pt idx="13">
                  <c:v>145.4545454545455</c:v>
                </c:pt>
                <c:pt idx="14">
                  <c:v>154.63636363636374</c:v>
                </c:pt>
                <c:pt idx="15">
                  <c:v>163.36363636363649</c:v>
                </c:pt>
                <c:pt idx="16">
                  <c:v>203.81818181818221</c:v>
                </c:pt>
                <c:pt idx="17">
                  <c:v>212.90909090909145</c:v>
                </c:pt>
                <c:pt idx="18">
                  <c:v>214.90909090909145</c:v>
                </c:pt>
                <c:pt idx="19">
                  <c:v>252.18181818181847</c:v>
                </c:pt>
                <c:pt idx="20">
                  <c:v>257.90909090909145</c:v>
                </c:pt>
              </c:numCache>
            </c:numRef>
          </c:val>
        </c:ser>
        <c:ser>
          <c:idx val="9"/>
          <c:order val="5"/>
          <c:tx>
            <c:strRef>
              <c:f>Etappes!$AB$27</c:f>
              <c:strCache>
                <c:ptCount val="1"/>
                <c:pt idx="0">
                  <c:v>wadaf*ckers</c:v>
                </c:pt>
              </c:strCache>
            </c:strRef>
          </c:tx>
          <c:spPr>
            <a:ln>
              <a:prstDash val="lgDash"/>
            </a:ln>
          </c:spPr>
          <c:marker>
            <c:spPr>
              <a:ln>
                <a:prstDash val="lgDash"/>
              </a:ln>
            </c:spPr>
          </c:marker>
          <c:cat>
            <c:strRef>
              <c:f>Etappes!$AC$21:$AX$21</c:f>
              <c:strCache>
                <c:ptCount val="21"/>
                <c:pt idx="0">
                  <c:v>1</c:v>
                </c:pt>
                <c:pt idx="1">
                  <c:v>2</c:v>
                </c:pt>
                <c:pt idx="2">
                  <c:v>3</c:v>
                </c:pt>
                <c:pt idx="3">
                  <c:v>4</c:v>
                </c:pt>
                <c:pt idx="4">
                  <c:v>5</c:v>
                </c:pt>
                <c:pt idx="5">
                  <c:v>6</c:v>
                </c:pt>
                <c:pt idx="6">
                  <c:v>7</c:v>
                </c:pt>
                <c:pt idx="7">
                  <c:v>8</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Etappes!$AC$27:$AX$27</c:f>
              <c:numCache>
                <c:formatCode>0</c:formatCode>
                <c:ptCount val="21"/>
                <c:pt idx="0">
                  <c:v>-5</c:v>
                </c:pt>
                <c:pt idx="1">
                  <c:v>-34.636363636363626</c:v>
                </c:pt>
                <c:pt idx="2">
                  <c:v>-43.818181818181813</c:v>
                </c:pt>
                <c:pt idx="3">
                  <c:v>-66.818181818181813</c:v>
                </c:pt>
                <c:pt idx="4">
                  <c:v>-64.18181818181813</c:v>
                </c:pt>
                <c:pt idx="5">
                  <c:v>-60.272727272727252</c:v>
                </c:pt>
                <c:pt idx="6">
                  <c:v>-19.454545454545496</c:v>
                </c:pt>
                <c:pt idx="7">
                  <c:v>-23.090909090909008</c:v>
                </c:pt>
                <c:pt idx="8">
                  <c:v>-47.545454545454731</c:v>
                </c:pt>
                <c:pt idx="9">
                  <c:v>-73.727272727272975</c:v>
                </c:pt>
                <c:pt idx="10">
                  <c:v>-73.727272727272975</c:v>
                </c:pt>
                <c:pt idx="11">
                  <c:v>-70.363636363636715</c:v>
                </c:pt>
                <c:pt idx="12">
                  <c:v>-70.272727272727252</c:v>
                </c:pt>
                <c:pt idx="13">
                  <c:v>-61.545454545454504</c:v>
                </c:pt>
                <c:pt idx="14">
                  <c:v>-61.36363636363626</c:v>
                </c:pt>
                <c:pt idx="15">
                  <c:v>-67.636363636363512</c:v>
                </c:pt>
                <c:pt idx="16">
                  <c:v>-81.181818181817789</c:v>
                </c:pt>
                <c:pt idx="17">
                  <c:v>-79.090909090908553</c:v>
                </c:pt>
                <c:pt idx="18">
                  <c:v>-82.090909090908553</c:v>
                </c:pt>
                <c:pt idx="19">
                  <c:v>-67.818181818181529</c:v>
                </c:pt>
                <c:pt idx="20">
                  <c:v>-57.090909090908553</c:v>
                </c:pt>
              </c:numCache>
            </c:numRef>
          </c:val>
        </c:ser>
        <c:ser>
          <c:idx val="5"/>
          <c:order val="6"/>
          <c:tx>
            <c:strRef>
              <c:f>Etappes!$AB$28</c:f>
              <c:strCache>
                <c:ptCount val="1"/>
                <c:pt idx="0">
                  <c:v>Equipe l'Ami</c:v>
                </c:pt>
              </c:strCache>
            </c:strRef>
          </c:tx>
          <c:spPr>
            <a:ln w="28575">
              <a:solidFill>
                <a:schemeClr val="tx2">
                  <a:lumMod val="60000"/>
                  <a:lumOff val="40000"/>
                </a:schemeClr>
              </a:solidFill>
              <a:prstDash val="solid"/>
            </a:ln>
          </c:spPr>
          <c:marker>
            <c:symbol val="circle"/>
            <c:size val="5"/>
            <c:spPr>
              <a:solidFill>
                <a:srgbClr val="800000"/>
              </a:solidFill>
              <a:ln>
                <a:solidFill>
                  <a:srgbClr val="800000"/>
                </a:solidFill>
                <a:prstDash val="solid"/>
              </a:ln>
            </c:spPr>
          </c:marker>
          <c:cat>
            <c:strRef>
              <c:f>Etappes!$AC$21:$AX$21</c:f>
              <c:strCache>
                <c:ptCount val="21"/>
                <c:pt idx="0">
                  <c:v>1</c:v>
                </c:pt>
                <c:pt idx="1">
                  <c:v>2</c:v>
                </c:pt>
                <c:pt idx="2">
                  <c:v>3</c:v>
                </c:pt>
                <c:pt idx="3">
                  <c:v>4</c:v>
                </c:pt>
                <c:pt idx="4">
                  <c:v>5</c:v>
                </c:pt>
                <c:pt idx="5">
                  <c:v>6</c:v>
                </c:pt>
                <c:pt idx="6">
                  <c:v>7</c:v>
                </c:pt>
                <c:pt idx="7">
                  <c:v>8</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Etappes!$AC$28:$AX$28</c:f>
              <c:numCache>
                <c:formatCode>0</c:formatCode>
                <c:ptCount val="21"/>
                <c:pt idx="0">
                  <c:v>-8</c:v>
                </c:pt>
                <c:pt idx="1">
                  <c:v>18.363636363636374</c:v>
                </c:pt>
                <c:pt idx="2">
                  <c:v>-16.818181818181813</c:v>
                </c:pt>
                <c:pt idx="3">
                  <c:v>-14.818181818181813</c:v>
                </c:pt>
                <c:pt idx="4">
                  <c:v>-9.1818181818181301</c:v>
                </c:pt>
                <c:pt idx="5">
                  <c:v>-53.272727272727252</c:v>
                </c:pt>
                <c:pt idx="6">
                  <c:v>-32.454545454545496</c:v>
                </c:pt>
                <c:pt idx="7">
                  <c:v>-53.090909090909008</c:v>
                </c:pt>
                <c:pt idx="8">
                  <c:v>-83.545454545454731</c:v>
                </c:pt>
                <c:pt idx="9">
                  <c:v>-96.727272727272975</c:v>
                </c:pt>
                <c:pt idx="10">
                  <c:v>-142.72727272727298</c:v>
                </c:pt>
                <c:pt idx="11">
                  <c:v>-176.36363636363672</c:v>
                </c:pt>
                <c:pt idx="12">
                  <c:v>-156.27272727272725</c:v>
                </c:pt>
                <c:pt idx="13">
                  <c:v>-181.5454545454545</c:v>
                </c:pt>
                <c:pt idx="14">
                  <c:v>-186.36363636363626</c:v>
                </c:pt>
                <c:pt idx="15">
                  <c:v>-188.63636363636351</c:v>
                </c:pt>
                <c:pt idx="16">
                  <c:v>-225.18181818181779</c:v>
                </c:pt>
                <c:pt idx="17">
                  <c:v>-250.09090909090855</c:v>
                </c:pt>
                <c:pt idx="18">
                  <c:v>-283.09090909090855</c:v>
                </c:pt>
                <c:pt idx="19">
                  <c:v>-279.81818181818153</c:v>
                </c:pt>
                <c:pt idx="20">
                  <c:v>-336.09090909090855</c:v>
                </c:pt>
              </c:numCache>
            </c:numRef>
          </c:val>
        </c:ser>
        <c:ser>
          <c:idx val="2"/>
          <c:order val="7"/>
          <c:tx>
            <c:strRef>
              <c:f>Etappes!$AB$29</c:f>
              <c:strCache>
                <c:ptCount val="1"/>
                <c:pt idx="0">
                  <c:v>Am Selfkant</c:v>
                </c:pt>
              </c:strCache>
            </c:strRef>
          </c:tx>
          <c:spPr>
            <a:ln w="38100">
              <a:solidFill>
                <a:srgbClr val="FFFF00"/>
              </a:solidFill>
              <a:prstDash val="solid"/>
            </a:ln>
          </c:spPr>
          <c:marker>
            <c:symbol val="triangle"/>
            <c:size val="5"/>
            <c:spPr>
              <a:solidFill>
                <a:srgbClr val="FFFF00"/>
              </a:solidFill>
              <a:ln>
                <a:solidFill>
                  <a:srgbClr val="000000"/>
                </a:solidFill>
                <a:prstDash val="solid"/>
              </a:ln>
            </c:spPr>
          </c:marker>
          <c:cat>
            <c:strRef>
              <c:f>Etappes!$AC$21:$AX$21</c:f>
              <c:strCache>
                <c:ptCount val="21"/>
                <c:pt idx="0">
                  <c:v>1</c:v>
                </c:pt>
                <c:pt idx="1">
                  <c:v>2</c:v>
                </c:pt>
                <c:pt idx="2">
                  <c:v>3</c:v>
                </c:pt>
                <c:pt idx="3">
                  <c:v>4</c:v>
                </c:pt>
                <c:pt idx="4">
                  <c:v>5</c:v>
                </c:pt>
                <c:pt idx="5">
                  <c:v>6</c:v>
                </c:pt>
                <c:pt idx="6">
                  <c:v>7</c:v>
                </c:pt>
                <c:pt idx="7">
                  <c:v>8</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Etappes!$AC$29:$AX$29</c:f>
              <c:numCache>
                <c:formatCode>0</c:formatCode>
                <c:ptCount val="21"/>
                <c:pt idx="0">
                  <c:v>-36</c:v>
                </c:pt>
                <c:pt idx="1">
                  <c:v>-49.636363636363626</c:v>
                </c:pt>
                <c:pt idx="2">
                  <c:v>-42.818181818181813</c:v>
                </c:pt>
                <c:pt idx="3">
                  <c:v>-71.818181818181813</c:v>
                </c:pt>
                <c:pt idx="4">
                  <c:v>-101.18181818181813</c:v>
                </c:pt>
                <c:pt idx="5">
                  <c:v>-113.27272727272725</c:v>
                </c:pt>
                <c:pt idx="6">
                  <c:v>-112.4545454545455</c:v>
                </c:pt>
                <c:pt idx="7">
                  <c:v>-96.090909090909008</c:v>
                </c:pt>
                <c:pt idx="8">
                  <c:v>-98.545454545454731</c:v>
                </c:pt>
                <c:pt idx="9">
                  <c:v>-94.727272727272975</c:v>
                </c:pt>
                <c:pt idx="10">
                  <c:v>-91.727272727272975</c:v>
                </c:pt>
                <c:pt idx="11">
                  <c:v>-78.363636363636715</c:v>
                </c:pt>
                <c:pt idx="12">
                  <c:v>-79.272727272727252</c:v>
                </c:pt>
                <c:pt idx="13">
                  <c:v>-88.545454545454504</c:v>
                </c:pt>
                <c:pt idx="14">
                  <c:v>-89.36363636363626</c:v>
                </c:pt>
                <c:pt idx="15">
                  <c:v>-83.636363636363512</c:v>
                </c:pt>
                <c:pt idx="16">
                  <c:v>-53.181818181817789</c:v>
                </c:pt>
                <c:pt idx="17">
                  <c:v>-46.090909090908553</c:v>
                </c:pt>
                <c:pt idx="18">
                  <c:v>-37.090909090908553</c:v>
                </c:pt>
                <c:pt idx="19">
                  <c:v>-54.818181818181529</c:v>
                </c:pt>
                <c:pt idx="20">
                  <c:v>-26.090909090908553</c:v>
                </c:pt>
              </c:numCache>
            </c:numRef>
          </c:val>
        </c:ser>
        <c:ser>
          <c:idx val="10"/>
          <c:order val="8"/>
          <c:tx>
            <c:strRef>
              <c:f>Etappes!$AB$30</c:f>
              <c:strCache>
                <c:ptCount val="1"/>
                <c:pt idx="0">
                  <c:v>Freaky naar de top</c:v>
                </c:pt>
              </c:strCache>
            </c:strRef>
          </c:tx>
          <c:spPr>
            <a:ln>
              <a:prstDash val="sysDash"/>
            </a:ln>
          </c:spPr>
          <c:marker>
            <c:symbol val="square"/>
            <c:size val="5"/>
            <c:spPr>
              <a:ln>
                <a:prstDash val="sysDash"/>
              </a:ln>
            </c:spPr>
          </c:marker>
          <c:cat>
            <c:strRef>
              <c:f>Etappes!$AC$21:$AX$21</c:f>
              <c:strCache>
                <c:ptCount val="21"/>
                <c:pt idx="0">
                  <c:v>1</c:v>
                </c:pt>
                <c:pt idx="1">
                  <c:v>2</c:v>
                </c:pt>
                <c:pt idx="2">
                  <c:v>3</c:v>
                </c:pt>
                <c:pt idx="3">
                  <c:v>4</c:v>
                </c:pt>
                <c:pt idx="4">
                  <c:v>5</c:v>
                </c:pt>
                <c:pt idx="5">
                  <c:v>6</c:v>
                </c:pt>
                <c:pt idx="6">
                  <c:v>7</c:v>
                </c:pt>
                <c:pt idx="7">
                  <c:v>8</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Etappes!$AC$30:$AX$30</c:f>
              <c:numCache>
                <c:formatCode>0</c:formatCode>
                <c:ptCount val="21"/>
                <c:pt idx="0">
                  <c:v>-27</c:v>
                </c:pt>
                <c:pt idx="1">
                  <c:v>-40.636363636363626</c:v>
                </c:pt>
                <c:pt idx="2">
                  <c:v>-50.818181818181813</c:v>
                </c:pt>
                <c:pt idx="3">
                  <c:v>-62.818181818181813</c:v>
                </c:pt>
                <c:pt idx="4">
                  <c:v>-88.18181818181813</c:v>
                </c:pt>
                <c:pt idx="5">
                  <c:v>-87.272727272727252</c:v>
                </c:pt>
                <c:pt idx="6">
                  <c:v>-91.454545454545496</c:v>
                </c:pt>
                <c:pt idx="7">
                  <c:v>-96.090909090909008</c:v>
                </c:pt>
                <c:pt idx="8">
                  <c:v>-95.545454545454731</c:v>
                </c:pt>
                <c:pt idx="9">
                  <c:v>-99.727272727272975</c:v>
                </c:pt>
                <c:pt idx="10">
                  <c:v>-83.727272727272975</c:v>
                </c:pt>
                <c:pt idx="11">
                  <c:v>-85.363636363636715</c:v>
                </c:pt>
                <c:pt idx="12">
                  <c:v>-60.272727272727252</c:v>
                </c:pt>
                <c:pt idx="13">
                  <c:v>-67.545454545454504</c:v>
                </c:pt>
                <c:pt idx="14">
                  <c:v>-67.36363636363626</c:v>
                </c:pt>
                <c:pt idx="15">
                  <c:v>-35.636363636363512</c:v>
                </c:pt>
                <c:pt idx="16">
                  <c:v>-51.181818181817789</c:v>
                </c:pt>
                <c:pt idx="17">
                  <c:v>-44.090909090908553</c:v>
                </c:pt>
                <c:pt idx="18">
                  <c:v>-44.090909090908553</c:v>
                </c:pt>
                <c:pt idx="19">
                  <c:v>-62.818181818181529</c:v>
                </c:pt>
                <c:pt idx="20">
                  <c:v>-90.090909090908553</c:v>
                </c:pt>
              </c:numCache>
            </c:numRef>
          </c:val>
        </c:ser>
        <c:ser>
          <c:idx val="0"/>
          <c:order val="9"/>
          <c:tx>
            <c:strRef>
              <c:f>Etappes!$AB$31</c:f>
              <c:strCache>
                <c:ptCount val="1"/>
                <c:pt idx="0">
                  <c:v>Lothars Grand Depart</c:v>
                </c:pt>
              </c:strCache>
            </c:strRef>
          </c:tx>
          <c:spPr>
            <a:ln w="38100">
              <a:solidFill>
                <a:srgbClr val="FF0000"/>
              </a:solidFill>
              <a:prstDash val="dashDot"/>
            </a:ln>
          </c:spPr>
          <c:marker>
            <c:symbol val="triangle"/>
            <c:size val="5"/>
            <c:spPr>
              <a:solidFill>
                <a:srgbClr val="000080"/>
              </a:solidFill>
              <a:ln>
                <a:solidFill>
                  <a:srgbClr val="FFCC00"/>
                </a:solidFill>
                <a:prstDash val="dashDot"/>
              </a:ln>
            </c:spPr>
          </c:marker>
          <c:cat>
            <c:strRef>
              <c:f>Etappes!$AC$21:$AX$21</c:f>
              <c:strCache>
                <c:ptCount val="21"/>
                <c:pt idx="0">
                  <c:v>1</c:v>
                </c:pt>
                <c:pt idx="1">
                  <c:v>2</c:v>
                </c:pt>
                <c:pt idx="2">
                  <c:v>3</c:v>
                </c:pt>
                <c:pt idx="3">
                  <c:v>4</c:v>
                </c:pt>
                <c:pt idx="4">
                  <c:v>5</c:v>
                </c:pt>
                <c:pt idx="5">
                  <c:v>6</c:v>
                </c:pt>
                <c:pt idx="6">
                  <c:v>7</c:v>
                </c:pt>
                <c:pt idx="7">
                  <c:v>8</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Etappes!$AC$31:$AX$31</c:f>
              <c:numCache>
                <c:formatCode>0</c:formatCode>
                <c:ptCount val="21"/>
                <c:pt idx="0">
                  <c:v>10</c:v>
                </c:pt>
                <c:pt idx="1">
                  <c:v>-45.636363636363626</c:v>
                </c:pt>
                <c:pt idx="2">
                  <c:v>-60.818181818181813</c:v>
                </c:pt>
                <c:pt idx="3">
                  <c:v>-108.81818181818181</c:v>
                </c:pt>
                <c:pt idx="4">
                  <c:v>-130.18181818181813</c:v>
                </c:pt>
                <c:pt idx="5">
                  <c:v>-150.27272727272725</c:v>
                </c:pt>
                <c:pt idx="6">
                  <c:v>-229.4545454545455</c:v>
                </c:pt>
                <c:pt idx="7">
                  <c:v>-219.09090909090901</c:v>
                </c:pt>
                <c:pt idx="8">
                  <c:v>-206.54545454545462</c:v>
                </c:pt>
                <c:pt idx="9">
                  <c:v>-184.72727272727298</c:v>
                </c:pt>
                <c:pt idx="10">
                  <c:v>-183.72727272727298</c:v>
                </c:pt>
                <c:pt idx="11">
                  <c:v>-194.36363636363672</c:v>
                </c:pt>
                <c:pt idx="12">
                  <c:v>-196.27272727272725</c:v>
                </c:pt>
                <c:pt idx="13">
                  <c:v>-232.5454545454545</c:v>
                </c:pt>
                <c:pt idx="14">
                  <c:v>-227.36363636363626</c:v>
                </c:pt>
                <c:pt idx="15">
                  <c:v>-209.63636363636351</c:v>
                </c:pt>
                <c:pt idx="16">
                  <c:v>-175.18181818181779</c:v>
                </c:pt>
                <c:pt idx="17">
                  <c:v>-140.09090909090855</c:v>
                </c:pt>
                <c:pt idx="18">
                  <c:v>-158.09090909090855</c:v>
                </c:pt>
                <c:pt idx="19">
                  <c:v>-201.81818181818153</c:v>
                </c:pt>
                <c:pt idx="20">
                  <c:v>-124.09090909090855</c:v>
                </c:pt>
              </c:numCache>
            </c:numRef>
          </c:val>
        </c:ser>
        <c:ser>
          <c:idx val="1"/>
          <c:order val="10"/>
          <c:tx>
            <c:strRef>
              <c:f>Etappes!$AB$32</c:f>
              <c:strCache>
                <c:ptCount val="1"/>
                <c:pt idx="0">
                  <c:v>IJffjes Boys</c:v>
                </c:pt>
              </c:strCache>
            </c:strRef>
          </c:tx>
          <c:spPr>
            <a:ln w="38100">
              <a:solidFill>
                <a:srgbClr val="FF00FF"/>
              </a:solidFill>
              <a:prstDash val="solid"/>
            </a:ln>
          </c:spPr>
          <c:marker>
            <c:symbol val="plus"/>
            <c:size val="5"/>
            <c:spPr>
              <a:noFill/>
              <a:ln>
                <a:solidFill>
                  <a:srgbClr val="FFFF00"/>
                </a:solidFill>
                <a:prstDash val="solid"/>
              </a:ln>
            </c:spPr>
          </c:marker>
          <c:cat>
            <c:strRef>
              <c:f>Etappes!$AC$21:$AX$21</c:f>
              <c:strCache>
                <c:ptCount val="21"/>
                <c:pt idx="0">
                  <c:v>1</c:v>
                </c:pt>
                <c:pt idx="1">
                  <c:v>2</c:v>
                </c:pt>
                <c:pt idx="2">
                  <c:v>3</c:v>
                </c:pt>
                <c:pt idx="3">
                  <c:v>4</c:v>
                </c:pt>
                <c:pt idx="4">
                  <c:v>5</c:v>
                </c:pt>
                <c:pt idx="5">
                  <c:v>6</c:v>
                </c:pt>
                <c:pt idx="6">
                  <c:v>7</c:v>
                </c:pt>
                <c:pt idx="7">
                  <c:v>8</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Etappes!$AC$32:$AX$32</c:f>
              <c:numCache>
                <c:formatCode>0</c:formatCode>
                <c:ptCount val="21"/>
                <c:pt idx="0">
                  <c:v>-12</c:v>
                </c:pt>
                <c:pt idx="1">
                  <c:v>-108.63636363636363</c:v>
                </c:pt>
                <c:pt idx="2">
                  <c:v>-83.818181818181813</c:v>
                </c:pt>
                <c:pt idx="3">
                  <c:v>-120.81818181818181</c:v>
                </c:pt>
                <c:pt idx="4">
                  <c:v>-241.18181818181813</c:v>
                </c:pt>
                <c:pt idx="5">
                  <c:v>-280.27272727272725</c:v>
                </c:pt>
                <c:pt idx="6">
                  <c:v>-383.4545454545455</c:v>
                </c:pt>
                <c:pt idx="7">
                  <c:v>-393.09090909090901</c:v>
                </c:pt>
                <c:pt idx="8">
                  <c:v>-378.54545454545462</c:v>
                </c:pt>
                <c:pt idx="9">
                  <c:v>-354.72727272727286</c:v>
                </c:pt>
                <c:pt idx="10">
                  <c:v>-372.72727272727286</c:v>
                </c:pt>
                <c:pt idx="11">
                  <c:v>-383.36363636363672</c:v>
                </c:pt>
                <c:pt idx="12">
                  <c:v>-437.27272727272725</c:v>
                </c:pt>
                <c:pt idx="13">
                  <c:v>-519.5454545454545</c:v>
                </c:pt>
                <c:pt idx="14">
                  <c:v>-555.36363636363626</c:v>
                </c:pt>
                <c:pt idx="15">
                  <c:v>-543.63636363636351</c:v>
                </c:pt>
                <c:pt idx="16">
                  <c:v>-561.18181818181779</c:v>
                </c:pt>
                <c:pt idx="17">
                  <c:v>-563.09090909090855</c:v>
                </c:pt>
                <c:pt idx="18">
                  <c:v>-571.09090909090855</c:v>
                </c:pt>
                <c:pt idx="19">
                  <c:v>-675.81818181818153</c:v>
                </c:pt>
                <c:pt idx="20">
                  <c:v>-649.09090909090855</c:v>
                </c:pt>
              </c:numCache>
            </c:numRef>
          </c:val>
        </c:ser>
        <c:marker val="1"/>
        <c:axId val="72030464"/>
        <c:axId val="72040448"/>
      </c:lineChart>
      <c:catAx>
        <c:axId val="72030464"/>
        <c:scaling>
          <c:orientation val="minMax"/>
        </c:scaling>
        <c:axPos val="b"/>
        <c:numFmt formatCode="General" sourceLinked="1"/>
        <c:tickLblPos val="low"/>
        <c:spPr>
          <a:ln w="3175">
            <a:solidFill>
              <a:srgbClr val="FFFFFF"/>
            </a:solidFill>
            <a:prstDash val="solid"/>
          </a:ln>
        </c:spPr>
        <c:txPr>
          <a:bodyPr rot="0" vert="horz"/>
          <a:lstStyle/>
          <a:p>
            <a:pPr>
              <a:defRPr sz="950" b="1" i="1" u="none" strike="noStrike" baseline="0">
                <a:solidFill>
                  <a:srgbClr val="FFFFFF"/>
                </a:solidFill>
                <a:latin typeface="Arial"/>
                <a:ea typeface="Arial"/>
                <a:cs typeface="Arial"/>
              </a:defRPr>
            </a:pPr>
            <a:endParaRPr lang="nl-NL"/>
          </a:p>
        </c:txPr>
        <c:crossAx val="72040448"/>
        <c:crosses val="autoZero"/>
        <c:auto val="1"/>
        <c:lblAlgn val="ctr"/>
        <c:lblOffset val="100"/>
        <c:tickLblSkip val="1"/>
        <c:tickMarkSkip val="1"/>
      </c:catAx>
      <c:valAx>
        <c:axId val="72040448"/>
        <c:scaling>
          <c:orientation val="minMax"/>
          <c:max val="450"/>
          <c:min val="-150"/>
        </c:scaling>
        <c:axPos val="l"/>
        <c:majorGridlines>
          <c:spPr>
            <a:ln w="12700">
              <a:solidFill>
                <a:srgbClr val="99CC00"/>
              </a:solidFill>
              <a:prstDash val="sysDot"/>
            </a:ln>
          </c:spPr>
        </c:majorGridlines>
        <c:numFmt formatCode="0" sourceLinked="0"/>
        <c:tickLblPos val="high"/>
        <c:spPr>
          <a:ln w="9525">
            <a:noFill/>
          </a:ln>
        </c:spPr>
        <c:txPr>
          <a:bodyPr rot="0" vert="horz"/>
          <a:lstStyle/>
          <a:p>
            <a:pPr>
              <a:defRPr sz="950" b="1" i="1" u="none" strike="noStrike" baseline="0">
                <a:solidFill>
                  <a:srgbClr val="FFFFFF"/>
                </a:solidFill>
                <a:latin typeface="Arial"/>
                <a:ea typeface="Arial"/>
                <a:cs typeface="Arial"/>
              </a:defRPr>
            </a:pPr>
            <a:endParaRPr lang="nl-NL"/>
          </a:p>
        </c:txPr>
        <c:crossAx val="72030464"/>
        <c:crosses val="autoZero"/>
        <c:crossBetween val="midCat"/>
      </c:valAx>
      <c:spPr>
        <a:noFill/>
        <a:ln w="25400">
          <a:noFill/>
        </a:ln>
      </c:spPr>
    </c:plotArea>
    <c:legend>
      <c:legendPos val="r"/>
      <c:layout>
        <c:manualLayout>
          <c:xMode val="edge"/>
          <c:yMode val="edge"/>
          <c:x val="6.652878317821441E-2"/>
          <c:y val="0.89943502824859112"/>
          <c:w val="0.82597040933482413"/>
          <c:h val="8.4745762711865236E-2"/>
        </c:manualLayout>
      </c:layout>
      <c:spPr>
        <a:solidFill>
          <a:srgbClr val="333333">
            <a:alpha val="50196"/>
          </a:srgbClr>
        </a:solidFill>
        <a:ln w="3175">
          <a:noFill/>
          <a:prstDash val="solid"/>
        </a:ln>
      </c:spPr>
      <c:txPr>
        <a:bodyPr/>
        <a:lstStyle/>
        <a:p>
          <a:pPr>
            <a:defRPr sz="735" b="1" i="1" u="none" strike="noStrike" baseline="0">
              <a:solidFill>
                <a:srgbClr val="FFFFFF"/>
              </a:solidFill>
              <a:latin typeface="Arial"/>
              <a:ea typeface="Arial"/>
              <a:cs typeface="Arial"/>
            </a:defRPr>
          </a:pPr>
          <a:endParaRPr lang="nl-NL"/>
        </a:p>
      </c:txPr>
    </c:legend>
    <c:plotVisOnly val="1"/>
    <c:dispBlanksAs val="gap"/>
  </c:chart>
  <c:spPr>
    <a:solidFill>
      <a:srgbClr val="000000"/>
    </a:solidFill>
    <a:ln w="9525">
      <a:noFill/>
    </a:ln>
  </c:spPr>
  <c:txPr>
    <a:bodyPr/>
    <a:lstStyle/>
    <a:p>
      <a:pPr>
        <a:defRPr sz="950" b="0" i="0" u="none" strike="noStrike" baseline="0">
          <a:solidFill>
            <a:srgbClr val="000000"/>
          </a:solidFill>
          <a:latin typeface="Arial"/>
          <a:ea typeface="Arial"/>
          <a:cs typeface="Arial"/>
        </a:defRPr>
      </a:pPr>
      <a:endParaRPr lang="nl-NL"/>
    </a:p>
  </c:txPr>
</c:chartSpace>
</file>

<file path=xl/charts/chart2.xml><?xml version="1.0" encoding="utf-8"?>
<c:chartSpace xmlns:c="http://schemas.openxmlformats.org/drawingml/2006/chart" xmlns:a="http://schemas.openxmlformats.org/drawingml/2006/main" xmlns:r="http://schemas.openxmlformats.org/officeDocument/2006/relationships">
  <c:lang val="nl-NL"/>
  <c:chart>
    <c:title>
      <c:tx>
        <c:rich>
          <a:bodyPr/>
          <a:lstStyle/>
          <a:p>
            <a:pPr>
              <a:defRPr sz="1600" b="1" i="0" u="none" strike="noStrike" baseline="0">
                <a:solidFill>
                  <a:srgbClr val="FFFF00"/>
                </a:solidFill>
                <a:latin typeface="Arial"/>
                <a:ea typeface="Arial"/>
                <a:cs typeface="Arial"/>
              </a:defRPr>
            </a:pPr>
            <a:r>
              <a:rPr lang="nl-NL"/>
              <a:t>TourToto 2015 - het rechterrijtje</a:t>
            </a:r>
          </a:p>
        </c:rich>
      </c:tx>
      <c:layout>
        <c:manualLayout>
          <c:xMode val="edge"/>
          <c:yMode val="edge"/>
          <c:x val="0.33092037228543986"/>
          <c:y val="2.0338983050847428E-2"/>
        </c:manualLayout>
      </c:layout>
      <c:spPr>
        <a:noFill/>
        <a:ln w="25400">
          <a:noFill/>
        </a:ln>
      </c:spPr>
    </c:title>
    <c:plotArea>
      <c:layout>
        <c:manualLayout>
          <c:layoutTarget val="inner"/>
          <c:xMode val="edge"/>
          <c:yMode val="edge"/>
          <c:x val="1.9648397104446741E-2"/>
          <c:y val="0.10508474576271544"/>
          <c:w val="0.93726301275422252"/>
          <c:h val="0.7525423728813555"/>
        </c:manualLayout>
      </c:layout>
      <c:lineChart>
        <c:grouping val="standard"/>
        <c:ser>
          <c:idx val="3"/>
          <c:order val="0"/>
          <c:tx>
            <c:strRef>
              <c:f>Etappes!$AB$22</c:f>
              <c:strCache>
                <c:ptCount val="1"/>
                <c:pt idx="0">
                  <c:v>El Gran</c:v>
                </c:pt>
              </c:strCache>
            </c:strRef>
          </c:tx>
          <c:spPr>
            <a:ln w="25400">
              <a:solidFill>
                <a:srgbClr val="00FFFF"/>
              </a:solidFill>
              <a:prstDash val="solid"/>
            </a:ln>
          </c:spPr>
          <c:marker>
            <c:symbol val="x"/>
            <c:size val="7"/>
            <c:spPr>
              <a:noFill/>
              <a:ln>
                <a:solidFill>
                  <a:srgbClr val="00FFFF"/>
                </a:solidFill>
                <a:prstDash val="solid"/>
              </a:ln>
            </c:spPr>
          </c:marker>
          <c:cat>
            <c:strRef>
              <c:f>Etappes!$AC$21:$AX$21</c:f>
              <c:strCache>
                <c:ptCount val="21"/>
                <c:pt idx="0">
                  <c:v>1</c:v>
                </c:pt>
                <c:pt idx="1">
                  <c:v>2</c:v>
                </c:pt>
                <c:pt idx="2">
                  <c:v>3</c:v>
                </c:pt>
                <c:pt idx="3">
                  <c:v>4</c:v>
                </c:pt>
                <c:pt idx="4">
                  <c:v>5</c:v>
                </c:pt>
                <c:pt idx="5">
                  <c:v>6</c:v>
                </c:pt>
                <c:pt idx="6">
                  <c:v>7</c:v>
                </c:pt>
                <c:pt idx="7">
                  <c:v>8</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Etappes!$AC$22:$AX$22</c:f>
              <c:numCache>
                <c:formatCode>0</c:formatCode>
                <c:ptCount val="21"/>
                <c:pt idx="0">
                  <c:v>16</c:v>
                </c:pt>
                <c:pt idx="1">
                  <c:v>91.363636363636374</c:v>
                </c:pt>
                <c:pt idx="2">
                  <c:v>117.18181818181819</c:v>
                </c:pt>
                <c:pt idx="3">
                  <c:v>167.18181818181819</c:v>
                </c:pt>
                <c:pt idx="4">
                  <c:v>209.81818181818187</c:v>
                </c:pt>
                <c:pt idx="5">
                  <c:v>233.72727272727275</c:v>
                </c:pt>
                <c:pt idx="6">
                  <c:v>268.5454545454545</c:v>
                </c:pt>
                <c:pt idx="7">
                  <c:v>272.90909090909099</c:v>
                </c:pt>
                <c:pt idx="8">
                  <c:v>266.45454545454527</c:v>
                </c:pt>
                <c:pt idx="9">
                  <c:v>207.27272727272702</c:v>
                </c:pt>
                <c:pt idx="10">
                  <c:v>192.27272727272702</c:v>
                </c:pt>
                <c:pt idx="11">
                  <c:v>203.63636363636328</c:v>
                </c:pt>
                <c:pt idx="12">
                  <c:v>251.72727272727275</c:v>
                </c:pt>
                <c:pt idx="13">
                  <c:v>258.4545454545455</c:v>
                </c:pt>
                <c:pt idx="14">
                  <c:v>255.63636363636374</c:v>
                </c:pt>
                <c:pt idx="15">
                  <c:v>240.36363636363649</c:v>
                </c:pt>
                <c:pt idx="16">
                  <c:v>220.81818181818221</c:v>
                </c:pt>
                <c:pt idx="17">
                  <c:v>188.90909090909145</c:v>
                </c:pt>
                <c:pt idx="18">
                  <c:v>204.90909090909145</c:v>
                </c:pt>
                <c:pt idx="19">
                  <c:v>201.18181818181847</c:v>
                </c:pt>
                <c:pt idx="20">
                  <c:v>130.90909090909145</c:v>
                </c:pt>
              </c:numCache>
            </c:numRef>
          </c:val>
        </c:ser>
        <c:ser>
          <c:idx val="8"/>
          <c:order val="1"/>
          <c:tx>
            <c:strRef>
              <c:f>Etappes!$AB$23</c:f>
              <c:strCache>
                <c:ptCount val="1"/>
                <c:pt idx="0">
                  <c:v>Mahawat</c:v>
                </c:pt>
              </c:strCache>
            </c:strRef>
          </c:tx>
          <c:spPr>
            <a:ln w="19050">
              <a:solidFill>
                <a:srgbClr val="FF9900"/>
              </a:solidFill>
              <a:prstDash val="solid"/>
            </a:ln>
          </c:spPr>
          <c:marker>
            <c:symbol val="dash"/>
            <c:size val="7"/>
            <c:spPr>
              <a:noFill/>
              <a:ln w="19050">
                <a:solidFill>
                  <a:srgbClr val="00CCFF"/>
                </a:solidFill>
                <a:prstDash val="solid"/>
              </a:ln>
            </c:spPr>
          </c:marker>
          <c:cat>
            <c:strRef>
              <c:f>Etappes!$AC$21:$AX$21</c:f>
              <c:strCache>
                <c:ptCount val="21"/>
                <c:pt idx="0">
                  <c:v>1</c:v>
                </c:pt>
                <c:pt idx="1">
                  <c:v>2</c:v>
                </c:pt>
                <c:pt idx="2">
                  <c:v>3</c:v>
                </c:pt>
                <c:pt idx="3">
                  <c:v>4</c:v>
                </c:pt>
                <c:pt idx="4">
                  <c:v>5</c:v>
                </c:pt>
                <c:pt idx="5">
                  <c:v>6</c:v>
                </c:pt>
                <c:pt idx="6">
                  <c:v>7</c:v>
                </c:pt>
                <c:pt idx="7">
                  <c:v>8</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Etappes!$AC$23:$AX$23</c:f>
              <c:numCache>
                <c:formatCode>0</c:formatCode>
                <c:ptCount val="21"/>
                <c:pt idx="0">
                  <c:v>71</c:v>
                </c:pt>
                <c:pt idx="1">
                  <c:v>147.36363636363637</c:v>
                </c:pt>
                <c:pt idx="2">
                  <c:v>129.18181818181819</c:v>
                </c:pt>
                <c:pt idx="3">
                  <c:v>177.18181818181819</c:v>
                </c:pt>
                <c:pt idx="4">
                  <c:v>215.81818181818187</c:v>
                </c:pt>
                <c:pt idx="5">
                  <c:v>228.72727272727275</c:v>
                </c:pt>
                <c:pt idx="6">
                  <c:v>250.5454545454545</c:v>
                </c:pt>
                <c:pt idx="7">
                  <c:v>240.90909090909099</c:v>
                </c:pt>
                <c:pt idx="8">
                  <c:v>263.45454545454527</c:v>
                </c:pt>
                <c:pt idx="9">
                  <c:v>288.27272727272702</c:v>
                </c:pt>
                <c:pt idx="10">
                  <c:v>271.27272727272702</c:v>
                </c:pt>
                <c:pt idx="11">
                  <c:v>278.63636363636328</c:v>
                </c:pt>
                <c:pt idx="12">
                  <c:v>258.72727272727275</c:v>
                </c:pt>
                <c:pt idx="13">
                  <c:v>295.4545454545455</c:v>
                </c:pt>
                <c:pt idx="14">
                  <c:v>308.63636363636374</c:v>
                </c:pt>
                <c:pt idx="15">
                  <c:v>330.36363636363649</c:v>
                </c:pt>
                <c:pt idx="16">
                  <c:v>303.81818181818221</c:v>
                </c:pt>
                <c:pt idx="17">
                  <c:v>299.90909090909145</c:v>
                </c:pt>
                <c:pt idx="18">
                  <c:v>324.90909090909145</c:v>
                </c:pt>
                <c:pt idx="19">
                  <c:v>372.18181818181847</c:v>
                </c:pt>
                <c:pt idx="20">
                  <c:v>359.90909090909145</c:v>
                </c:pt>
              </c:numCache>
            </c:numRef>
          </c:val>
        </c:ser>
        <c:ser>
          <c:idx val="7"/>
          <c:order val="2"/>
          <c:tx>
            <c:strRef>
              <c:f>Etappes!$AB$24</c:f>
              <c:strCache>
                <c:ptCount val="1"/>
                <c:pt idx="0">
                  <c:v>Van Lego kun je alles maken</c:v>
                </c:pt>
              </c:strCache>
            </c:strRef>
          </c:tx>
          <c:spPr>
            <a:ln w="38100">
              <a:solidFill>
                <a:srgbClr val="0000FF"/>
              </a:solidFill>
              <a:prstDash val="solid"/>
            </a:ln>
          </c:spPr>
          <c:marker>
            <c:symbol val="circle"/>
            <c:size val="5"/>
            <c:spPr>
              <a:solidFill>
                <a:srgbClr val="FF0000"/>
              </a:solidFill>
              <a:ln>
                <a:solidFill>
                  <a:srgbClr val="0000FF"/>
                </a:solidFill>
                <a:prstDash val="solid"/>
              </a:ln>
            </c:spPr>
          </c:marker>
          <c:cat>
            <c:strRef>
              <c:f>Etappes!$AC$21:$AX$21</c:f>
              <c:strCache>
                <c:ptCount val="21"/>
                <c:pt idx="0">
                  <c:v>1</c:v>
                </c:pt>
                <c:pt idx="1">
                  <c:v>2</c:v>
                </c:pt>
                <c:pt idx="2">
                  <c:v>3</c:v>
                </c:pt>
                <c:pt idx="3">
                  <c:v>4</c:v>
                </c:pt>
                <c:pt idx="4">
                  <c:v>5</c:v>
                </c:pt>
                <c:pt idx="5">
                  <c:v>6</c:v>
                </c:pt>
                <c:pt idx="6">
                  <c:v>7</c:v>
                </c:pt>
                <c:pt idx="7">
                  <c:v>8</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Etappes!$AC$24:$AX$24</c:f>
              <c:numCache>
                <c:formatCode>0</c:formatCode>
                <c:ptCount val="21"/>
                <c:pt idx="0">
                  <c:v>13</c:v>
                </c:pt>
                <c:pt idx="1">
                  <c:v>62.363636363636374</c:v>
                </c:pt>
                <c:pt idx="2">
                  <c:v>69.181818181818187</c:v>
                </c:pt>
                <c:pt idx="3">
                  <c:v>71.181818181818187</c:v>
                </c:pt>
                <c:pt idx="4">
                  <c:v>118.81818181818187</c:v>
                </c:pt>
                <c:pt idx="5">
                  <c:v>132.72727272727275</c:v>
                </c:pt>
                <c:pt idx="6">
                  <c:v>193.5454545454545</c:v>
                </c:pt>
                <c:pt idx="7">
                  <c:v>201.90909090909099</c:v>
                </c:pt>
                <c:pt idx="8">
                  <c:v>201.45454545454527</c:v>
                </c:pt>
                <c:pt idx="9">
                  <c:v>222.27272727272702</c:v>
                </c:pt>
                <c:pt idx="10">
                  <c:v>238.27272727272702</c:v>
                </c:pt>
                <c:pt idx="11">
                  <c:v>238.63636363636328</c:v>
                </c:pt>
                <c:pt idx="12">
                  <c:v>243.72727272727275</c:v>
                </c:pt>
                <c:pt idx="13">
                  <c:v>268.4545454545455</c:v>
                </c:pt>
                <c:pt idx="14">
                  <c:v>273.63636363636374</c:v>
                </c:pt>
                <c:pt idx="15">
                  <c:v>255.36363636363649</c:v>
                </c:pt>
                <c:pt idx="16">
                  <c:v>259.81818181818221</c:v>
                </c:pt>
                <c:pt idx="17">
                  <c:v>278.90909090909145</c:v>
                </c:pt>
                <c:pt idx="18">
                  <c:v>319.90909090909145</c:v>
                </c:pt>
                <c:pt idx="19">
                  <c:v>381.18181818181847</c:v>
                </c:pt>
                <c:pt idx="20">
                  <c:v>401.90909090909145</c:v>
                </c:pt>
              </c:numCache>
            </c:numRef>
          </c:val>
        </c:ser>
        <c:ser>
          <c:idx val="6"/>
          <c:order val="3"/>
          <c:tx>
            <c:strRef>
              <c:f>Etappes!$AB$25</c:f>
              <c:strCache>
                <c:ptCount val="1"/>
                <c:pt idx="0">
                  <c:v>De Lange Man</c:v>
                </c:pt>
              </c:strCache>
            </c:strRef>
          </c:tx>
          <c:spPr>
            <a:ln w="38100">
              <a:solidFill>
                <a:srgbClr val="00FF00"/>
              </a:solidFill>
              <a:prstDash val="sysDot"/>
            </a:ln>
          </c:spPr>
          <c:marker>
            <c:symbol val="circle"/>
            <c:size val="6"/>
            <c:spPr>
              <a:solidFill>
                <a:srgbClr val="FFFF00"/>
              </a:solidFill>
              <a:ln>
                <a:solidFill>
                  <a:srgbClr val="008080"/>
                </a:solidFill>
                <a:prstDash val="sysDot"/>
              </a:ln>
            </c:spPr>
          </c:marker>
          <c:cat>
            <c:strRef>
              <c:f>Etappes!$AC$21:$AX$21</c:f>
              <c:strCache>
                <c:ptCount val="21"/>
                <c:pt idx="0">
                  <c:v>1</c:v>
                </c:pt>
                <c:pt idx="1">
                  <c:v>2</c:v>
                </c:pt>
                <c:pt idx="2">
                  <c:v>3</c:v>
                </c:pt>
                <c:pt idx="3">
                  <c:v>4</c:v>
                </c:pt>
                <c:pt idx="4">
                  <c:v>5</c:v>
                </c:pt>
                <c:pt idx="5">
                  <c:v>6</c:v>
                </c:pt>
                <c:pt idx="6">
                  <c:v>7</c:v>
                </c:pt>
                <c:pt idx="7">
                  <c:v>8</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Etappes!$AC$25:$AX$25</c:f>
              <c:numCache>
                <c:formatCode>0</c:formatCode>
                <c:ptCount val="21"/>
                <c:pt idx="0">
                  <c:v>14</c:v>
                </c:pt>
                <c:pt idx="1">
                  <c:v>25.363636363636374</c:v>
                </c:pt>
                <c:pt idx="2">
                  <c:v>40.181818181818187</c:v>
                </c:pt>
                <c:pt idx="3">
                  <c:v>78.181818181818187</c:v>
                </c:pt>
                <c:pt idx="4">
                  <c:v>126.81818181818187</c:v>
                </c:pt>
                <c:pt idx="5">
                  <c:v>152.72727272727275</c:v>
                </c:pt>
                <c:pt idx="6">
                  <c:v>153.5454545454545</c:v>
                </c:pt>
                <c:pt idx="7">
                  <c:v>145.90909090909099</c:v>
                </c:pt>
                <c:pt idx="8">
                  <c:v>161.45454545454527</c:v>
                </c:pt>
                <c:pt idx="9">
                  <c:v>136.27272727272702</c:v>
                </c:pt>
                <c:pt idx="10">
                  <c:v>139.27272727272702</c:v>
                </c:pt>
                <c:pt idx="11">
                  <c:v>152.63636363636328</c:v>
                </c:pt>
                <c:pt idx="12">
                  <c:v>127.72727272727275</c:v>
                </c:pt>
                <c:pt idx="13">
                  <c:v>183.4545454545455</c:v>
                </c:pt>
                <c:pt idx="14">
                  <c:v>194.63636363636374</c:v>
                </c:pt>
                <c:pt idx="15">
                  <c:v>139.36363636363649</c:v>
                </c:pt>
                <c:pt idx="16">
                  <c:v>158.81818181818221</c:v>
                </c:pt>
                <c:pt idx="17">
                  <c:v>141.90909090909145</c:v>
                </c:pt>
                <c:pt idx="18">
                  <c:v>110.90909090909145</c:v>
                </c:pt>
                <c:pt idx="19">
                  <c:v>136.18181818181847</c:v>
                </c:pt>
                <c:pt idx="20">
                  <c:v>131.90909090909145</c:v>
                </c:pt>
              </c:numCache>
            </c:numRef>
          </c:val>
        </c:ser>
        <c:ser>
          <c:idx val="4"/>
          <c:order val="4"/>
          <c:tx>
            <c:strRef>
              <c:f>Etappes!$AB$26</c:f>
              <c:strCache>
                <c:ptCount val="1"/>
                <c:pt idx="0">
                  <c:v>TinTopTeam</c:v>
                </c:pt>
              </c:strCache>
            </c:strRef>
          </c:tx>
          <c:spPr>
            <a:ln w="38100">
              <a:solidFill>
                <a:srgbClr val="800080"/>
              </a:solidFill>
              <a:prstDash val="solid"/>
            </a:ln>
          </c:spPr>
          <c:marker>
            <c:symbol val="diamond"/>
            <c:size val="5"/>
            <c:spPr>
              <a:solidFill>
                <a:srgbClr val="800080"/>
              </a:solidFill>
              <a:ln>
                <a:solidFill>
                  <a:srgbClr val="FFFF00"/>
                </a:solidFill>
                <a:prstDash val="solid"/>
              </a:ln>
            </c:spPr>
          </c:marker>
          <c:cat>
            <c:strRef>
              <c:f>Etappes!$AC$21:$AX$21</c:f>
              <c:strCache>
                <c:ptCount val="21"/>
                <c:pt idx="0">
                  <c:v>1</c:v>
                </c:pt>
                <c:pt idx="1">
                  <c:v>2</c:v>
                </c:pt>
                <c:pt idx="2">
                  <c:v>3</c:v>
                </c:pt>
                <c:pt idx="3">
                  <c:v>4</c:v>
                </c:pt>
                <c:pt idx="4">
                  <c:v>5</c:v>
                </c:pt>
                <c:pt idx="5">
                  <c:v>6</c:v>
                </c:pt>
                <c:pt idx="6">
                  <c:v>7</c:v>
                </c:pt>
                <c:pt idx="7">
                  <c:v>8</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Etappes!$AC$26:$AX$26</c:f>
              <c:numCache>
                <c:formatCode>0</c:formatCode>
                <c:ptCount val="21"/>
                <c:pt idx="0">
                  <c:v>-36</c:v>
                </c:pt>
                <c:pt idx="1">
                  <c:v>-65.636363636363626</c:v>
                </c:pt>
                <c:pt idx="2">
                  <c:v>-56.818181818181813</c:v>
                </c:pt>
                <c:pt idx="3">
                  <c:v>-47.818181818181813</c:v>
                </c:pt>
                <c:pt idx="4">
                  <c:v>-37.18181818181813</c:v>
                </c:pt>
                <c:pt idx="5">
                  <c:v>-3.2727272727272521</c:v>
                </c:pt>
                <c:pt idx="6">
                  <c:v>2.5454545454545041</c:v>
                </c:pt>
                <c:pt idx="7">
                  <c:v>18.909090909090992</c:v>
                </c:pt>
                <c:pt idx="8">
                  <c:v>17.454545454545269</c:v>
                </c:pt>
                <c:pt idx="9">
                  <c:v>50.272727272727025</c:v>
                </c:pt>
                <c:pt idx="10">
                  <c:v>107.27272727272702</c:v>
                </c:pt>
                <c:pt idx="11">
                  <c:v>114.63636363636328</c:v>
                </c:pt>
                <c:pt idx="12">
                  <c:v>117.72727272727275</c:v>
                </c:pt>
                <c:pt idx="13">
                  <c:v>145.4545454545455</c:v>
                </c:pt>
                <c:pt idx="14">
                  <c:v>154.63636363636374</c:v>
                </c:pt>
                <c:pt idx="15">
                  <c:v>163.36363636363649</c:v>
                </c:pt>
                <c:pt idx="16">
                  <c:v>203.81818181818221</c:v>
                </c:pt>
                <c:pt idx="17">
                  <c:v>212.90909090909145</c:v>
                </c:pt>
                <c:pt idx="18">
                  <c:v>214.90909090909145</c:v>
                </c:pt>
                <c:pt idx="19">
                  <c:v>252.18181818181847</c:v>
                </c:pt>
                <c:pt idx="20">
                  <c:v>257.90909090909145</c:v>
                </c:pt>
              </c:numCache>
            </c:numRef>
          </c:val>
        </c:ser>
        <c:ser>
          <c:idx val="9"/>
          <c:order val="5"/>
          <c:tx>
            <c:strRef>
              <c:f>Etappes!$AB$27</c:f>
              <c:strCache>
                <c:ptCount val="1"/>
                <c:pt idx="0">
                  <c:v>wadaf*ckers</c:v>
                </c:pt>
              </c:strCache>
            </c:strRef>
          </c:tx>
          <c:spPr>
            <a:ln>
              <a:prstDash val="lgDash"/>
            </a:ln>
          </c:spPr>
          <c:marker>
            <c:spPr>
              <a:ln>
                <a:prstDash val="lgDash"/>
              </a:ln>
            </c:spPr>
          </c:marker>
          <c:cat>
            <c:strRef>
              <c:f>Etappes!$AC$21:$AX$21</c:f>
              <c:strCache>
                <c:ptCount val="21"/>
                <c:pt idx="0">
                  <c:v>1</c:v>
                </c:pt>
                <c:pt idx="1">
                  <c:v>2</c:v>
                </c:pt>
                <c:pt idx="2">
                  <c:v>3</c:v>
                </c:pt>
                <c:pt idx="3">
                  <c:v>4</c:v>
                </c:pt>
                <c:pt idx="4">
                  <c:v>5</c:v>
                </c:pt>
                <c:pt idx="5">
                  <c:v>6</c:v>
                </c:pt>
                <c:pt idx="6">
                  <c:v>7</c:v>
                </c:pt>
                <c:pt idx="7">
                  <c:v>8</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Etappes!$AC$27:$AX$27</c:f>
              <c:numCache>
                <c:formatCode>0</c:formatCode>
                <c:ptCount val="21"/>
                <c:pt idx="0">
                  <c:v>-5</c:v>
                </c:pt>
                <c:pt idx="1">
                  <c:v>-34.636363636363626</c:v>
                </c:pt>
                <c:pt idx="2">
                  <c:v>-43.818181818181813</c:v>
                </c:pt>
                <c:pt idx="3">
                  <c:v>-66.818181818181813</c:v>
                </c:pt>
                <c:pt idx="4">
                  <c:v>-64.18181818181813</c:v>
                </c:pt>
                <c:pt idx="5">
                  <c:v>-60.272727272727252</c:v>
                </c:pt>
                <c:pt idx="6">
                  <c:v>-19.454545454545496</c:v>
                </c:pt>
                <c:pt idx="7">
                  <c:v>-23.090909090909008</c:v>
                </c:pt>
                <c:pt idx="8">
                  <c:v>-47.545454545454731</c:v>
                </c:pt>
                <c:pt idx="9">
                  <c:v>-73.727272727272975</c:v>
                </c:pt>
                <c:pt idx="10">
                  <c:v>-73.727272727272975</c:v>
                </c:pt>
                <c:pt idx="11">
                  <c:v>-70.363636363636715</c:v>
                </c:pt>
                <c:pt idx="12">
                  <c:v>-70.272727272727252</c:v>
                </c:pt>
                <c:pt idx="13">
                  <c:v>-61.545454545454504</c:v>
                </c:pt>
                <c:pt idx="14">
                  <c:v>-61.36363636363626</c:v>
                </c:pt>
                <c:pt idx="15">
                  <c:v>-67.636363636363512</c:v>
                </c:pt>
                <c:pt idx="16">
                  <c:v>-81.181818181817789</c:v>
                </c:pt>
                <c:pt idx="17">
                  <c:v>-79.090909090908553</c:v>
                </c:pt>
                <c:pt idx="18">
                  <c:v>-82.090909090908553</c:v>
                </c:pt>
                <c:pt idx="19">
                  <c:v>-67.818181818181529</c:v>
                </c:pt>
                <c:pt idx="20">
                  <c:v>-57.090909090908553</c:v>
                </c:pt>
              </c:numCache>
            </c:numRef>
          </c:val>
        </c:ser>
        <c:ser>
          <c:idx val="5"/>
          <c:order val="6"/>
          <c:tx>
            <c:strRef>
              <c:f>Etappes!$AB$28</c:f>
              <c:strCache>
                <c:ptCount val="1"/>
                <c:pt idx="0">
                  <c:v>Equipe l'Ami</c:v>
                </c:pt>
              </c:strCache>
            </c:strRef>
          </c:tx>
          <c:spPr>
            <a:ln w="28575">
              <a:solidFill>
                <a:schemeClr val="tx2">
                  <a:lumMod val="60000"/>
                  <a:lumOff val="40000"/>
                </a:schemeClr>
              </a:solidFill>
              <a:prstDash val="solid"/>
            </a:ln>
          </c:spPr>
          <c:marker>
            <c:symbol val="circle"/>
            <c:size val="5"/>
            <c:spPr>
              <a:solidFill>
                <a:srgbClr val="800000"/>
              </a:solidFill>
              <a:ln>
                <a:solidFill>
                  <a:srgbClr val="800000"/>
                </a:solidFill>
                <a:prstDash val="solid"/>
              </a:ln>
            </c:spPr>
          </c:marker>
          <c:cat>
            <c:strRef>
              <c:f>Etappes!$AC$21:$AX$21</c:f>
              <c:strCache>
                <c:ptCount val="21"/>
                <c:pt idx="0">
                  <c:v>1</c:v>
                </c:pt>
                <c:pt idx="1">
                  <c:v>2</c:v>
                </c:pt>
                <c:pt idx="2">
                  <c:v>3</c:v>
                </c:pt>
                <c:pt idx="3">
                  <c:v>4</c:v>
                </c:pt>
                <c:pt idx="4">
                  <c:v>5</c:v>
                </c:pt>
                <c:pt idx="5">
                  <c:v>6</c:v>
                </c:pt>
                <c:pt idx="6">
                  <c:v>7</c:v>
                </c:pt>
                <c:pt idx="7">
                  <c:v>8</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Etappes!$AC$28:$AX$28</c:f>
              <c:numCache>
                <c:formatCode>0</c:formatCode>
                <c:ptCount val="21"/>
                <c:pt idx="0">
                  <c:v>-8</c:v>
                </c:pt>
                <c:pt idx="1">
                  <c:v>18.363636363636374</c:v>
                </c:pt>
                <c:pt idx="2">
                  <c:v>-16.818181818181813</c:v>
                </c:pt>
                <c:pt idx="3">
                  <c:v>-14.818181818181813</c:v>
                </c:pt>
                <c:pt idx="4">
                  <c:v>-9.1818181818181301</c:v>
                </c:pt>
                <c:pt idx="5">
                  <c:v>-53.272727272727252</c:v>
                </c:pt>
                <c:pt idx="6">
                  <c:v>-32.454545454545496</c:v>
                </c:pt>
                <c:pt idx="7">
                  <c:v>-53.090909090909008</c:v>
                </c:pt>
                <c:pt idx="8">
                  <c:v>-83.545454545454731</c:v>
                </c:pt>
                <c:pt idx="9">
                  <c:v>-96.727272727272975</c:v>
                </c:pt>
                <c:pt idx="10">
                  <c:v>-142.72727272727298</c:v>
                </c:pt>
                <c:pt idx="11">
                  <c:v>-176.36363636363672</c:v>
                </c:pt>
                <c:pt idx="12">
                  <c:v>-156.27272727272725</c:v>
                </c:pt>
                <c:pt idx="13">
                  <c:v>-181.5454545454545</c:v>
                </c:pt>
                <c:pt idx="14">
                  <c:v>-186.36363636363626</c:v>
                </c:pt>
                <c:pt idx="15">
                  <c:v>-188.63636363636351</c:v>
                </c:pt>
                <c:pt idx="16">
                  <c:v>-225.18181818181779</c:v>
                </c:pt>
                <c:pt idx="17">
                  <c:v>-250.09090909090855</c:v>
                </c:pt>
                <c:pt idx="18">
                  <c:v>-283.09090909090855</c:v>
                </c:pt>
                <c:pt idx="19">
                  <c:v>-279.81818181818153</c:v>
                </c:pt>
                <c:pt idx="20">
                  <c:v>-336.09090909090855</c:v>
                </c:pt>
              </c:numCache>
            </c:numRef>
          </c:val>
        </c:ser>
        <c:ser>
          <c:idx val="2"/>
          <c:order val="7"/>
          <c:tx>
            <c:strRef>
              <c:f>Etappes!$AB$29</c:f>
              <c:strCache>
                <c:ptCount val="1"/>
                <c:pt idx="0">
                  <c:v>Am Selfkant</c:v>
                </c:pt>
              </c:strCache>
            </c:strRef>
          </c:tx>
          <c:spPr>
            <a:ln w="38100">
              <a:solidFill>
                <a:srgbClr val="FFFF00"/>
              </a:solidFill>
              <a:prstDash val="solid"/>
            </a:ln>
          </c:spPr>
          <c:marker>
            <c:symbol val="triangle"/>
            <c:size val="5"/>
            <c:spPr>
              <a:solidFill>
                <a:srgbClr val="FFFF00"/>
              </a:solidFill>
              <a:ln>
                <a:solidFill>
                  <a:srgbClr val="000000"/>
                </a:solidFill>
                <a:prstDash val="solid"/>
              </a:ln>
            </c:spPr>
          </c:marker>
          <c:cat>
            <c:strRef>
              <c:f>Etappes!$AC$21:$AX$21</c:f>
              <c:strCache>
                <c:ptCount val="21"/>
                <c:pt idx="0">
                  <c:v>1</c:v>
                </c:pt>
                <c:pt idx="1">
                  <c:v>2</c:v>
                </c:pt>
                <c:pt idx="2">
                  <c:v>3</c:v>
                </c:pt>
                <c:pt idx="3">
                  <c:v>4</c:v>
                </c:pt>
                <c:pt idx="4">
                  <c:v>5</c:v>
                </c:pt>
                <c:pt idx="5">
                  <c:v>6</c:v>
                </c:pt>
                <c:pt idx="6">
                  <c:v>7</c:v>
                </c:pt>
                <c:pt idx="7">
                  <c:v>8</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Etappes!$AC$29:$AX$29</c:f>
              <c:numCache>
                <c:formatCode>0</c:formatCode>
                <c:ptCount val="21"/>
                <c:pt idx="0">
                  <c:v>-36</c:v>
                </c:pt>
                <c:pt idx="1">
                  <c:v>-49.636363636363626</c:v>
                </c:pt>
                <c:pt idx="2">
                  <c:v>-42.818181818181813</c:v>
                </c:pt>
                <c:pt idx="3">
                  <c:v>-71.818181818181813</c:v>
                </c:pt>
                <c:pt idx="4">
                  <c:v>-101.18181818181813</c:v>
                </c:pt>
                <c:pt idx="5">
                  <c:v>-113.27272727272725</c:v>
                </c:pt>
                <c:pt idx="6">
                  <c:v>-112.4545454545455</c:v>
                </c:pt>
                <c:pt idx="7">
                  <c:v>-96.090909090909008</c:v>
                </c:pt>
                <c:pt idx="8">
                  <c:v>-98.545454545454731</c:v>
                </c:pt>
                <c:pt idx="9">
                  <c:v>-94.727272727272975</c:v>
                </c:pt>
                <c:pt idx="10">
                  <c:v>-91.727272727272975</c:v>
                </c:pt>
                <c:pt idx="11">
                  <c:v>-78.363636363636715</c:v>
                </c:pt>
                <c:pt idx="12">
                  <c:v>-79.272727272727252</c:v>
                </c:pt>
                <c:pt idx="13">
                  <c:v>-88.545454545454504</c:v>
                </c:pt>
                <c:pt idx="14">
                  <c:v>-89.36363636363626</c:v>
                </c:pt>
                <c:pt idx="15">
                  <c:v>-83.636363636363512</c:v>
                </c:pt>
                <c:pt idx="16">
                  <c:v>-53.181818181817789</c:v>
                </c:pt>
                <c:pt idx="17">
                  <c:v>-46.090909090908553</c:v>
                </c:pt>
                <c:pt idx="18">
                  <c:v>-37.090909090908553</c:v>
                </c:pt>
                <c:pt idx="19">
                  <c:v>-54.818181818181529</c:v>
                </c:pt>
                <c:pt idx="20">
                  <c:v>-26.090909090908553</c:v>
                </c:pt>
              </c:numCache>
            </c:numRef>
          </c:val>
        </c:ser>
        <c:ser>
          <c:idx val="10"/>
          <c:order val="8"/>
          <c:tx>
            <c:strRef>
              <c:f>Etappes!$AB$30</c:f>
              <c:strCache>
                <c:ptCount val="1"/>
                <c:pt idx="0">
                  <c:v>Freaky naar de top</c:v>
                </c:pt>
              </c:strCache>
            </c:strRef>
          </c:tx>
          <c:spPr>
            <a:ln>
              <a:prstDash val="sysDash"/>
            </a:ln>
          </c:spPr>
          <c:marker>
            <c:symbol val="square"/>
            <c:size val="5"/>
            <c:spPr>
              <a:ln>
                <a:prstDash val="sysDash"/>
              </a:ln>
            </c:spPr>
          </c:marker>
          <c:cat>
            <c:strRef>
              <c:f>Etappes!$AC$21:$AX$21</c:f>
              <c:strCache>
                <c:ptCount val="21"/>
                <c:pt idx="0">
                  <c:v>1</c:v>
                </c:pt>
                <c:pt idx="1">
                  <c:v>2</c:v>
                </c:pt>
                <c:pt idx="2">
                  <c:v>3</c:v>
                </c:pt>
                <c:pt idx="3">
                  <c:v>4</c:v>
                </c:pt>
                <c:pt idx="4">
                  <c:v>5</c:v>
                </c:pt>
                <c:pt idx="5">
                  <c:v>6</c:v>
                </c:pt>
                <c:pt idx="6">
                  <c:v>7</c:v>
                </c:pt>
                <c:pt idx="7">
                  <c:v>8</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Etappes!$AC$30:$AX$30</c:f>
              <c:numCache>
                <c:formatCode>0</c:formatCode>
                <c:ptCount val="21"/>
                <c:pt idx="0">
                  <c:v>-27</c:v>
                </c:pt>
                <c:pt idx="1">
                  <c:v>-40.636363636363626</c:v>
                </c:pt>
                <c:pt idx="2">
                  <c:v>-50.818181818181813</c:v>
                </c:pt>
                <c:pt idx="3">
                  <c:v>-62.818181818181813</c:v>
                </c:pt>
                <c:pt idx="4">
                  <c:v>-88.18181818181813</c:v>
                </c:pt>
                <c:pt idx="5">
                  <c:v>-87.272727272727252</c:v>
                </c:pt>
                <c:pt idx="6">
                  <c:v>-91.454545454545496</c:v>
                </c:pt>
                <c:pt idx="7">
                  <c:v>-96.090909090909008</c:v>
                </c:pt>
                <c:pt idx="8">
                  <c:v>-95.545454545454731</c:v>
                </c:pt>
                <c:pt idx="9">
                  <c:v>-99.727272727272975</c:v>
                </c:pt>
                <c:pt idx="10">
                  <c:v>-83.727272727272975</c:v>
                </c:pt>
                <c:pt idx="11">
                  <c:v>-85.363636363636715</c:v>
                </c:pt>
                <c:pt idx="12">
                  <c:v>-60.272727272727252</c:v>
                </c:pt>
                <c:pt idx="13">
                  <c:v>-67.545454545454504</c:v>
                </c:pt>
                <c:pt idx="14">
                  <c:v>-67.36363636363626</c:v>
                </c:pt>
                <c:pt idx="15">
                  <c:v>-35.636363636363512</c:v>
                </c:pt>
                <c:pt idx="16">
                  <c:v>-51.181818181817789</c:v>
                </c:pt>
                <c:pt idx="17">
                  <c:v>-44.090909090908553</c:v>
                </c:pt>
                <c:pt idx="18">
                  <c:v>-44.090909090908553</c:v>
                </c:pt>
                <c:pt idx="19">
                  <c:v>-62.818181818181529</c:v>
                </c:pt>
                <c:pt idx="20">
                  <c:v>-90.090909090908553</c:v>
                </c:pt>
              </c:numCache>
            </c:numRef>
          </c:val>
        </c:ser>
        <c:ser>
          <c:idx val="0"/>
          <c:order val="9"/>
          <c:tx>
            <c:strRef>
              <c:f>Etappes!$AB$31</c:f>
              <c:strCache>
                <c:ptCount val="1"/>
                <c:pt idx="0">
                  <c:v>Lothars Grand Depart</c:v>
                </c:pt>
              </c:strCache>
            </c:strRef>
          </c:tx>
          <c:spPr>
            <a:ln w="38100">
              <a:solidFill>
                <a:srgbClr val="FF0000"/>
              </a:solidFill>
              <a:prstDash val="dashDot"/>
            </a:ln>
          </c:spPr>
          <c:marker>
            <c:symbol val="triangle"/>
            <c:size val="5"/>
            <c:spPr>
              <a:solidFill>
                <a:srgbClr val="000080"/>
              </a:solidFill>
              <a:ln>
                <a:solidFill>
                  <a:srgbClr val="FFCC00"/>
                </a:solidFill>
                <a:prstDash val="dashDot"/>
              </a:ln>
            </c:spPr>
          </c:marker>
          <c:cat>
            <c:strRef>
              <c:f>Etappes!$AC$21:$AX$21</c:f>
              <c:strCache>
                <c:ptCount val="21"/>
                <c:pt idx="0">
                  <c:v>1</c:v>
                </c:pt>
                <c:pt idx="1">
                  <c:v>2</c:v>
                </c:pt>
                <c:pt idx="2">
                  <c:v>3</c:v>
                </c:pt>
                <c:pt idx="3">
                  <c:v>4</c:v>
                </c:pt>
                <c:pt idx="4">
                  <c:v>5</c:v>
                </c:pt>
                <c:pt idx="5">
                  <c:v>6</c:v>
                </c:pt>
                <c:pt idx="6">
                  <c:v>7</c:v>
                </c:pt>
                <c:pt idx="7">
                  <c:v>8</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Etappes!$AC$31:$AX$31</c:f>
              <c:numCache>
                <c:formatCode>0</c:formatCode>
                <c:ptCount val="21"/>
                <c:pt idx="0">
                  <c:v>10</c:v>
                </c:pt>
                <c:pt idx="1">
                  <c:v>-45.636363636363626</c:v>
                </c:pt>
                <c:pt idx="2">
                  <c:v>-60.818181818181813</c:v>
                </c:pt>
                <c:pt idx="3">
                  <c:v>-108.81818181818181</c:v>
                </c:pt>
                <c:pt idx="4">
                  <c:v>-130.18181818181813</c:v>
                </c:pt>
                <c:pt idx="5">
                  <c:v>-150.27272727272725</c:v>
                </c:pt>
                <c:pt idx="6">
                  <c:v>-229.4545454545455</c:v>
                </c:pt>
                <c:pt idx="7">
                  <c:v>-219.09090909090901</c:v>
                </c:pt>
                <c:pt idx="8">
                  <c:v>-206.54545454545462</c:v>
                </c:pt>
                <c:pt idx="9">
                  <c:v>-184.72727272727298</c:v>
                </c:pt>
                <c:pt idx="10">
                  <c:v>-183.72727272727298</c:v>
                </c:pt>
                <c:pt idx="11">
                  <c:v>-194.36363636363672</c:v>
                </c:pt>
                <c:pt idx="12">
                  <c:v>-196.27272727272725</c:v>
                </c:pt>
                <c:pt idx="13">
                  <c:v>-232.5454545454545</c:v>
                </c:pt>
                <c:pt idx="14">
                  <c:v>-227.36363636363626</c:v>
                </c:pt>
                <c:pt idx="15">
                  <c:v>-209.63636363636351</c:v>
                </c:pt>
                <c:pt idx="16">
                  <c:v>-175.18181818181779</c:v>
                </c:pt>
                <c:pt idx="17">
                  <c:v>-140.09090909090855</c:v>
                </c:pt>
                <c:pt idx="18">
                  <c:v>-158.09090909090855</c:v>
                </c:pt>
                <c:pt idx="19">
                  <c:v>-201.81818181818153</c:v>
                </c:pt>
                <c:pt idx="20">
                  <c:v>-124.09090909090855</c:v>
                </c:pt>
              </c:numCache>
            </c:numRef>
          </c:val>
        </c:ser>
        <c:ser>
          <c:idx val="1"/>
          <c:order val="10"/>
          <c:tx>
            <c:strRef>
              <c:f>Etappes!$AB$32</c:f>
              <c:strCache>
                <c:ptCount val="1"/>
                <c:pt idx="0">
                  <c:v>IJffjes Boys</c:v>
                </c:pt>
              </c:strCache>
            </c:strRef>
          </c:tx>
          <c:spPr>
            <a:ln w="38100">
              <a:solidFill>
                <a:srgbClr val="FF00FF"/>
              </a:solidFill>
              <a:prstDash val="solid"/>
            </a:ln>
          </c:spPr>
          <c:marker>
            <c:symbol val="plus"/>
            <c:size val="5"/>
            <c:spPr>
              <a:noFill/>
              <a:ln>
                <a:solidFill>
                  <a:srgbClr val="FFFF00"/>
                </a:solidFill>
                <a:prstDash val="solid"/>
              </a:ln>
            </c:spPr>
          </c:marker>
          <c:cat>
            <c:strRef>
              <c:f>Etappes!$AC$21:$AX$21</c:f>
              <c:strCache>
                <c:ptCount val="21"/>
                <c:pt idx="0">
                  <c:v>1</c:v>
                </c:pt>
                <c:pt idx="1">
                  <c:v>2</c:v>
                </c:pt>
                <c:pt idx="2">
                  <c:v>3</c:v>
                </c:pt>
                <c:pt idx="3">
                  <c:v>4</c:v>
                </c:pt>
                <c:pt idx="4">
                  <c:v>5</c:v>
                </c:pt>
                <c:pt idx="5">
                  <c:v>6</c:v>
                </c:pt>
                <c:pt idx="6">
                  <c:v>7</c:v>
                </c:pt>
                <c:pt idx="7">
                  <c:v>8</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Etappes!$AC$32:$AX$32</c:f>
              <c:numCache>
                <c:formatCode>0</c:formatCode>
                <c:ptCount val="21"/>
                <c:pt idx="0">
                  <c:v>-12</c:v>
                </c:pt>
                <c:pt idx="1">
                  <c:v>-108.63636363636363</c:v>
                </c:pt>
                <c:pt idx="2">
                  <c:v>-83.818181818181813</c:v>
                </c:pt>
                <c:pt idx="3">
                  <c:v>-120.81818181818181</c:v>
                </c:pt>
                <c:pt idx="4">
                  <c:v>-241.18181818181813</c:v>
                </c:pt>
                <c:pt idx="5">
                  <c:v>-280.27272727272725</c:v>
                </c:pt>
                <c:pt idx="6">
                  <c:v>-383.4545454545455</c:v>
                </c:pt>
                <c:pt idx="7">
                  <c:v>-393.09090909090901</c:v>
                </c:pt>
                <c:pt idx="8">
                  <c:v>-378.54545454545462</c:v>
                </c:pt>
                <c:pt idx="9">
                  <c:v>-354.72727272727286</c:v>
                </c:pt>
                <c:pt idx="10">
                  <c:v>-372.72727272727286</c:v>
                </c:pt>
                <c:pt idx="11">
                  <c:v>-383.36363636363672</c:v>
                </c:pt>
                <c:pt idx="12">
                  <c:v>-437.27272727272725</c:v>
                </c:pt>
                <c:pt idx="13">
                  <c:v>-519.5454545454545</c:v>
                </c:pt>
                <c:pt idx="14">
                  <c:v>-555.36363636363626</c:v>
                </c:pt>
                <c:pt idx="15">
                  <c:v>-543.63636363636351</c:v>
                </c:pt>
                <c:pt idx="16">
                  <c:v>-561.18181818181779</c:v>
                </c:pt>
                <c:pt idx="17">
                  <c:v>-563.09090909090855</c:v>
                </c:pt>
                <c:pt idx="18">
                  <c:v>-571.09090909090855</c:v>
                </c:pt>
                <c:pt idx="19">
                  <c:v>-675.81818181818153</c:v>
                </c:pt>
                <c:pt idx="20">
                  <c:v>-649.09090909090855</c:v>
                </c:pt>
              </c:numCache>
            </c:numRef>
          </c:val>
        </c:ser>
        <c:marker val="1"/>
        <c:axId val="80568320"/>
        <c:axId val="80570240"/>
      </c:lineChart>
      <c:catAx>
        <c:axId val="80568320"/>
        <c:scaling>
          <c:orientation val="minMax"/>
        </c:scaling>
        <c:axPos val="b"/>
        <c:numFmt formatCode="General" sourceLinked="1"/>
        <c:tickLblPos val="low"/>
        <c:spPr>
          <a:ln w="3175">
            <a:solidFill>
              <a:srgbClr val="FFFFFF"/>
            </a:solidFill>
            <a:prstDash val="solid"/>
          </a:ln>
        </c:spPr>
        <c:txPr>
          <a:bodyPr rot="0" vert="horz"/>
          <a:lstStyle/>
          <a:p>
            <a:pPr>
              <a:defRPr sz="950" b="1" i="1" u="none" strike="noStrike" baseline="0">
                <a:solidFill>
                  <a:srgbClr val="FFFFFF"/>
                </a:solidFill>
                <a:latin typeface="Arial"/>
                <a:ea typeface="Arial"/>
                <a:cs typeface="Arial"/>
              </a:defRPr>
            </a:pPr>
            <a:endParaRPr lang="nl-NL"/>
          </a:p>
        </c:txPr>
        <c:crossAx val="80570240"/>
        <c:crosses val="autoZero"/>
        <c:auto val="1"/>
        <c:lblAlgn val="ctr"/>
        <c:lblOffset val="100"/>
        <c:tickLblSkip val="1"/>
        <c:tickMarkSkip val="1"/>
      </c:catAx>
      <c:valAx>
        <c:axId val="80570240"/>
        <c:scaling>
          <c:orientation val="minMax"/>
          <c:max val="0"/>
          <c:min val="-700"/>
        </c:scaling>
        <c:axPos val="l"/>
        <c:majorGridlines>
          <c:spPr>
            <a:ln w="12700">
              <a:solidFill>
                <a:srgbClr val="99CC00"/>
              </a:solidFill>
              <a:prstDash val="sysDot"/>
            </a:ln>
          </c:spPr>
        </c:majorGridlines>
        <c:numFmt formatCode="0" sourceLinked="0"/>
        <c:tickLblPos val="high"/>
        <c:spPr>
          <a:ln w="9525">
            <a:noFill/>
          </a:ln>
        </c:spPr>
        <c:txPr>
          <a:bodyPr rot="0" vert="horz"/>
          <a:lstStyle/>
          <a:p>
            <a:pPr>
              <a:defRPr sz="950" b="1" i="1" u="none" strike="noStrike" baseline="0">
                <a:solidFill>
                  <a:srgbClr val="FFFFFF"/>
                </a:solidFill>
                <a:latin typeface="Arial"/>
                <a:ea typeface="Arial"/>
                <a:cs typeface="Arial"/>
              </a:defRPr>
            </a:pPr>
            <a:endParaRPr lang="nl-NL"/>
          </a:p>
        </c:txPr>
        <c:crossAx val="80568320"/>
        <c:crosses val="autoZero"/>
        <c:crossBetween val="midCat"/>
      </c:valAx>
      <c:spPr>
        <a:noFill/>
        <a:ln w="25400">
          <a:noFill/>
        </a:ln>
      </c:spPr>
    </c:plotArea>
    <c:legend>
      <c:legendPos val="r"/>
      <c:layout>
        <c:manualLayout>
          <c:xMode val="edge"/>
          <c:yMode val="edge"/>
          <c:x val="7.0665287831782192E-2"/>
          <c:y val="0.89943502824859112"/>
          <c:w val="0.82597040933482424"/>
          <c:h val="8.474576271186525E-2"/>
        </c:manualLayout>
      </c:layout>
      <c:spPr>
        <a:noFill/>
        <a:ln w="3175">
          <a:solidFill>
            <a:srgbClr val="000000"/>
          </a:solidFill>
          <a:prstDash val="solid"/>
        </a:ln>
      </c:spPr>
      <c:txPr>
        <a:bodyPr/>
        <a:lstStyle/>
        <a:p>
          <a:pPr>
            <a:defRPr sz="735" b="1" i="1" u="none" strike="noStrike" baseline="0">
              <a:solidFill>
                <a:srgbClr val="FFFFFF"/>
              </a:solidFill>
              <a:latin typeface="Arial"/>
              <a:ea typeface="Arial"/>
              <a:cs typeface="Arial"/>
            </a:defRPr>
          </a:pPr>
          <a:endParaRPr lang="nl-NL"/>
        </a:p>
      </c:txPr>
    </c:legend>
    <c:plotVisOnly val="1"/>
    <c:dispBlanksAs val="gap"/>
  </c:chart>
  <c:spPr>
    <a:solidFill>
      <a:srgbClr val="000000"/>
    </a:solidFill>
    <a:ln w="9525">
      <a:noFill/>
    </a:ln>
  </c:spPr>
  <c:txPr>
    <a:bodyPr/>
    <a:lstStyle/>
    <a:p>
      <a:pPr>
        <a:defRPr sz="950" b="0" i="0" u="none" strike="noStrike" baseline="0">
          <a:solidFill>
            <a:srgbClr val="000000"/>
          </a:solidFill>
          <a:latin typeface="Arial"/>
          <a:ea typeface="Arial"/>
          <a:cs typeface="Arial"/>
        </a:defRPr>
      </a:pPr>
      <a:endParaRPr lang="nl-NL"/>
    </a:p>
  </c:txPr>
</c:chartSpace>
</file>

<file path=xl/charts/chart3.xml><?xml version="1.0" encoding="utf-8"?>
<c:chartSpace xmlns:c="http://schemas.openxmlformats.org/drawingml/2006/chart" xmlns:a="http://schemas.openxmlformats.org/drawingml/2006/main" xmlns:r="http://schemas.openxmlformats.org/officeDocument/2006/relationships">
  <c:lang val="nl-NL"/>
  <c:chart>
    <c:title>
      <c:tx>
        <c:rich>
          <a:bodyPr/>
          <a:lstStyle/>
          <a:p>
            <a:pPr>
              <a:defRPr sz="1600" b="1" i="0" u="none" strike="noStrike" baseline="0">
                <a:solidFill>
                  <a:srgbClr val="FFFF00"/>
                </a:solidFill>
                <a:latin typeface="Arial"/>
                <a:ea typeface="Arial"/>
                <a:cs typeface="Arial"/>
              </a:defRPr>
            </a:pPr>
            <a:r>
              <a:rPr lang="nl-NL"/>
              <a:t>TourToto 2015 - met originaliteitsfactor</a:t>
            </a:r>
          </a:p>
        </c:rich>
      </c:tx>
      <c:layout>
        <c:manualLayout>
          <c:xMode val="edge"/>
          <c:yMode val="edge"/>
          <c:x val="0.33092037228543997"/>
          <c:y val="2.0338983050847428E-2"/>
        </c:manualLayout>
      </c:layout>
      <c:spPr>
        <a:noFill/>
        <a:ln w="25400">
          <a:noFill/>
        </a:ln>
      </c:spPr>
    </c:title>
    <c:plotArea>
      <c:layout>
        <c:manualLayout>
          <c:layoutTarget val="inner"/>
          <c:xMode val="edge"/>
          <c:yMode val="edge"/>
          <c:x val="1.9648397104446741E-2"/>
          <c:y val="0.10508474576271547"/>
          <c:w val="0.93726301275422252"/>
          <c:h val="0.7525423728813555"/>
        </c:manualLayout>
      </c:layout>
      <c:lineChart>
        <c:grouping val="standard"/>
        <c:ser>
          <c:idx val="3"/>
          <c:order val="0"/>
          <c:tx>
            <c:strRef>
              <c:f>Etappes!$AB$37</c:f>
              <c:strCache>
                <c:ptCount val="1"/>
                <c:pt idx="0">
                  <c:v>El Gran</c:v>
                </c:pt>
              </c:strCache>
            </c:strRef>
          </c:tx>
          <c:spPr>
            <a:ln w="25400">
              <a:solidFill>
                <a:srgbClr val="00FFFF"/>
              </a:solidFill>
              <a:prstDash val="solid"/>
            </a:ln>
          </c:spPr>
          <c:marker>
            <c:symbol val="x"/>
            <c:size val="7"/>
            <c:spPr>
              <a:noFill/>
              <a:ln>
                <a:solidFill>
                  <a:srgbClr val="00FFFF"/>
                </a:solidFill>
                <a:prstDash val="solid"/>
              </a:ln>
            </c:spPr>
          </c:marker>
          <c:cat>
            <c:strRef>
              <c:f>Etappes!$AC$36:$AX$36</c:f>
              <c:strCache>
                <c:ptCount val="21"/>
                <c:pt idx="0">
                  <c:v>1</c:v>
                </c:pt>
                <c:pt idx="1">
                  <c:v>2</c:v>
                </c:pt>
                <c:pt idx="2">
                  <c:v>3</c:v>
                </c:pt>
                <c:pt idx="3">
                  <c:v>4</c:v>
                </c:pt>
                <c:pt idx="4">
                  <c:v>5</c:v>
                </c:pt>
                <c:pt idx="5">
                  <c:v>6</c:v>
                </c:pt>
                <c:pt idx="6">
                  <c:v>7</c:v>
                </c:pt>
                <c:pt idx="7">
                  <c:v>8</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Etappes!$AC$37:$AX$37</c:f>
              <c:numCache>
                <c:formatCode>0</c:formatCode>
                <c:ptCount val="21"/>
                <c:pt idx="0">
                  <c:v>18.352101911529893</c:v>
                </c:pt>
                <c:pt idx="1">
                  <c:v>103.82395708179544</c:v>
                </c:pt>
                <c:pt idx="2">
                  <c:v>136.58267937920419</c:v>
                </c:pt>
                <c:pt idx="3">
                  <c:v>196.48277253886323</c:v>
                </c:pt>
                <c:pt idx="4">
                  <c:v>250.64172065821106</c:v>
                </c:pt>
                <c:pt idx="5">
                  <c:v>283.4712348669434</c:v>
                </c:pt>
                <c:pt idx="6">
                  <c:v>329.80718071439969</c:v>
                </c:pt>
                <c:pt idx="7">
                  <c:v>341.26769966031907</c:v>
                </c:pt>
                <c:pt idx="8">
                  <c:v>338.46566615878874</c:v>
                </c:pt>
                <c:pt idx="9">
                  <c:v>280.97516255302935</c:v>
                </c:pt>
                <c:pt idx="10">
                  <c:v>273.30941300321138</c:v>
                </c:pt>
                <c:pt idx="11">
                  <c:v>291.92864865768342</c:v>
                </c:pt>
                <c:pt idx="12">
                  <c:v>348.99561433081658</c:v>
                </c:pt>
                <c:pt idx="13">
                  <c:v>364.05607568464416</c:v>
                </c:pt>
                <c:pt idx="14">
                  <c:v>364.57007290636056</c:v>
                </c:pt>
                <c:pt idx="15">
                  <c:v>352.34951285561738</c:v>
                </c:pt>
                <c:pt idx="16">
                  <c:v>337.75800644756305</c:v>
                </c:pt>
                <c:pt idx="17">
                  <c:v>310.72613363643131</c:v>
                </c:pt>
                <c:pt idx="18">
                  <c:v>334.61496424740608</c:v>
                </c:pt>
                <c:pt idx="19">
                  <c:v>339.55321852457564</c:v>
                </c:pt>
                <c:pt idx="20">
                  <c:v>274.67023757335755</c:v>
                </c:pt>
              </c:numCache>
            </c:numRef>
          </c:val>
        </c:ser>
        <c:ser>
          <c:idx val="8"/>
          <c:order val="1"/>
          <c:tx>
            <c:strRef>
              <c:f>Etappes!$AB$38</c:f>
              <c:strCache>
                <c:ptCount val="1"/>
                <c:pt idx="0">
                  <c:v>Mahawat</c:v>
                </c:pt>
              </c:strCache>
            </c:strRef>
          </c:tx>
          <c:spPr>
            <a:ln w="19050">
              <a:solidFill>
                <a:srgbClr val="FF9900"/>
              </a:solidFill>
              <a:prstDash val="solid"/>
            </a:ln>
          </c:spPr>
          <c:marker>
            <c:symbol val="dash"/>
            <c:size val="7"/>
            <c:spPr>
              <a:noFill/>
              <a:ln w="19050">
                <a:solidFill>
                  <a:srgbClr val="00CCFF"/>
                </a:solidFill>
                <a:prstDash val="solid"/>
              </a:ln>
            </c:spPr>
          </c:marker>
          <c:cat>
            <c:strRef>
              <c:f>Etappes!$AC$36:$AX$36</c:f>
              <c:strCache>
                <c:ptCount val="21"/>
                <c:pt idx="0">
                  <c:v>1</c:v>
                </c:pt>
                <c:pt idx="1">
                  <c:v>2</c:v>
                </c:pt>
                <c:pt idx="2">
                  <c:v>3</c:v>
                </c:pt>
                <c:pt idx="3">
                  <c:v>4</c:v>
                </c:pt>
                <c:pt idx="4">
                  <c:v>5</c:v>
                </c:pt>
                <c:pt idx="5">
                  <c:v>6</c:v>
                </c:pt>
                <c:pt idx="6">
                  <c:v>7</c:v>
                </c:pt>
                <c:pt idx="7">
                  <c:v>8</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Etappes!$AC$38:$AX$38</c:f>
              <c:numCache>
                <c:formatCode>0</c:formatCode>
                <c:ptCount val="21"/>
                <c:pt idx="0">
                  <c:v>83.108016182202249</c:v>
                </c:pt>
                <c:pt idx="1">
                  <c:v>179.61816763492621</c:v>
                </c:pt>
                <c:pt idx="2">
                  <c:v>171.20279044691478</c:v>
                </c:pt>
                <c:pt idx="3">
                  <c:v>239.81017603392974</c:v>
                </c:pt>
                <c:pt idx="4">
                  <c:v>300.25133633676012</c:v>
                </c:pt>
                <c:pt idx="5">
                  <c:v>329.51640070428175</c:v>
                </c:pt>
                <c:pt idx="6">
                  <c:v>371.01263899607693</c:v>
                </c:pt>
                <c:pt idx="7">
                  <c:v>374.12126520555285</c:v>
                </c:pt>
                <c:pt idx="8">
                  <c:v>408.21285550036441</c:v>
                </c:pt>
                <c:pt idx="9">
                  <c:v>446.40849220674954</c:v>
                </c:pt>
                <c:pt idx="10">
                  <c:v>443.26886225002295</c:v>
                </c:pt>
                <c:pt idx="11">
                  <c:v>464.87763648099417</c:v>
                </c:pt>
                <c:pt idx="12">
                  <c:v>454.80541936792383</c:v>
                </c:pt>
                <c:pt idx="13">
                  <c:v>510.63231585583094</c:v>
                </c:pt>
                <c:pt idx="14">
                  <c:v>531.95810086009942</c:v>
                </c:pt>
                <c:pt idx="15">
                  <c:v>564.3402020188737</c:v>
                </c:pt>
                <c:pt idx="16">
                  <c:v>546.64417478137761</c:v>
                </c:pt>
                <c:pt idx="17">
                  <c:v>555.65401180160643</c:v>
                </c:pt>
                <c:pt idx="18">
                  <c:v>597.40690334697638</c:v>
                </c:pt>
                <c:pt idx="19">
                  <c:v>666.22302559962327</c:v>
                </c:pt>
                <c:pt idx="20">
                  <c:v>671.87643036244799</c:v>
                </c:pt>
              </c:numCache>
            </c:numRef>
          </c:val>
        </c:ser>
        <c:ser>
          <c:idx val="7"/>
          <c:order val="2"/>
          <c:tx>
            <c:strRef>
              <c:f>Etappes!$AB$39</c:f>
              <c:strCache>
                <c:ptCount val="1"/>
                <c:pt idx="0">
                  <c:v>Van Lego kun je alles maken</c:v>
                </c:pt>
              </c:strCache>
            </c:strRef>
          </c:tx>
          <c:spPr>
            <a:ln w="38100">
              <a:solidFill>
                <a:srgbClr val="0000FF"/>
              </a:solidFill>
              <a:prstDash val="solid"/>
            </a:ln>
          </c:spPr>
          <c:marker>
            <c:symbol val="circle"/>
            <c:size val="5"/>
            <c:spPr>
              <a:solidFill>
                <a:srgbClr val="FF0000"/>
              </a:solidFill>
              <a:ln>
                <a:solidFill>
                  <a:srgbClr val="0000FF"/>
                </a:solidFill>
                <a:prstDash val="solid"/>
              </a:ln>
            </c:spPr>
          </c:marker>
          <c:cat>
            <c:strRef>
              <c:f>Etappes!$AC$36:$AX$36</c:f>
              <c:strCache>
                <c:ptCount val="21"/>
                <c:pt idx="0">
                  <c:v>1</c:v>
                </c:pt>
                <c:pt idx="1">
                  <c:v>2</c:v>
                </c:pt>
                <c:pt idx="2">
                  <c:v>3</c:v>
                </c:pt>
                <c:pt idx="3">
                  <c:v>4</c:v>
                </c:pt>
                <c:pt idx="4">
                  <c:v>5</c:v>
                </c:pt>
                <c:pt idx="5">
                  <c:v>6</c:v>
                </c:pt>
                <c:pt idx="6">
                  <c:v>7</c:v>
                </c:pt>
                <c:pt idx="7">
                  <c:v>8</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Etappes!$AC$39:$AX$39</c:f>
              <c:numCache>
                <c:formatCode>0</c:formatCode>
                <c:ptCount val="21"/>
                <c:pt idx="0">
                  <c:v>4.9707341613172318</c:v>
                </c:pt>
                <c:pt idx="1">
                  <c:v>39.0629438198618</c:v>
                </c:pt>
                <c:pt idx="2">
                  <c:v>33.377056654023249</c:v>
                </c:pt>
                <c:pt idx="3">
                  <c:v>19.108837607404155</c:v>
                </c:pt>
                <c:pt idx="4">
                  <c:v>47.904128445239166</c:v>
                </c:pt>
                <c:pt idx="5">
                  <c:v>47.559180592026792</c:v>
                </c:pt>
                <c:pt idx="6">
                  <c:v>90.848054244919012</c:v>
                </c:pt>
                <c:pt idx="7">
                  <c:v>85.95738296367017</c:v>
                </c:pt>
                <c:pt idx="8">
                  <c:v>75.321369766425278</c:v>
                </c:pt>
                <c:pt idx="9">
                  <c:v>83.321460088903677</c:v>
                </c:pt>
                <c:pt idx="10">
                  <c:v>85.037259577560462</c:v>
                </c:pt>
                <c:pt idx="11">
                  <c:v>72.928274227695738</c:v>
                </c:pt>
                <c:pt idx="12">
                  <c:v>67.96371666106802</c:v>
                </c:pt>
                <c:pt idx="13">
                  <c:v>78.389194958375356</c:v>
                </c:pt>
                <c:pt idx="14">
                  <c:v>77.572780376831588</c:v>
                </c:pt>
                <c:pt idx="15">
                  <c:v>52.554517108919299</c:v>
                </c:pt>
                <c:pt idx="16">
                  <c:v>46.812395018035431</c:v>
                </c:pt>
                <c:pt idx="17">
                  <c:v>52.173903790805525</c:v>
                </c:pt>
                <c:pt idx="18">
                  <c:v>76.775148464171252</c:v>
                </c:pt>
                <c:pt idx="19">
                  <c:v>120.27817843197954</c:v>
                </c:pt>
                <c:pt idx="20">
                  <c:v>120.67979216204276</c:v>
                </c:pt>
              </c:numCache>
            </c:numRef>
          </c:val>
        </c:ser>
        <c:ser>
          <c:idx val="6"/>
          <c:order val="3"/>
          <c:tx>
            <c:strRef>
              <c:f>Etappes!$AB$40</c:f>
              <c:strCache>
                <c:ptCount val="1"/>
                <c:pt idx="0">
                  <c:v>De Lange Man</c:v>
                </c:pt>
              </c:strCache>
            </c:strRef>
          </c:tx>
          <c:spPr>
            <a:ln w="38100">
              <a:solidFill>
                <a:srgbClr val="00FF00"/>
              </a:solidFill>
              <a:prstDash val="sysDot"/>
            </a:ln>
          </c:spPr>
          <c:marker>
            <c:symbol val="circle"/>
            <c:size val="6"/>
            <c:spPr>
              <a:solidFill>
                <a:srgbClr val="FFFF00"/>
              </a:solidFill>
              <a:ln>
                <a:solidFill>
                  <a:srgbClr val="008080"/>
                </a:solidFill>
                <a:prstDash val="sysDot"/>
              </a:ln>
            </c:spPr>
          </c:marker>
          <c:cat>
            <c:strRef>
              <c:f>Etappes!$AC$36:$AX$36</c:f>
              <c:strCache>
                <c:ptCount val="21"/>
                <c:pt idx="0">
                  <c:v>1</c:v>
                </c:pt>
                <c:pt idx="1">
                  <c:v>2</c:v>
                </c:pt>
                <c:pt idx="2">
                  <c:v>3</c:v>
                </c:pt>
                <c:pt idx="3">
                  <c:v>4</c:v>
                </c:pt>
                <c:pt idx="4">
                  <c:v>5</c:v>
                </c:pt>
                <c:pt idx="5">
                  <c:v>6</c:v>
                </c:pt>
                <c:pt idx="6">
                  <c:v>7</c:v>
                </c:pt>
                <c:pt idx="7">
                  <c:v>8</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Etappes!$AC$40:$AX$40</c:f>
              <c:numCache>
                <c:formatCode>0</c:formatCode>
                <c:ptCount val="21"/>
                <c:pt idx="0">
                  <c:v>14.852498963813751</c:v>
                </c:pt>
                <c:pt idx="1">
                  <c:v>30.293193470843192</c:v>
                </c:pt>
                <c:pt idx="2">
                  <c:v>48.818893723909184</c:v>
                </c:pt>
                <c:pt idx="3">
                  <c:v>92.19851486781323</c:v>
                </c:pt>
                <c:pt idx="4">
                  <c:v>148.5667095407473</c:v>
                </c:pt>
                <c:pt idx="5">
                  <c:v>180.24272333654528</c:v>
                </c:pt>
                <c:pt idx="6">
                  <c:v>187.77022308781966</c:v>
                </c:pt>
                <c:pt idx="7">
                  <c:v>184.1179315388531</c:v>
                </c:pt>
                <c:pt idx="8">
                  <c:v>202.33111149263073</c:v>
                </c:pt>
                <c:pt idx="9">
                  <c:v>179.09370489468529</c:v>
                </c:pt>
                <c:pt idx="10">
                  <c:v>187.55741027149202</c:v>
                </c:pt>
                <c:pt idx="11">
                  <c:v>205.47281516552971</c:v>
                </c:pt>
                <c:pt idx="12">
                  <c:v>183.82804079673383</c:v>
                </c:pt>
                <c:pt idx="13">
                  <c:v>246.84674813239235</c:v>
                </c:pt>
                <c:pt idx="14">
                  <c:v>260.7139789479088</c:v>
                </c:pt>
                <c:pt idx="15">
                  <c:v>205.69659849185473</c:v>
                </c:pt>
                <c:pt idx="16">
                  <c:v>229.77668219878638</c:v>
                </c:pt>
                <c:pt idx="17">
                  <c:v>216.41085665275887</c:v>
                </c:pt>
                <c:pt idx="18">
                  <c:v>188.64632978962118</c:v>
                </c:pt>
                <c:pt idx="19">
                  <c:v>220.87757688808551</c:v>
                </c:pt>
                <c:pt idx="20">
                  <c:v>222.03738229097462</c:v>
                </c:pt>
              </c:numCache>
            </c:numRef>
          </c:val>
        </c:ser>
        <c:ser>
          <c:idx val="4"/>
          <c:order val="4"/>
          <c:tx>
            <c:strRef>
              <c:f>Etappes!$AB$41</c:f>
              <c:strCache>
                <c:ptCount val="1"/>
                <c:pt idx="0">
                  <c:v>TinTopTeam</c:v>
                </c:pt>
              </c:strCache>
            </c:strRef>
          </c:tx>
          <c:spPr>
            <a:ln w="38100">
              <a:solidFill>
                <a:srgbClr val="800080"/>
              </a:solidFill>
              <a:prstDash val="solid"/>
            </a:ln>
          </c:spPr>
          <c:marker>
            <c:symbol val="diamond"/>
            <c:size val="5"/>
            <c:spPr>
              <a:solidFill>
                <a:srgbClr val="800080"/>
              </a:solidFill>
              <a:ln>
                <a:solidFill>
                  <a:srgbClr val="FFFF00"/>
                </a:solidFill>
                <a:prstDash val="solid"/>
              </a:ln>
            </c:spPr>
          </c:marker>
          <c:cat>
            <c:strRef>
              <c:f>Etappes!$AC$36:$AX$36</c:f>
              <c:strCache>
                <c:ptCount val="21"/>
                <c:pt idx="0">
                  <c:v>1</c:v>
                </c:pt>
                <c:pt idx="1">
                  <c:v>2</c:v>
                </c:pt>
                <c:pt idx="2">
                  <c:v>3</c:v>
                </c:pt>
                <c:pt idx="3">
                  <c:v>4</c:v>
                </c:pt>
                <c:pt idx="4">
                  <c:v>5</c:v>
                </c:pt>
                <c:pt idx="5">
                  <c:v>6</c:v>
                </c:pt>
                <c:pt idx="6">
                  <c:v>7</c:v>
                </c:pt>
                <c:pt idx="7">
                  <c:v>8</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Etappes!$AC$41:$AX$41</c:f>
              <c:numCache>
                <c:formatCode>0</c:formatCode>
                <c:ptCount val="21"/>
                <c:pt idx="0">
                  <c:v>-38.801341702738789</c:v>
                </c:pt>
                <c:pt idx="1">
                  <c:v>-73.308772516716047</c:v>
                </c:pt>
                <c:pt idx="2">
                  <c:v>-72.240328441245225</c:v>
                </c:pt>
                <c:pt idx="3">
                  <c:v>-73.662981451310316</c:v>
                </c:pt>
                <c:pt idx="4">
                  <c:v>-71.861884307338187</c:v>
                </c:pt>
                <c:pt idx="5">
                  <c:v>-47.263611195213116</c:v>
                </c:pt>
                <c:pt idx="6">
                  <c:v>-48.078361629409187</c:v>
                </c:pt>
                <c:pt idx="7">
                  <c:v>-39.946127126900592</c:v>
                </c:pt>
                <c:pt idx="8">
                  <c:v>-47.78711169974531</c:v>
                </c:pt>
                <c:pt idx="9">
                  <c:v>-23.394660396646259</c:v>
                </c:pt>
                <c:pt idx="10">
                  <c:v>23.373145305447224</c:v>
                </c:pt>
                <c:pt idx="11">
                  <c:v>22.953162423419144</c:v>
                </c:pt>
                <c:pt idx="12">
                  <c:v>20.486782165220802</c:v>
                </c:pt>
                <c:pt idx="13">
                  <c:v>40.002850112646684</c:v>
                </c:pt>
                <c:pt idx="14">
                  <c:v>45.562956006631111</c:v>
                </c:pt>
                <c:pt idx="15">
                  <c:v>48.69545000129915</c:v>
                </c:pt>
                <c:pt idx="16">
                  <c:v>81.45147390112038</c:v>
                </c:pt>
                <c:pt idx="17">
                  <c:v>82.996322897122809</c:v>
                </c:pt>
                <c:pt idx="18">
                  <c:v>77.395837579383169</c:v>
                </c:pt>
                <c:pt idx="19">
                  <c:v>106.07943302002604</c:v>
                </c:pt>
                <c:pt idx="20">
                  <c:v>100.38981195484484</c:v>
                </c:pt>
              </c:numCache>
            </c:numRef>
          </c:val>
        </c:ser>
        <c:ser>
          <c:idx val="9"/>
          <c:order val="5"/>
          <c:tx>
            <c:strRef>
              <c:f>Etappes!$AB$42</c:f>
              <c:strCache>
                <c:ptCount val="1"/>
                <c:pt idx="0">
                  <c:v>wadaf*ckers</c:v>
                </c:pt>
              </c:strCache>
            </c:strRef>
          </c:tx>
          <c:spPr>
            <a:ln>
              <a:prstDash val="lgDash"/>
            </a:ln>
          </c:spPr>
          <c:marker>
            <c:spPr>
              <a:ln>
                <a:prstDash val="lgDash"/>
              </a:ln>
            </c:spPr>
          </c:marker>
          <c:cat>
            <c:strRef>
              <c:f>Etappes!$AC$36:$AX$36</c:f>
              <c:strCache>
                <c:ptCount val="21"/>
                <c:pt idx="0">
                  <c:v>1</c:v>
                </c:pt>
                <c:pt idx="1">
                  <c:v>2</c:v>
                </c:pt>
                <c:pt idx="2">
                  <c:v>3</c:v>
                </c:pt>
                <c:pt idx="3">
                  <c:v>4</c:v>
                </c:pt>
                <c:pt idx="4">
                  <c:v>5</c:v>
                </c:pt>
                <c:pt idx="5">
                  <c:v>6</c:v>
                </c:pt>
                <c:pt idx="6">
                  <c:v>7</c:v>
                </c:pt>
                <c:pt idx="7">
                  <c:v>8</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Etappes!$AC$42:$AX$42</c:f>
              <c:numCache>
                <c:formatCode>0</c:formatCode>
                <c:ptCount val="21"/>
                <c:pt idx="0">
                  <c:v>-11.40620597172046</c:v>
                </c:pt>
                <c:pt idx="1">
                  <c:v>-49.190566897063562</c:v>
                </c:pt>
                <c:pt idx="2">
                  <c:v>-69.433734181157803</c:v>
                </c:pt>
                <c:pt idx="3">
                  <c:v>-106.4477034125515</c:v>
                </c:pt>
                <c:pt idx="4">
                  <c:v>-118.59476290731067</c:v>
                </c:pt>
                <c:pt idx="5">
                  <c:v>-128.03801083443295</c:v>
                </c:pt>
                <c:pt idx="6">
                  <c:v>-102.94573732936044</c:v>
                </c:pt>
                <c:pt idx="7">
                  <c:v>-118.75436869930104</c:v>
                </c:pt>
                <c:pt idx="8">
                  <c:v>-151.22630207392945</c:v>
                </c:pt>
                <c:pt idx="9">
                  <c:v>-185.98822209882724</c:v>
                </c:pt>
                <c:pt idx="10">
                  <c:v>-198.82970272842613</c:v>
                </c:pt>
                <c:pt idx="11">
                  <c:v>-208.20919805611788</c:v>
                </c:pt>
                <c:pt idx="12">
                  <c:v>-217.7229056597007</c:v>
                </c:pt>
                <c:pt idx="13">
                  <c:v>-221.85470748064881</c:v>
                </c:pt>
                <c:pt idx="14">
                  <c:v>-227.22027209914768</c:v>
                </c:pt>
                <c:pt idx="15">
                  <c:v>-241.32057527836832</c:v>
                </c:pt>
                <c:pt idx="16">
                  <c:v>-263.43963750228954</c:v>
                </c:pt>
                <c:pt idx="17">
                  <c:v>-273.54523885516642</c:v>
                </c:pt>
                <c:pt idx="18">
                  <c:v>-288.97651450700391</c:v>
                </c:pt>
                <c:pt idx="19">
                  <c:v>-288.23549488657181</c:v>
                </c:pt>
                <c:pt idx="20">
                  <c:v>-296.93218123041834</c:v>
                </c:pt>
              </c:numCache>
            </c:numRef>
          </c:val>
        </c:ser>
        <c:ser>
          <c:idx val="5"/>
          <c:order val="6"/>
          <c:tx>
            <c:strRef>
              <c:f>Etappes!$AB$43</c:f>
              <c:strCache>
                <c:ptCount val="1"/>
                <c:pt idx="0">
                  <c:v>Equipe l'Ami</c:v>
                </c:pt>
              </c:strCache>
            </c:strRef>
          </c:tx>
          <c:spPr>
            <a:ln w="28575">
              <a:solidFill>
                <a:schemeClr val="tx2">
                  <a:lumMod val="60000"/>
                  <a:lumOff val="40000"/>
                </a:schemeClr>
              </a:solidFill>
              <a:prstDash val="solid"/>
            </a:ln>
          </c:spPr>
          <c:marker>
            <c:symbol val="circle"/>
            <c:size val="5"/>
            <c:spPr>
              <a:solidFill>
                <a:srgbClr val="800000"/>
              </a:solidFill>
              <a:ln>
                <a:solidFill>
                  <a:srgbClr val="800000"/>
                </a:solidFill>
                <a:prstDash val="solid"/>
              </a:ln>
            </c:spPr>
          </c:marker>
          <c:cat>
            <c:strRef>
              <c:f>Etappes!$AC$36:$AX$36</c:f>
              <c:strCache>
                <c:ptCount val="21"/>
                <c:pt idx="0">
                  <c:v>1</c:v>
                </c:pt>
                <c:pt idx="1">
                  <c:v>2</c:v>
                </c:pt>
                <c:pt idx="2">
                  <c:v>3</c:v>
                </c:pt>
                <c:pt idx="3">
                  <c:v>4</c:v>
                </c:pt>
                <c:pt idx="4">
                  <c:v>5</c:v>
                </c:pt>
                <c:pt idx="5">
                  <c:v>6</c:v>
                </c:pt>
                <c:pt idx="6">
                  <c:v>7</c:v>
                </c:pt>
                <c:pt idx="7">
                  <c:v>8</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Etappes!$AC$43:$AX$43</c:f>
              <c:numCache>
                <c:formatCode>0</c:formatCode>
                <c:ptCount val="21"/>
                <c:pt idx="0">
                  <c:v>-6.9858054641133336</c:v>
                </c:pt>
                <c:pt idx="1">
                  <c:v>26.754488814213943</c:v>
                </c:pt>
                <c:pt idx="2">
                  <c:v>-4.8873034681371337</c:v>
                </c:pt>
                <c:pt idx="3">
                  <c:v>4.33697494023545</c:v>
                </c:pt>
                <c:pt idx="4">
                  <c:v>19.433315855466617</c:v>
                </c:pt>
                <c:pt idx="5">
                  <c:v>-19.527907500123547</c:v>
                </c:pt>
                <c:pt idx="6">
                  <c:v>12.027592378207714</c:v>
                </c:pt>
                <c:pt idx="7">
                  <c:v>-2.9055421921680136</c:v>
                </c:pt>
                <c:pt idx="8">
                  <c:v>-31.045483069341572</c:v>
                </c:pt>
                <c:pt idx="9">
                  <c:v>-39.971664205118032</c:v>
                </c:pt>
                <c:pt idx="10">
                  <c:v>-80.365544115142029</c:v>
                </c:pt>
                <c:pt idx="11">
                  <c:v>-109.25488479000092</c:v>
                </c:pt>
                <c:pt idx="12">
                  <c:v>-81.748811055118267</c:v>
                </c:pt>
                <c:pt idx="13">
                  <c:v>-100.47222620214848</c:v>
                </c:pt>
                <c:pt idx="14">
                  <c:v>-102.06972126173537</c:v>
                </c:pt>
                <c:pt idx="15">
                  <c:v>-100.56558148400518</c:v>
                </c:pt>
                <c:pt idx="16">
                  <c:v>-133.10477228314016</c:v>
                </c:pt>
                <c:pt idx="17">
                  <c:v>-152.7464221097091</c:v>
                </c:pt>
                <c:pt idx="18">
                  <c:v>-180.58915239067255</c:v>
                </c:pt>
                <c:pt idx="19">
                  <c:v>-168.26067512894042</c:v>
                </c:pt>
                <c:pt idx="20">
                  <c:v>-218.36321011103337</c:v>
                </c:pt>
              </c:numCache>
            </c:numRef>
          </c:val>
        </c:ser>
        <c:ser>
          <c:idx val="2"/>
          <c:order val="7"/>
          <c:tx>
            <c:strRef>
              <c:f>Etappes!$AB$44</c:f>
              <c:strCache>
                <c:ptCount val="1"/>
                <c:pt idx="0">
                  <c:v>Am Selfkant</c:v>
                </c:pt>
              </c:strCache>
            </c:strRef>
          </c:tx>
          <c:spPr>
            <a:ln w="38100">
              <a:solidFill>
                <a:srgbClr val="FFFF00"/>
              </a:solidFill>
              <a:prstDash val="solid"/>
            </a:ln>
          </c:spPr>
          <c:marker>
            <c:symbol val="triangle"/>
            <c:size val="5"/>
            <c:spPr>
              <a:solidFill>
                <a:srgbClr val="FFFF00"/>
              </a:solidFill>
              <a:ln>
                <a:solidFill>
                  <a:srgbClr val="000000"/>
                </a:solidFill>
                <a:prstDash val="solid"/>
              </a:ln>
            </c:spPr>
          </c:marker>
          <c:cat>
            <c:strRef>
              <c:f>Etappes!$AC$36:$AX$36</c:f>
              <c:strCache>
                <c:ptCount val="21"/>
                <c:pt idx="0">
                  <c:v>1</c:v>
                </c:pt>
                <c:pt idx="1">
                  <c:v>2</c:v>
                </c:pt>
                <c:pt idx="2">
                  <c:v>3</c:v>
                </c:pt>
                <c:pt idx="3">
                  <c:v>4</c:v>
                </c:pt>
                <c:pt idx="4">
                  <c:v>5</c:v>
                </c:pt>
                <c:pt idx="5">
                  <c:v>6</c:v>
                </c:pt>
                <c:pt idx="6">
                  <c:v>7</c:v>
                </c:pt>
                <c:pt idx="7">
                  <c:v>8</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Etappes!$AC$44:$AX$44</c:f>
              <c:numCache>
                <c:formatCode>0</c:formatCode>
                <c:ptCount val="21"/>
                <c:pt idx="0">
                  <c:v>-39.765020314995859</c:v>
                </c:pt>
                <c:pt idx="1">
                  <c:v>-63.733172337780729</c:v>
                </c:pt>
                <c:pt idx="2">
                  <c:v>-70.343564188548783</c:v>
                </c:pt>
                <c:pt idx="3">
                  <c:v>-113.77036750429505</c:v>
                </c:pt>
                <c:pt idx="4">
                  <c:v>-156.00785329188017</c:v>
                </c:pt>
                <c:pt idx="5">
                  <c:v>-180.95489803849557</c:v>
                </c:pt>
                <c:pt idx="6">
                  <c:v>-193.34908830568543</c:v>
                </c:pt>
                <c:pt idx="7">
                  <c:v>-192.05438300442938</c:v>
                </c:pt>
                <c:pt idx="8">
                  <c:v>-205.20783713341496</c:v>
                </c:pt>
                <c:pt idx="9">
                  <c:v>-213.50397621751222</c:v>
                </c:pt>
                <c:pt idx="10">
                  <c:v>-224.69455562402254</c:v>
                </c:pt>
                <c:pt idx="11">
                  <c:v>-226.03232766058113</c:v>
                </c:pt>
                <c:pt idx="12">
                  <c:v>-237.24829785863722</c:v>
                </c:pt>
                <c:pt idx="13">
                  <c:v>-258.6962191750913</c:v>
                </c:pt>
                <c:pt idx="14">
                  <c:v>-265.41919146590726</c:v>
                </c:pt>
                <c:pt idx="15">
                  <c:v>-269.26189504567151</c:v>
                </c:pt>
                <c:pt idx="16">
                  <c:v>-252.3683270333197</c:v>
                </c:pt>
                <c:pt idx="17">
                  <c:v>-258.9153190830948</c:v>
                </c:pt>
                <c:pt idx="18">
                  <c:v>-264.485211429017</c:v>
                </c:pt>
                <c:pt idx="19">
                  <c:v>-293.79059406879514</c:v>
                </c:pt>
                <c:pt idx="20">
                  <c:v>-287.71721747007723</c:v>
                </c:pt>
              </c:numCache>
            </c:numRef>
          </c:val>
        </c:ser>
        <c:ser>
          <c:idx val="10"/>
          <c:order val="8"/>
          <c:tx>
            <c:strRef>
              <c:f>Etappes!$AB$45</c:f>
              <c:strCache>
                <c:ptCount val="1"/>
                <c:pt idx="0">
                  <c:v>Freaky naar de top</c:v>
                </c:pt>
              </c:strCache>
            </c:strRef>
          </c:tx>
          <c:spPr>
            <a:ln>
              <a:prstDash val="sysDash"/>
            </a:ln>
          </c:spPr>
          <c:marker>
            <c:symbol val="square"/>
            <c:size val="5"/>
            <c:spPr>
              <a:ln>
                <a:prstDash val="sysDash"/>
              </a:ln>
            </c:spPr>
          </c:marker>
          <c:cat>
            <c:strRef>
              <c:f>Etappes!$AC$36:$AX$36</c:f>
              <c:strCache>
                <c:ptCount val="21"/>
                <c:pt idx="0">
                  <c:v>1</c:v>
                </c:pt>
                <c:pt idx="1">
                  <c:v>2</c:v>
                </c:pt>
                <c:pt idx="2">
                  <c:v>3</c:v>
                </c:pt>
                <c:pt idx="3">
                  <c:v>4</c:v>
                </c:pt>
                <c:pt idx="4">
                  <c:v>5</c:v>
                </c:pt>
                <c:pt idx="5">
                  <c:v>6</c:v>
                </c:pt>
                <c:pt idx="6">
                  <c:v>7</c:v>
                </c:pt>
                <c:pt idx="7">
                  <c:v>8</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Etappes!$AC$45:$AX$45</c:f>
              <c:numCache>
                <c:formatCode>0</c:formatCode>
                <c:ptCount val="21"/>
                <c:pt idx="0">
                  <c:v>-31.198737443980043</c:v>
                </c:pt>
                <c:pt idx="1">
                  <c:v>-53.67259832691586</c:v>
                </c:pt>
                <c:pt idx="2">
                  <c:v>-74.01271471015832</c:v>
                </c:pt>
                <c:pt idx="3">
                  <c:v>-99.922283277575161</c:v>
                </c:pt>
                <c:pt idx="4">
                  <c:v>-136.52288862671986</c:v>
                </c:pt>
                <c:pt idx="5">
                  <c:v>-147.63664410839613</c:v>
                </c:pt>
                <c:pt idx="6">
                  <c:v>-162.41282322227596</c:v>
                </c:pt>
                <c:pt idx="7">
                  <c:v>-178.17670885414816</c:v>
                </c:pt>
                <c:pt idx="8">
                  <c:v>-187.17129922658353</c:v>
                </c:pt>
                <c:pt idx="9">
                  <c:v>-201.13390867268254</c:v>
                </c:pt>
                <c:pt idx="10">
                  <c:v>-198.22488950220145</c:v>
                </c:pt>
                <c:pt idx="11">
                  <c:v>-211.19150149837742</c:v>
                </c:pt>
                <c:pt idx="12">
                  <c:v>-196.96013743365779</c:v>
                </c:pt>
                <c:pt idx="13">
                  <c:v>-214.67972838137939</c:v>
                </c:pt>
                <c:pt idx="14">
                  <c:v>-219.58292037317142</c:v>
                </c:pt>
                <c:pt idx="15">
                  <c:v>-198.244599002212</c:v>
                </c:pt>
                <c:pt idx="16">
                  <c:v>-221.48976230085509</c:v>
                </c:pt>
                <c:pt idx="17">
                  <c:v>-226.0394345102377</c:v>
                </c:pt>
                <c:pt idx="18">
                  <c:v>-237.73444103336305</c:v>
                </c:pt>
                <c:pt idx="19">
                  <c:v>-266.07815115739686</c:v>
                </c:pt>
                <c:pt idx="20">
                  <c:v>-308.13278523124245</c:v>
                </c:pt>
              </c:numCache>
            </c:numRef>
          </c:val>
        </c:ser>
        <c:ser>
          <c:idx val="0"/>
          <c:order val="9"/>
          <c:tx>
            <c:strRef>
              <c:f>Etappes!$AB$46</c:f>
              <c:strCache>
                <c:ptCount val="1"/>
                <c:pt idx="0">
                  <c:v>Lothars Grand Depart</c:v>
                </c:pt>
              </c:strCache>
            </c:strRef>
          </c:tx>
          <c:spPr>
            <a:ln w="38100">
              <a:solidFill>
                <a:srgbClr val="FF0000"/>
              </a:solidFill>
              <a:prstDash val="dashDot"/>
            </a:ln>
          </c:spPr>
          <c:marker>
            <c:symbol val="triangle"/>
            <c:size val="5"/>
            <c:spPr>
              <a:solidFill>
                <a:srgbClr val="000080"/>
              </a:solidFill>
              <a:ln>
                <a:solidFill>
                  <a:srgbClr val="FFCC00"/>
                </a:solidFill>
                <a:prstDash val="dashDot"/>
              </a:ln>
            </c:spPr>
          </c:marker>
          <c:cat>
            <c:strRef>
              <c:f>Etappes!$AC$36:$AX$36</c:f>
              <c:strCache>
                <c:ptCount val="21"/>
                <c:pt idx="0">
                  <c:v>1</c:v>
                </c:pt>
                <c:pt idx="1">
                  <c:v>2</c:v>
                </c:pt>
                <c:pt idx="2">
                  <c:v>3</c:v>
                </c:pt>
                <c:pt idx="3">
                  <c:v>4</c:v>
                </c:pt>
                <c:pt idx="4">
                  <c:v>5</c:v>
                </c:pt>
                <c:pt idx="5">
                  <c:v>6</c:v>
                </c:pt>
                <c:pt idx="6">
                  <c:v>7</c:v>
                </c:pt>
                <c:pt idx="7">
                  <c:v>8</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Etappes!$AC$46:$AX$46</c:f>
              <c:numCache>
                <c:formatCode>0</c:formatCode>
                <c:ptCount val="21"/>
                <c:pt idx="0">
                  <c:v>12.017625067619086</c:v>
                </c:pt>
                <c:pt idx="1">
                  <c:v>-40.813264187501318</c:v>
                </c:pt>
                <c:pt idx="2">
                  <c:v>-51.340133656816391</c:v>
                </c:pt>
                <c:pt idx="3">
                  <c:v>-94.903162281033872</c:v>
                </c:pt>
                <c:pt idx="4">
                  <c:v>-108.31196716340128</c:v>
                </c:pt>
                <c:pt idx="5">
                  <c:v>-121.93528314334822</c:v>
                </c:pt>
                <c:pt idx="6">
                  <c:v>-195.95439733019714</c:v>
                </c:pt>
                <c:pt idx="7">
                  <c:v>-178.15940154036696</c:v>
                </c:pt>
                <c:pt idx="8">
                  <c:v>-160.90225836951299</c:v>
                </c:pt>
                <c:pt idx="9">
                  <c:v>-132.8773245824766</c:v>
                </c:pt>
                <c:pt idx="10">
                  <c:v>-123.65113588186591</c:v>
                </c:pt>
                <c:pt idx="11">
                  <c:v>-128.25831532173333</c:v>
                </c:pt>
                <c:pt idx="12">
                  <c:v>-123.97865668119039</c:v>
                </c:pt>
                <c:pt idx="13">
                  <c:v>-154.31527937539022</c:v>
                </c:pt>
                <c:pt idx="14">
                  <c:v>-145.35531302845925</c:v>
                </c:pt>
                <c:pt idx="15">
                  <c:v>-122.73625043769289</c:v>
                </c:pt>
                <c:pt idx="16">
                  <c:v>-80.317465250549958</c:v>
                </c:pt>
                <c:pt idx="17">
                  <c:v>-36.614346638011284</c:v>
                </c:pt>
                <c:pt idx="18">
                  <c:v>-48.620884809197378</c:v>
                </c:pt>
                <c:pt idx="19">
                  <c:v>-85.912476158100162</c:v>
                </c:pt>
                <c:pt idx="20">
                  <c:v>5.4549717071486157</c:v>
                </c:pt>
              </c:numCache>
            </c:numRef>
          </c:val>
        </c:ser>
        <c:ser>
          <c:idx val="1"/>
          <c:order val="10"/>
          <c:tx>
            <c:strRef>
              <c:f>Etappes!$AB$47</c:f>
              <c:strCache>
                <c:ptCount val="1"/>
                <c:pt idx="0">
                  <c:v>IJffjes Boys</c:v>
                </c:pt>
              </c:strCache>
            </c:strRef>
          </c:tx>
          <c:spPr>
            <a:ln w="38100">
              <a:solidFill>
                <a:srgbClr val="FF00FF"/>
              </a:solidFill>
              <a:prstDash val="solid"/>
            </a:ln>
          </c:spPr>
          <c:marker>
            <c:symbol val="plus"/>
            <c:size val="5"/>
            <c:spPr>
              <a:noFill/>
              <a:ln>
                <a:solidFill>
                  <a:srgbClr val="FFFF00"/>
                </a:solidFill>
                <a:prstDash val="solid"/>
              </a:ln>
            </c:spPr>
          </c:marker>
          <c:cat>
            <c:strRef>
              <c:f>Etappes!$AC$36:$AX$36</c:f>
              <c:strCache>
                <c:ptCount val="21"/>
                <c:pt idx="0">
                  <c:v>1</c:v>
                </c:pt>
                <c:pt idx="1">
                  <c:v>2</c:v>
                </c:pt>
                <c:pt idx="2">
                  <c:v>3</c:v>
                </c:pt>
                <c:pt idx="3">
                  <c:v>4</c:v>
                </c:pt>
                <c:pt idx="4">
                  <c:v>5</c:v>
                </c:pt>
                <c:pt idx="5">
                  <c:v>6</c:v>
                </c:pt>
                <c:pt idx="6">
                  <c:v>7</c:v>
                </c:pt>
                <c:pt idx="7">
                  <c:v>8</c:v>
                </c:pt>
                <c:pt idx="8">
                  <c:v>10</c:v>
                </c:pt>
                <c:pt idx="9">
                  <c:v>11</c:v>
                </c:pt>
                <c:pt idx="10">
                  <c:v>12</c:v>
                </c:pt>
                <c:pt idx="11">
                  <c:v>13</c:v>
                </c:pt>
                <c:pt idx="12">
                  <c:v>14</c:v>
                </c:pt>
                <c:pt idx="13">
                  <c:v>15</c:v>
                </c:pt>
                <c:pt idx="14">
                  <c:v>16</c:v>
                </c:pt>
                <c:pt idx="15">
                  <c:v>17</c:v>
                </c:pt>
                <c:pt idx="16">
                  <c:v>18</c:v>
                </c:pt>
                <c:pt idx="17">
                  <c:v>19</c:v>
                </c:pt>
                <c:pt idx="18">
                  <c:v>20</c:v>
                </c:pt>
                <c:pt idx="19">
                  <c:v>21</c:v>
                </c:pt>
                <c:pt idx="20">
                  <c:v>B</c:v>
                </c:pt>
              </c:strCache>
            </c:strRef>
          </c:cat>
          <c:val>
            <c:numRef>
              <c:f>Etappes!$AC$47:$AX$47</c:f>
              <c:numCache>
                <c:formatCode>0</c:formatCode>
                <c:ptCount val="21"/>
                <c:pt idx="0">
                  <c:v>-5.1438653889335839</c:v>
                </c:pt>
                <c:pt idx="1">
                  <c:v>-98.834376555663027</c:v>
                </c:pt>
                <c:pt idx="2">
                  <c:v>-47.723641557987804</c:v>
                </c:pt>
                <c:pt idx="3">
                  <c:v>-63.230778061479725</c:v>
                </c:pt>
                <c:pt idx="4">
                  <c:v>-175.49785453977427</c:v>
                </c:pt>
                <c:pt idx="5">
                  <c:v>-195.43318467978827</c:v>
                </c:pt>
                <c:pt idx="6">
                  <c:v>-288.72528160449349</c:v>
                </c:pt>
                <c:pt idx="7">
                  <c:v>-275.46774795108172</c:v>
                </c:pt>
                <c:pt idx="8">
                  <c:v>-240.99071134568146</c:v>
                </c:pt>
                <c:pt idx="9">
                  <c:v>-192.92906357010429</c:v>
                </c:pt>
                <c:pt idx="10">
                  <c:v>-186.78026255607438</c:v>
                </c:pt>
                <c:pt idx="11">
                  <c:v>-175.21430962851014</c:v>
                </c:pt>
                <c:pt idx="12">
                  <c:v>-218.42076463345461</c:v>
                </c:pt>
                <c:pt idx="13">
                  <c:v>-289.90902412923106</c:v>
                </c:pt>
                <c:pt idx="14">
                  <c:v>-320.73047086941347</c:v>
                </c:pt>
                <c:pt idx="15">
                  <c:v>-291.50737922861254</c:v>
                </c:pt>
                <c:pt idx="16">
                  <c:v>-291.72276797672748</c:v>
                </c:pt>
                <c:pt idx="17">
                  <c:v>-270.10046758250178</c:v>
                </c:pt>
                <c:pt idx="18">
                  <c:v>-254.43297925830484</c:v>
                </c:pt>
                <c:pt idx="19">
                  <c:v>-350.7340410644897</c:v>
                </c:pt>
                <c:pt idx="20">
                  <c:v>-283.96323200804363</c:v>
                </c:pt>
              </c:numCache>
            </c:numRef>
          </c:val>
        </c:ser>
        <c:marker val="1"/>
        <c:axId val="84309120"/>
        <c:axId val="84311424"/>
      </c:lineChart>
      <c:catAx>
        <c:axId val="84309120"/>
        <c:scaling>
          <c:orientation val="minMax"/>
        </c:scaling>
        <c:axPos val="b"/>
        <c:numFmt formatCode="General" sourceLinked="1"/>
        <c:tickLblPos val="low"/>
        <c:spPr>
          <a:ln w="3175">
            <a:solidFill>
              <a:srgbClr val="FFFFFF"/>
            </a:solidFill>
            <a:prstDash val="solid"/>
          </a:ln>
        </c:spPr>
        <c:txPr>
          <a:bodyPr rot="0" vert="horz"/>
          <a:lstStyle/>
          <a:p>
            <a:pPr>
              <a:defRPr sz="950" b="1" i="1" u="none" strike="noStrike" baseline="0">
                <a:solidFill>
                  <a:srgbClr val="FFFFFF"/>
                </a:solidFill>
                <a:latin typeface="Arial"/>
                <a:ea typeface="Arial"/>
                <a:cs typeface="Arial"/>
              </a:defRPr>
            </a:pPr>
            <a:endParaRPr lang="nl-NL"/>
          </a:p>
        </c:txPr>
        <c:crossAx val="84311424"/>
        <c:crosses val="autoZero"/>
        <c:auto val="1"/>
        <c:lblAlgn val="ctr"/>
        <c:lblOffset val="100"/>
        <c:tickLblSkip val="1"/>
        <c:tickMarkSkip val="1"/>
      </c:catAx>
      <c:valAx>
        <c:axId val="84311424"/>
        <c:scaling>
          <c:orientation val="minMax"/>
          <c:max val="700"/>
          <c:min val="-300"/>
        </c:scaling>
        <c:axPos val="l"/>
        <c:majorGridlines>
          <c:spPr>
            <a:ln w="12700">
              <a:solidFill>
                <a:srgbClr val="99CC00"/>
              </a:solidFill>
              <a:prstDash val="sysDot"/>
            </a:ln>
          </c:spPr>
        </c:majorGridlines>
        <c:numFmt formatCode="0" sourceLinked="0"/>
        <c:tickLblPos val="high"/>
        <c:spPr>
          <a:ln w="9525">
            <a:noFill/>
          </a:ln>
        </c:spPr>
        <c:txPr>
          <a:bodyPr rot="0" vert="horz"/>
          <a:lstStyle/>
          <a:p>
            <a:pPr>
              <a:defRPr sz="950" b="1" i="1" u="none" strike="noStrike" baseline="0">
                <a:solidFill>
                  <a:srgbClr val="FFFFFF"/>
                </a:solidFill>
                <a:latin typeface="Arial"/>
                <a:ea typeface="Arial"/>
                <a:cs typeface="Arial"/>
              </a:defRPr>
            </a:pPr>
            <a:endParaRPr lang="nl-NL"/>
          </a:p>
        </c:txPr>
        <c:crossAx val="84309120"/>
        <c:crosses val="autoZero"/>
        <c:crossBetween val="midCat"/>
      </c:valAx>
      <c:spPr>
        <a:noFill/>
        <a:ln w="25400">
          <a:noFill/>
        </a:ln>
      </c:spPr>
    </c:plotArea>
    <c:legend>
      <c:legendPos val="r"/>
      <c:layout>
        <c:manualLayout>
          <c:xMode val="edge"/>
          <c:yMode val="edge"/>
          <c:x val="7.0665287831782192E-2"/>
          <c:y val="0.89943502824859123"/>
          <c:w val="0.82597040933482435"/>
          <c:h val="8.4745762711865277E-2"/>
        </c:manualLayout>
      </c:layout>
      <c:spPr>
        <a:noFill/>
        <a:ln w="3175">
          <a:solidFill>
            <a:srgbClr val="000000"/>
          </a:solidFill>
          <a:prstDash val="solid"/>
        </a:ln>
      </c:spPr>
      <c:txPr>
        <a:bodyPr/>
        <a:lstStyle/>
        <a:p>
          <a:pPr>
            <a:defRPr sz="735" b="1" i="1" u="none" strike="noStrike" baseline="0">
              <a:solidFill>
                <a:srgbClr val="FFFFFF"/>
              </a:solidFill>
              <a:latin typeface="Arial"/>
              <a:ea typeface="Arial"/>
              <a:cs typeface="Arial"/>
            </a:defRPr>
          </a:pPr>
          <a:endParaRPr lang="nl-NL"/>
        </a:p>
      </c:txPr>
    </c:legend>
    <c:plotVisOnly val="1"/>
    <c:dispBlanksAs val="gap"/>
  </c:chart>
  <c:spPr>
    <a:solidFill>
      <a:srgbClr val="002060"/>
    </a:solidFill>
    <a:ln w="9525">
      <a:noFill/>
    </a:ln>
  </c:spPr>
  <c:txPr>
    <a:bodyPr/>
    <a:lstStyle/>
    <a:p>
      <a:pPr>
        <a:defRPr sz="950" b="0" i="0" u="none" strike="noStrike" baseline="0">
          <a:solidFill>
            <a:srgbClr val="000000"/>
          </a:solidFill>
          <a:latin typeface="Arial"/>
          <a:ea typeface="Arial"/>
          <a:cs typeface="Arial"/>
        </a:defRPr>
      </a:pPr>
      <a:endParaRPr lang="nl-NL"/>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chartsheets/sheet1.xml><?xml version="1.0" encoding="utf-8"?>
<chartsheet xmlns="http://schemas.openxmlformats.org/spreadsheetml/2006/main" xmlns:r="http://schemas.openxmlformats.org/officeDocument/2006/relationships">
  <sheetPr codeName="Grafiek2">
    <tabColor rgb="FFFFFF00"/>
  </sheetPr>
  <sheetViews>
    <sheetView zoomScale="110" workbookViewId="0"/>
  </sheetViews>
  <pageMargins left="0.75" right="0.75" top="1" bottom="1" header="0.5" footer="0.5"/>
  <pageSetup paperSize="9" orientation="landscape" verticalDpi="300" r:id="rId1"/>
  <headerFooter alignWithMargins="0"/>
  <drawing r:id="rId2"/>
</chartsheet>
</file>

<file path=xl/chartsheets/sheet2.xml><?xml version="1.0" encoding="utf-8"?>
<chartsheet xmlns="http://schemas.openxmlformats.org/spreadsheetml/2006/main" xmlns:r="http://schemas.openxmlformats.org/officeDocument/2006/relationships">
  <sheetPr codeName="Grafiek3">
    <tabColor rgb="FFFFFF00"/>
  </sheetPr>
  <sheetViews>
    <sheetView zoomScale="110" workbookViewId="0"/>
  </sheetViews>
  <pageMargins left="0.75" right="0.75" top="1" bottom="1" header="0.5" footer="0.5"/>
  <pageSetup paperSize="9" orientation="landscape" verticalDpi="300" r:id="rId1"/>
  <headerFooter alignWithMargins="0"/>
  <drawing r:id="rId2"/>
</chartsheet>
</file>

<file path=xl/chartsheets/sheet3.xml><?xml version="1.0" encoding="utf-8"?>
<chartsheet xmlns="http://schemas.openxmlformats.org/spreadsheetml/2006/main" xmlns:r="http://schemas.openxmlformats.org/officeDocument/2006/relationships">
  <sheetPr>
    <tabColor rgb="FFFFC000"/>
  </sheetPr>
  <sheetViews>
    <sheetView zoomScale="110" workbookViewId="0"/>
  </sheetViews>
  <pageMargins left="0.75" right="0.75" top="1" bottom="1" header="0.5" footer="0.5"/>
  <pageSetup paperSize="9" orientation="landscape" verticalDpi="300"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19916" y="-25977"/>
    <xdr:ext cx="9210675" cy="5619750"/>
    <xdr:graphicFrame macro="">
      <xdr:nvGraphicFramePr>
        <xdr:cNvPr id="2" name="Grafiek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11257" y="-8659"/>
    <xdr:ext cx="9210675" cy="5619750"/>
    <xdr:graphicFrame macro="">
      <xdr:nvGraphicFramePr>
        <xdr:cNvPr id="2" name="Grafiek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twoCellAnchor editAs="oneCell">
    <xdr:from>
      <xdr:col>13</xdr:col>
      <xdr:colOff>0</xdr:colOff>
      <xdr:row>23</xdr:row>
      <xdr:rowOff>0</xdr:rowOff>
    </xdr:from>
    <xdr:to>
      <xdr:col>13</xdr:col>
      <xdr:colOff>9525</xdr:colOff>
      <xdr:row>23</xdr:row>
      <xdr:rowOff>9525</xdr:rowOff>
    </xdr:to>
    <xdr:pic>
      <xdr:nvPicPr>
        <xdr:cNvPr id="4160" name="Picture 1" descr="hit"/>
        <xdr:cNvPicPr>
          <a:picLocks noChangeAspect="1" noChangeArrowheads="1"/>
        </xdr:cNvPicPr>
      </xdr:nvPicPr>
      <xdr:blipFill>
        <a:blip xmlns:r="http://schemas.openxmlformats.org/officeDocument/2006/relationships" r:embed="rId1"/>
        <a:srcRect/>
        <a:stretch>
          <a:fillRect/>
        </a:stretch>
      </xdr:blipFill>
      <xdr:spPr bwMode="auto">
        <a:xfrm>
          <a:off x="7772400" y="2447925"/>
          <a:ext cx="9525" cy="95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absoluteAnchor>
    <xdr:pos x="11257" y="-8659"/>
    <xdr:ext cx="9210675" cy="5619750"/>
    <xdr:graphicFrame macro="">
      <xdr:nvGraphicFramePr>
        <xdr:cNvPr id="2" name="Grafiek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9</xdr:row>
      <xdr:rowOff>0</xdr:rowOff>
    </xdr:from>
    <xdr:to>
      <xdr:col>6</xdr:col>
      <xdr:colOff>9525</xdr:colOff>
      <xdr:row>9</xdr:row>
      <xdr:rowOff>9525</xdr:rowOff>
    </xdr:to>
    <xdr:pic>
      <xdr:nvPicPr>
        <xdr:cNvPr id="1151" name="Picture 1" descr="hit"/>
        <xdr:cNvPicPr>
          <a:picLocks noChangeAspect="1" noChangeArrowheads="1"/>
        </xdr:cNvPicPr>
      </xdr:nvPicPr>
      <xdr:blipFill>
        <a:blip xmlns:r="http://schemas.openxmlformats.org/officeDocument/2006/relationships" r:embed="rId1"/>
        <a:srcRect/>
        <a:stretch>
          <a:fillRect/>
        </a:stretch>
      </xdr:blipFill>
      <xdr:spPr bwMode="auto">
        <a:xfrm>
          <a:off x="4705350" y="1809750"/>
          <a:ext cx="9525" cy="9525"/>
        </a:xfrm>
        <a:prstGeom prst="rect">
          <a:avLst/>
        </a:prstGeom>
        <a:noFill/>
        <a:ln w="9525">
          <a:noFill/>
          <a:miter lim="800000"/>
          <a:headEnd/>
          <a:tailEnd/>
        </a:ln>
      </xdr:spPr>
    </xdr:pic>
    <xdr:clientData/>
  </xdr:twoCellAnchor>
  <xdr:twoCellAnchor editAs="oneCell">
    <xdr:from>
      <xdr:col>8</xdr:col>
      <xdr:colOff>0</xdr:colOff>
      <xdr:row>18</xdr:row>
      <xdr:rowOff>0</xdr:rowOff>
    </xdr:from>
    <xdr:to>
      <xdr:col>8</xdr:col>
      <xdr:colOff>9525</xdr:colOff>
      <xdr:row>18</xdr:row>
      <xdr:rowOff>9525</xdr:rowOff>
    </xdr:to>
    <xdr:pic>
      <xdr:nvPicPr>
        <xdr:cNvPr id="1152" name="Picture 2" descr="hit"/>
        <xdr:cNvPicPr>
          <a:picLocks noChangeAspect="1" noChangeArrowheads="1"/>
        </xdr:cNvPicPr>
      </xdr:nvPicPr>
      <xdr:blipFill>
        <a:blip xmlns:r="http://schemas.openxmlformats.org/officeDocument/2006/relationships" r:embed="rId1"/>
        <a:srcRect/>
        <a:stretch>
          <a:fillRect/>
        </a:stretch>
      </xdr:blipFill>
      <xdr:spPr bwMode="auto">
        <a:xfrm>
          <a:off x="3638550" y="3267075"/>
          <a:ext cx="9525" cy="9525"/>
        </a:xfrm>
        <a:prstGeom prst="rect">
          <a:avLst/>
        </a:prstGeom>
        <a:noFill/>
        <a:ln w="9525">
          <a:noFill/>
          <a:miter lim="800000"/>
          <a:headEnd/>
          <a:tailEnd/>
        </a:ln>
      </xdr:spPr>
    </xdr:pic>
    <xdr:clientData/>
  </xdr:twoCellAnchor>
  <xdr:twoCellAnchor editAs="oneCell">
    <xdr:from>
      <xdr:col>9</xdr:col>
      <xdr:colOff>0</xdr:colOff>
      <xdr:row>28</xdr:row>
      <xdr:rowOff>0</xdr:rowOff>
    </xdr:from>
    <xdr:to>
      <xdr:col>9</xdr:col>
      <xdr:colOff>9525</xdr:colOff>
      <xdr:row>28</xdr:row>
      <xdr:rowOff>9525</xdr:rowOff>
    </xdr:to>
    <xdr:pic>
      <xdr:nvPicPr>
        <xdr:cNvPr id="4" name="Picture 2" descr="hit"/>
        <xdr:cNvPicPr>
          <a:picLocks noChangeAspect="1" noChangeArrowheads="1"/>
        </xdr:cNvPicPr>
      </xdr:nvPicPr>
      <xdr:blipFill>
        <a:blip xmlns:r="http://schemas.openxmlformats.org/officeDocument/2006/relationships" r:embed="rId1"/>
        <a:srcRect/>
        <a:stretch>
          <a:fillRect/>
        </a:stretch>
      </xdr:blipFill>
      <xdr:spPr bwMode="auto">
        <a:xfrm>
          <a:off x="3630706" y="3182471"/>
          <a:ext cx="9525" cy="952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9</xdr:row>
      <xdr:rowOff>0</xdr:rowOff>
    </xdr:from>
    <xdr:to>
      <xdr:col>2</xdr:col>
      <xdr:colOff>9525</xdr:colOff>
      <xdr:row>9</xdr:row>
      <xdr:rowOff>9525</xdr:rowOff>
    </xdr:to>
    <xdr:pic>
      <xdr:nvPicPr>
        <xdr:cNvPr id="6208" name="Picture 1" descr="hit"/>
        <xdr:cNvPicPr>
          <a:picLocks noChangeAspect="1" noChangeArrowheads="1"/>
        </xdr:cNvPicPr>
      </xdr:nvPicPr>
      <xdr:blipFill>
        <a:blip xmlns:r="http://schemas.openxmlformats.org/officeDocument/2006/relationships" r:embed="rId1"/>
        <a:srcRect/>
        <a:stretch>
          <a:fillRect/>
        </a:stretch>
      </xdr:blipFill>
      <xdr:spPr bwMode="auto">
        <a:xfrm>
          <a:off x="409575" y="1466850"/>
          <a:ext cx="9525" cy="952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13</xdr:col>
      <xdr:colOff>0</xdr:colOff>
      <xdr:row>31</xdr:row>
      <xdr:rowOff>0</xdr:rowOff>
    </xdr:from>
    <xdr:to>
      <xdr:col>13</xdr:col>
      <xdr:colOff>9525</xdr:colOff>
      <xdr:row>31</xdr:row>
      <xdr:rowOff>9525</xdr:rowOff>
    </xdr:to>
    <xdr:pic>
      <xdr:nvPicPr>
        <xdr:cNvPr id="2" name="Picture 1" descr="hit"/>
        <xdr:cNvPicPr>
          <a:picLocks noChangeAspect="1" noChangeArrowheads="1"/>
        </xdr:cNvPicPr>
      </xdr:nvPicPr>
      <xdr:blipFill>
        <a:blip xmlns:r="http://schemas.openxmlformats.org/officeDocument/2006/relationships" r:embed="rId1"/>
        <a:srcRect/>
        <a:stretch>
          <a:fillRect/>
        </a:stretch>
      </xdr:blipFill>
      <xdr:spPr bwMode="auto">
        <a:xfrm>
          <a:off x="8496300" y="3743325"/>
          <a:ext cx="9525" cy="95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sheetPr codeName="Blad1" enableFormatConditionsCalculation="0">
    <tabColor rgb="FF00B050"/>
    <pageSetUpPr fitToPage="1"/>
  </sheetPr>
  <dimension ref="A1:BH338"/>
  <sheetViews>
    <sheetView showZeros="0" tabSelected="1" topLeftCell="A33" zoomScale="90" zoomScaleNormal="90" workbookViewId="0">
      <pane xSplit="2" topLeftCell="C1" activePane="topRight" state="frozen"/>
      <selection activeCell="B11" sqref="B11"/>
      <selection pane="topRight" activeCell="A49" sqref="A49"/>
    </sheetView>
  </sheetViews>
  <sheetFormatPr defaultRowHeight="12" customHeight="1"/>
  <cols>
    <col min="1" max="1" width="4.140625" style="116" customWidth="1"/>
    <col min="2" max="2" width="30.140625" style="116" customWidth="1"/>
    <col min="3" max="5" width="5.140625" style="117" customWidth="1"/>
    <col min="6" max="6" width="5.140625" style="123" customWidth="1"/>
    <col min="7" max="10" width="5.140625" style="117" customWidth="1"/>
    <col min="11" max="11" width="5.140625" style="116" hidden="1" customWidth="1"/>
    <col min="12" max="12" width="5.140625" style="120" customWidth="1"/>
    <col min="13" max="13" width="5.140625" style="116" customWidth="1"/>
    <col min="14" max="14" width="5.140625" style="117" customWidth="1"/>
    <col min="15" max="23" width="5.140625" style="116" customWidth="1"/>
    <col min="24" max="24" width="5.140625" style="165" customWidth="1"/>
    <col min="25" max="25" width="7" style="116" customWidth="1"/>
    <col min="26" max="26" width="6.7109375" style="116" customWidth="1"/>
    <col min="27" max="27" width="5.7109375" style="116" customWidth="1"/>
    <col min="28" max="28" width="22.7109375" style="116" customWidth="1"/>
    <col min="29" max="30" width="6.5703125" style="116" customWidth="1"/>
    <col min="31" max="34" width="4.7109375" style="116" customWidth="1"/>
    <col min="35" max="35" width="5.28515625" style="116" customWidth="1"/>
    <col min="36" max="36" width="4.7109375" style="116" customWidth="1"/>
    <col min="37" max="37" width="4.7109375" style="116" hidden="1" customWidth="1"/>
    <col min="38" max="50" width="4.7109375" style="116" customWidth="1"/>
    <col min="51" max="52" width="9.140625" style="116" customWidth="1"/>
    <col min="53" max="16384" width="9.140625" style="116"/>
  </cols>
  <sheetData>
    <row r="1" spans="1:28" ht="13.5" hidden="1" customHeight="1">
      <c r="C1" s="117" t="s">
        <v>24</v>
      </c>
      <c r="D1" s="117" t="s">
        <v>25</v>
      </c>
      <c r="E1" s="117" t="s">
        <v>26</v>
      </c>
      <c r="F1" s="117" t="s">
        <v>27</v>
      </c>
      <c r="G1" s="117" t="s">
        <v>28</v>
      </c>
      <c r="H1" s="117" t="s">
        <v>29</v>
      </c>
      <c r="I1" s="117" t="s">
        <v>30</v>
      </c>
      <c r="J1" s="117" t="s">
        <v>31</v>
      </c>
      <c r="K1" s="117" t="s">
        <v>32</v>
      </c>
      <c r="L1" s="117" t="s">
        <v>33</v>
      </c>
      <c r="M1" s="117" t="s">
        <v>34</v>
      </c>
      <c r="N1" s="117" t="s">
        <v>23</v>
      </c>
      <c r="O1" s="117" t="s">
        <v>35</v>
      </c>
      <c r="P1" s="117" t="s">
        <v>36</v>
      </c>
      <c r="Q1" s="117" t="s">
        <v>37</v>
      </c>
      <c r="R1" s="117" t="s">
        <v>38</v>
      </c>
      <c r="S1" s="117" t="s">
        <v>39</v>
      </c>
      <c r="T1" s="117" t="s">
        <v>40</v>
      </c>
      <c r="U1" s="117" t="s">
        <v>41</v>
      </c>
      <c r="V1" s="163" t="s">
        <v>42</v>
      </c>
      <c r="W1" s="163" t="s">
        <v>60</v>
      </c>
      <c r="X1" s="163" t="s">
        <v>129</v>
      </c>
    </row>
    <row r="2" spans="1:28" ht="13.5" hidden="1" customHeight="1" thickBot="1">
      <c r="B2" s="118" t="s">
        <v>7</v>
      </c>
      <c r="C2" s="119">
        <v>1</v>
      </c>
      <c r="D2" s="119">
        <v>2</v>
      </c>
      <c r="E2" s="119">
        <v>3</v>
      </c>
      <c r="F2" s="119">
        <v>4</v>
      </c>
      <c r="G2" s="119">
        <v>5</v>
      </c>
      <c r="H2" s="119">
        <v>6</v>
      </c>
      <c r="I2" s="119">
        <v>7</v>
      </c>
      <c r="J2" s="119">
        <v>8</v>
      </c>
      <c r="K2" s="119">
        <v>9</v>
      </c>
      <c r="L2" s="119">
        <v>10</v>
      </c>
      <c r="M2" s="119">
        <v>11</v>
      </c>
      <c r="N2" s="119">
        <v>12</v>
      </c>
      <c r="O2" s="119">
        <v>13</v>
      </c>
      <c r="P2" s="119">
        <v>14</v>
      </c>
      <c r="Q2" s="119">
        <v>15</v>
      </c>
      <c r="R2" s="119">
        <v>16</v>
      </c>
      <c r="S2" s="119">
        <v>17</v>
      </c>
      <c r="T2" s="119">
        <v>18</v>
      </c>
      <c r="U2" s="119">
        <v>19</v>
      </c>
      <c r="V2" s="119">
        <v>20</v>
      </c>
      <c r="W2" s="119">
        <v>21</v>
      </c>
      <c r="X2" s="164" t="s">
        <v>2</v>
      </c>
      <c r="Y2" s="117"/>
      <c r="AA2" s="117" t="s">
        <v>12</v>
      </c>
      <c r="AB2" s="182"/>
    </row>
    <row r="3" spans="1:28" ht="13.5" hidden="1" customHeight="1">
      <c r="A3" s="116">
        <v>6</v>
      </c>
      <c r="B3" s="120" t="str">
        <f t="shared" ref="B3:B13" ca="1" si="0">INDIRECT($AB3&amp;"!c1")</f>
        <v>El Gran</v>
      </c>
      <c r="C3" s="132">
        <f ca="1">ROUND(INDIRECT($AB3&amp;"!"&amp;C$1&amp;"22"),1)</f>
        <v>73</v>
      </c>
      <c r="D3" s="132">
        <f ca="1">ROUND(INDIRECT($AB3&amp;"!"&amp;D$1&amp;"22"),1)</f>
        <v>190</v>
      </c>
      <c r="E3" s="132">
        <f t="shared" ref="E3:X16" ca="1" si="1">ROUND(INDIRECT($AB3&amp;"!"&amp;E$1&amp;"22"),1)</f>
        <v>145</v>
      </c>
      <c r="F3" s="132">
        <f t="shared" ca="1" si="1"/>
        <v>209</v>
      </c>
      <c r="G3" s="132">
        <f t="shared" ca="1" si="1"/>
        <v>205</v>
      </c>
      <c r="H3" s="132">
        <f t="shared" ca="1" si="1"/>
        <v>165</v>
      </c>
      <c r="I3" s="132">
        <f t="shared" ca="1" si="1"/>
        <v>183</v>
      </c>
      <c r="J3" s="132">
        <f t="shared" ca="1" si="1"/>
        <v>137</v>
      </c>
      <c r="K3" s="132">
        <f t="shared" ca="1" si="1"/>
        <v>0.1</v>
      </c>
      <c r="L3" s="132">
        <f t="shared" ca="1" si="1"/>
        <v>91</v>
      </c>
      <c r="M3" s="132">
        <f t="shared" ca="1" si="1"/>
        <v>50</v>
      </c>
      <c r="N3" s="132">
        <f t="shared" ca="1" si="1"/>
        <v>129</v>
      </c>
      <c r="O3" s="132">
        <f t="shared" ca="1" si="1"/>
        <v>142</v>
      </c>
      <c r="P3" s="132">
        <f t="shared" ca="1" si="1"/>
        <v>157</v>
      </c>
      <c r="Q3" s="132">
        <f t="shared" ca="1" si="1"/>
        <v>144</v>
      </c>
      <c r="R3" s="132">
        <f t="shared" ca="1" si="1"/>
        <v>59</v>
      </c>
      <c r="S3" s="132">
        <f t="shared" ca="1" si="1"/>
        <v>69</v>
      </c>
      <c r="T3" s="132">
        <f t="shared" ca="1" si="1"/>
        <v>89</v>
      </c>
      <c r="U3" s="132">
        <f t="shared" ca="1" si="1"/>
        <v>96</v>
      </c>
      <c r="V3" s="132">
        <f t="shared" ca="1" si="1"/>
        <v>151</v>
      </c>
      <c r="W3" s="132">
        <f t="shared" ca="1" si="1"/>
        <v>141</v>
      </c>
      <c r="X3" s="325">
        <f t="shared" ca="1" si="1"/>
        <v>120</v>
      </c>
      <c r="Y3" s="186">
        <f t="shared" ref="Y3:Y10" ca="1" si="2">SUM(C3:X3)+RAND()/10</f>
        <v>2745.1636936010955</v>
      </c>
      <c r="Z3" s="116">
        <f t="shared" ref="Z3:Z13" ca="1" si="3">RANK(Y3,$Y$3:$Y$13)</f>
        <v>5</v>
      </c>
      <c r="AA3" s="122">
        <f ca="1">IF(AB3&lt;&gt;"",HLOOKUP(AB3,originaliteit!$B$1:$M$65,65,0),"")</f>
        <v>1.0557461406518009</v>
      </c>
      <c r="AB3" s="183" t="str">
        <f t="shared" ref="AB3:AB13" si="4">INDEX(lijst_sheets,,A3)</f>
        <v>Gran</v>
      </c>
    </row>
    <row r="4" spans="1:28" ht="13.5" hidden="1" customHeight="1">
      <c r="A4" s="116">
        <v>2</v>
      </c>
      <c r="B4" s="120" t="str">
        <f t="shared" ca="1" si="0"/>
        <v>Mahawat</v>
      </c>
      <c r="C4" s="132">
        <f t="shared" ref="C4:C19" ca="1" si="5">ROUND(INDIRECT($AB4&amp;"!"&amp;C$1&amp;"22"),1)</f>
        <v>128</v>
      </c>
      <c r="D4" s="132">
        <f t="shared" ref="D4:S19" ca="1" si="6">ROUND(INDIRECT($AB4&amp;"!"&amp;D$1&amp;"22"),1)</f>
        <v>191</v>
      </c>
      <c r="E4" s="132">
        <f t="shared" ca="1" si="6"/>
        <v>101</v>
      </c>
      <c r="F4" s="132">
        <f t="shared" ca="1" si="6"/>
        <v>207</v>
      </c>
      <c r="G4" s="132">
        <f t="shared" ca="1" si="6"/>
        <v>201</v>
      </c>
      <c r="H4" s="132">
        <f t="shared" ca="1" si="6"/>
        <v>154</v>
      </c>
      <c r="I4" s="132">
        <f t="shared" ca="1" si="6"/>
        <v>170</v>
      </c>
      <c r="J4" s="132">
        <f t="shared" ca="1" si="6"/>
        <v>123</v>
      </c>
      <c r="K4" s="132">
        <f t="shared" ca="1" si="6"/>
        <v>0.1</v>
      </c>
      <c r="L4" s="132">
        <f t="shared" ca="1" si="6"/>
        <v>120</v>
      </c>
      <c r="M4" s="132">
        <f t="shared" ca="1" si="6"/>
        <v>134</v>
      </c>
      <c r="N4" s="132">
        <f t="shared" ca="1" si="6"/>
        <v>127</v>
      </c>
      <c r="O4" s="132">
        <f t="shared" ca="1" si="6"/>
        <v>138</v>
      </c>
      <c r="P4" s="132">
        <f t="shared" ca="1" si="6"/>
        <v>89</v>
      </c>
      <c r="Q4" s="132">
        <f t="shared" ca="1" si="6"/>
        <v>174</v>
      </c>
      <c r="R4" s="132">
        <f t="shared" ca="1" si="6"/>
        <v>75</v>
      </c>
      <c r="S4" s="132">
        <f t="shared" ca="1" si="6"/>
        <v>106</v>
      </c>
      <c r="T4" s="132">
        <f t="shared" ca="1" si="1"/>
        <v>82</v>
      </c>
      <c r="U4" s="132">
        <f t="shared" ca="1" si="1"/>
        <v>124</v>
      </c>
      <c r="V4" s="132">
        <f t="shared" ca="1" si="1"/>
        <v>160</v>
      </c>
      <c r="W4" s="132">
        <f t="shared" ca="1" si="1"/>
        <v>192</v>
      </c>
      <c r="X4" s="325">
        <f t="shared" ca="1" si="1"/>
        <v>178</v>
      </c>
      <c r="Y4" s="186">
        <f t="shared" ca="1" si="2"/>
        <v>2974.192734259786</v>
      </c>
      <c r="Z4" s="116">
        <f t="shared" ca="1" si="3"/>
        <v>2</v>
      </c>
      <c r="AA4" s="122">
        <f ca="1">IF(AB4&lt;&gt;"",HLOOKUP(AB4,originaliteit!$B$1:$M$65,65,0),"")</f>
        <v>1.108010801080108</v>
      </c>
      <c r="AB4" s="183" t="str">
        <f t="shared" si="4"/>
        <v>Bangkok</v>
      </c>
    </row>
    <row r="5" spans="1:28" ht="13.5" hidden="1" customHeight="1">
      <c r="A5" s="116">
        <v>8</v>
      </c>
      <c r="B5" s="120" t="str">
        <f t="shared" ca="1" si="0"/>
        <v>Van Lego kun je alles maken</v>
      </c>
      <c r="C5" s="132">
        <f t="shared" ca="1" si="5"/>
        <v>70</v>
      </c>
      <c r="D5" s="132">
        <f t="shared" ca="1" si="6"/>
        <v>164</v>
      </c>
      <c r="E5" s="132">
        <f t="shared" ca="1" si="1"/>
        <v>126</v>
      </c>
      <c r="F5" s="132">
        <f t="shared" ca="1" si="1"/>
        <v>161</v>
      </c>
      <c r="G5" s="132">
        <f t="shared" ca="1" si="1"/>
        <v>210</v>
      </c>
      <c r="H5" s="132">
        <f t="shared" ca="1" si="1"/>
        <v>155</v>
      </c>
      <c r="I5" s="132">
        <f t="shared" ca="1" si="1"/>
        <v>209</v>
      </c>
      <c r="J5" s="132">
        <f t="shared" ca="1" si="1"/>
        <v>141</v>
      </c>
      <c r="K5" s="132">
        <f t="shared" ca="1" si="1"/>
        <v>0.1</v>
      </c>
      <c r="L5" s="132">
        <f t="shared" ca="1" si="1"/>
        <v>97</v>
      </c>
      <c r="M5" s="132">
        <f t="shared" ca="1" si="1"/>
        <v>130</v>
      </c>
      <c r="N5" s="132">
        <f t="shared" ca="1" si="1"/>
        <v>160</v>
      </c>
      <c r="O5" s="132">
        <f t="shared" ca="1" si="1"/>
        <v>131</v>
      </c>
      <c r="P5" s="132">
        <f t="shared" ca="1" si="1"/>
        <v>114</v>
      </c>
      <c r="Q5" s="132">
        <f t="shared" ca="1" si="1"/>
        <v>162</v>
      </c>
      <c r="R5" s="132">
        <f t="shared" ca="1" si="1"/>
        <v>67</v>
      </c>
      <c r="S5" s="132">
        <f t="shared" ca="1" si="1"/>
        <v>66</v>
      </c>
      <c r="T5" s="132">
        <f t="shared" ca="1" si="1"/>
        <v>113</v>
      </c>
      <c r="U5" s="132">
        <f t="shared" ca="1" si="1"/>
        <v>147</v>
      </c>
      <c r="V5" s="132">
        <f t="shared" ca="1" si="1"/>
        <v>176</v>
      </c>
      <c r="W5" s="132">
        <f t="shared" ca="1" si="1"/>
        <v>206</v>
      </c>
      <c r="X5" s="325">
        <f t="shared" ca="1" si="1"/>
        <v>211</v>
      </c>
      <c r="Y5" s="186">
        <f t="shared" ca="1" si="2"/>
        <v>3016.1170692401142</v>
      </c>
      <c r="Z5" s="116">
        <f t="shared" ca="1" si="3"/>
        <v>1</v>
      </c>
      <c r="AA5" s="122">
        <f ca="1">IF(AB5&lt;&gt;"",HLOOKUP(AB5,originaliteit!$B$1:$M$65,65,0),"")</f>
        <v>0.90983000739098296</v>
      </c>
      <c r="AB5" s="183" t="str">
        <f t="shared" si="4"/>
        <v>Lego</v>
      </c>
    </row>
    <row r="6" spans="1:28" ht="13.5" hidden="1" customHeight="1">
      <c r="A6" s="116">
        <v>5</v>
      </c>
      <c r="B6" s="120" t="str">
        <f t="shared" ca="1" si="0"/>
        <v>De Lange Man</v>
      </c>
      <c r="C6" s="132">
        <f t="shared" ca="1" si="5"/>
        <v>71</v>
      </c>
      <c r="D6" s="132">
        <f t="shared" ca="1" si="6"/>
        <v>126</v>
      </c>
      <c r="E6" s="132">
        <f t="shared" ca="1" si="1"/>
        <v>134</v>
      </c>
      <c r="F6" s="132">
        <f t="shared" ca="1" si="1"/>
        <v>197</v>
      </c>
      <c r="G6" s="132">
        <f t="shared" ca="1" si="1"/>
        <v>211</v>
      </c>
      <c r="H6" s="132">
        <f t="shared" ca="1" si="1"/>
        <v>167</v>
      </c>
      <c r="I6" s="132">
        <f t="shared" ca="1" si="1"/>
        <v>149</v>
      </c>
      <c r="J6" s="132">
        <f t="shared" ca="1" si="1"/>
        <v>125</v>
      </c>
      <c r="K6" s="132">
        <f t="shared" ca="1" si="1"/>
        <v>0.1</v>
      </c>
      <c r="L6" s="132">
        <f t="shared" ca="1" si="1"/>
        <v>113</v>
      </c>
      <c r="M6" s="132">
        <f t="shared" ca="1" si="1"/>
        <v>84</v>
      </c>
      <c r="N6" s="132">
        <f t="shared" ca="1" si="1"/>
        <v>147</v>
      </c>
      <c r="O6" s="132">
        <f t="shared" ca="1" si="1"/>
        <v>144</v>
      </c>
      <c r="P6" s="132">
        <f t="shared" ca="1" si="1"/>
        <v>84</v>
      </c>
      <c r="Q6" s="132">
        <f t="shared" ca="1" si="1"/>
        <v>193</v>
      </c>
      <c r="R6" s="132">
        <f t="shared" ca="1" si="1"/>
        <v>73</v>
      </c>
      <c r="S6" s="132">
        <f t="shared" ca="1" si="1"/>
        <v>29</v>
      </c>
      <c r="T6" s="132">
        <f t="shared" ca="1" si="1"/>
        <v>128</v>
      </c>
      <c r="U6" s="132">
        <f t="shared" ca="1" si="1"/>
        <v>111</v>
      </c>
      <c r="V6" s="132">
        <f t="shared" ca="1" si="1"/>
        <v>104</v>
      </c>
      <c r="W6" s="132">
        <f t="shared" ca="1" si="1"/>
        <v>170</v>
      </c>
      <c r="X6" s="325">
        <f t="shared" ca="1" si="1"/>
        <v>186</v>
      </c>
      <c r="Y6" s="186">
        <f t="shared" ca="1" si="2"/>
        <v>2746.162505213897</v>
      </c>
      <c r="Z6" s="116">
        <f t="shared" ca="1" si="3"/>
        <v>4</v>
      </c>
      <c r="AA6" s="122">
        <f ca="1">IF(AB6&lt;&gt;"",HLOOKUP(AB6,originaliteit!$B$1:$M$65,65,0),"")</f>
        <v>1.0361952861952863</v>
      </c>
      <c r="AB6" s="183" t="str">
        <f t="shared" si="4"/>
        <v>Lange</v>
      </c>
    </row>
    <row r="7" spans="1:28" ht="13.5" hidden="1" customHeight="1">
      <c r="A7" s="116">
        <v>7</v>
      </c>
      <c r="B7" s="120" t="str">
        <f t="shared" ca="1" si="0"/>
        <v>TinTopTeam</v>
      </c>
      <c r="C7" s="132">
        <f t="shared" ca="1" si="5"/>
        <v>21</v>
      </c>
      <c r="D7" s="132">
        <f t="shared" ca="1" si="6"/>
        <v>85</v>
      </c>
      <c r="E7" s="132">
        <f t="shared" ca="1" si="1"/>
        <v>128</v>
      </c>
      <c r="F7" s="132">
        <f t="shared" ca="1" si="1"/>
        <v>168</v>
      </c>
      <c r="G7" s="132">
        <f t="shared" ca="1" si="1"/>
        <v>173</v>
      </c>
      <c r="H7" s="132">
        <f t="shared" ca="1" si="1"/>
        <v>175</v>
      </c>
      <c r="I7" s="132">
        <f t="shared" ca="1" si="1"/>
        <v>154</v>
      </c>
      <c r="J7" s="132">
        <f t="shared" ca="1" si="1"/>
        <v>149</v>
      </c>
      <c r="K7" s="132">
        <f t="shared" ca="1" si="1"/>
        <v>0.1</v>
      </c>
      <c r="L7" s="132">
        <f t="shared" ca="1" si="1"/>
        <v>96</v>
      </c>
      <c r="M7" s="132">
        <f t="shared" ca="1" si="1"/>
        <v>142</v>
      </c>
      <c r="N7" s="132">
        <f t="shared" ca="1" si="1"/>
        <v>201</v>
      </c>
      <c r="O7" s="132">
        <f t="shared" ca="1" si="1"/>
        <v>138</v>
      </c>
      <c r="P7" s="132">
        <f t="shared" ca="1" si="1"/>
        <v>112</v>
      </c>
      <c r="Q7" s="132">
        <f t="shared" ca="1" si="1"/>
        <v>165</v>
      </c>
      <c r="R7" s="132">
        <f t="shared" ca="1" si="1"/>
        <v>71</v>
      </c>
      <c r="S7" s="132">
        <f t="shared" ca="1" si="1"/>
        <v>93</v>
      </c>
      <c r="T7" s="132">
        <f t="shared" ca="1" si="1"/>
        <v>149</v>
      </c>
      <c r="U7" s="132">
        <f t="shared" ca="1" si="1"/>
        <v>137</v>
      </c>
      <c r="V7" s="132">
        <f t="shared" ca="1" si="1"/>
        <v>137</v>
      </c>
      <c r="W7" s="132">
        <f t="shared" ca="1" si="1"/>
        <v>182</v>
      </c>
      <c r="X7" s="325">
        <f t="shared" ca="1" si="1"/>
        <v>196</v>
      </c>
      <c r="Y7" s="186">
        <f t="shared" ca="1" si="2"/>
        <v>2872.1830592258498</v>
      </c>
      <c r="Z7" s="116">
        <f t="shared" ca="1" si="3"/>
        <v>3</v>
      </c>
      <c r="AA7" s="122">
        <f ca="1">IF(AB7&lt;&gt;"",HLOOKUP(AB7,originaliteit!$B$1:$M$65,65,0),"")</f>
        <v>0.94838212634822805</v>
      </c>
      <c r="AB7" s="183" t="str">
        <f t="shared" si="4"/>
        <v>Tin</v>
      </c>
    </row>
    <row r="8" spans="1:28" ht="13.5" hidden="1" customHeight="1">
      <c r="A8" s="116">
        <v>9</v>
      </c>
      <c r="B8" s="120" t="str">
        <f t="shared" ca="1" si="0"/>
        <v>wadaf*ckers</v>
      </c>
      <c r="C8" s="132">
        <f t="shared" ca="1" si="5"/>
        <v>52</v>
      </c>
      <c r="D8" s="132">
        <f t="shared" ca="1" si="6"/>
        <v>85</v>
      </c>
      <c r="E8" s="132">
        <f t="shared" ca="1" si="1"/>
        <v>110</v>
      </c>
      <c r="F8" s="132">
        <f t="shared" ca="1" si="1"/>
        <v>136</v>
      </c>
      <c r="G8" s="132">
        <f t="shared" ca="1" si="1"/>
        <v>165</v>
      </c>
      <c r="H8" s="132">
        <f t="shared" ca="1" si="1"/>
        <v>145</v>
      </c>
      <c r="I8" s="132">
        <f t="shared" ca="1" si="1"/>
        <v>189</v>
      </c>
      <c r="J8" s="132">
        <f t="shared" ca="1" si="1"/>
        <v>129</v>
      </c>
      <c r="K8" s="132">
        <f t="shared" ca="1" si="1"/>
        <v>0.1</v>
      </c>
      <c r="L8" s="132">
        <f t="shared" ca="1" si="1"/>
        <v>73</v>
      </c>
      <c r="M8" s="132">
        <f t="shared" ca="1" si="1"/>
        <v>83</v>
      </c>
      <c r="N8" s="132">
        <f t="shared" ca="1" si="1"/>
        <v>144</v>
      </c>
      <c r="O8" s="132">
        <f t="shared" ca="1" si="1"/>
        <v>134</v>
      </c>
      <c r="P8" s="132">
        <f t="shared" ca="1" si="1"/>
        <v>109</v>
      </c>
      <c r="Q8" s="132">
        <f t="shared" ca="1" si="1"/>
        <v>146</v>
      </c>
      <c r="R8" s="132">
        <f t="shared" ca="1" si="1"/>
        <v>62</v>
      </c>
      <c r="S8" s="132">
        <f t="shared" ca="1" si="1"/>
        <v>78</v>
      </c>
      <c r="T8" s="132">
        <f t="shared" ca="1" si="1"/>
        <v>95</v>
      </c>
      <c r="U8" s="132">
        <f t="shared" ca="1" si="1"/>
        <v>130</v>
      </c>
      <c r="V8" s="132">
        <f t="shared" ca="1" si="1"/>
        <v>132</v>
      </c>
      <c r="W8" s="132">
        <f t="shared" ca="1" si="1"/>
        <v>159</v>
      </c>
      <c r="X8" s="325">
        <f t="shared" ca="1" si="1"/>
        <v>201</v>
      </c>
      <c r="Y8" s="186">
        <f t="shared" ca="1" si="2"/>
        <v>2557.1097098857222</v>
      </c>
      <c r="Z8" s="116">
        <f t="shared" ca="1" si="3"/>
        <v>7</v>
      </c>
      <c r="AA8" s="122">
        <f ca="1">IF(AB8&lt;&gt;"",HLOOKUP(AB8,originaliteit!$B$1:$M$65,65,0),"")</f>
        <v>0.90983000739098296</v>
      </c>
      <c r="AB8" s="183" t="str">
        <f t="shared" si="4"/>
        <v>Wadaf</v>
      </c>
    </row>
    <row r="9" spans="1:28" ht="13.5" hidden="1" customHeight="1">
      <c r="A9" s="116">
        <v>3</v>
      </c>
      <c r="B9" s="120" t="str">
        <f t="shared" ca="1" si="0"/>
        <v>Equipe l'Ami</v>
      </c>
      <c r="C9" s="132">
        <f t="shared" ca="1" si="5"/>
        <v>49</v>
      </c>
      <c r="D9" s="132">
        <f t="shared" ca="1" si="6"/>
        <v>141</v>
      </c>
      <c r="E9" s="132">
        <f t="shared" ca="1" si="1"/>
        <v>84</v>
      </c>
      <c r="F9" s="132">
        <f t="shared" ca="1" si="1"/>
        <v>161</v>
      </c>
      <c r="G9" s="132">
        <f t="shared" ca="1" si="1"/>
        <v>168</v>
      </c>
      <c r="H9" s="132">
        <f t="shared" ca="1" si="1"/>
        <v>97</v>
      </c>
      <c r="I9" s="132">
        <f t="shared" ca="1" si="1"/>
        <v>169</v>
      </c>
      <c r="J9" s="132">
        <f t="shared" ca="1" si="1"/>
        <v>112</v>
      </c>
      <c r="K9" s="132">
        <f t="shared" ca="1" si="1"/>
        <v>0.1</v>
      </c>
      <c r="L9" s="132">
        <f t="shared" ca="1" si="1"/>
        <v>67</v>
      </c>
      <c r="M9" s="132">
        <f t="shared" ca="1" si="1"/>
        <v>96</v>
      </c>
      <c r="N9" s="132">
        <f t="shared" ca="1" si="1"/>
        <v>98</v>
      </c>
      <c r="O9" s="132">
        <f t="shared" ca="1" si="1"/>
        <v>97</v>
      </c>
      <c r="P9" s="132">
        <f t="shared" ca="1" si="1"/>
        <v>129</v>
      </c>
      <c r="Q9" s="132">
        <f t="shared" ca="1" si="1"/>
        <v>112</v>
      </c>
      <c r="R9" s="132">
        <f t="shared" ca="1" si="1"/>
        <v>57</v>
      </c>
      <c r="S9" s="132">
        <f t="shared" ca="1" si="1"/>
        <v>82</v>
      </c>
      <c r="T9" s="132">
        <f t="shared" ca="1" si="1"/>
        <v>72</v>
      </c>
      <c r="U9" s="132">
        <f t="shared" ca="1" si="1"/>
        <v>103</v>
      </c>
      <c r="V9" s="132">
        <f t="shared" ca="1" si="1"/>
        <v>102</v>
      </c>
      <c r="W9" s="132">
        <f t="shared" ca="1" si="1"/>
        <v>148</v>
      </c>
      <c r="X9" s="325">
        <f t="shared" ca="1" si="1"/>
        <v>134</v>
      </c>
      <c r="Y9" s="186">
        <f t="shared" ca="1" si="2"/>
        <v>2278.1914333743957</v>
      </c>
      <c r="Z9" s="116">
        <f t="shared" ca="1" si="3"/>
        <v>10</v>
      </c>
      <c r="AA9" s="122">
        <f ca="1">IF(AB9&lt;&gt;"",HLOOKUP(AB9,originaliteit!$B$1:$M$65,65,0),"")</f>
        <v>1.0557461406518009</v>
      </c>
      <c r="AB9" s="183" t="str">
        <f t="shared" si="4"/>
        <v>Ami</v>
      </c>
    </row>
    <row r="10" spans="1:28" ht="13.5" hidden="1" customHeight="1">
      <c r="A10" s="116">
        <v>11</v>
      </c>
      <c r="B10" s="120" t="str">
        <f t="shared" ca="1" si="0"/>
        <v>Am Selfkant</v>
      </c>
      <c r="C10" s="132">
        <f t="shared" ca="1" si="5"/>
        <v>21</v>
      </c>
      <c r="D10" s="132">
        <f t="shared" ca="1" si="6"/>
        <v>101</v>
      </c>
      <c r="E10" s="132">
        <f t="shared" ca="1" si="1"/>
        <v>126</v>
      </c>
      <c r="F10" s="132">
        <f t="shared" ca="1" si="1"/>
        <v>130</v>
      </c>
      <c r="G10" s="132">
        <f t="shared" ca="1" si="1"/>
        <v>133</v>
      </c>
      <c r="H10" s="132">
        <f t="shared" ca="1" si="1"/>
        <v>129</v>
      </c>
      <c r="I10" s="132">
        <f t="shared" ca="1" si="1"/>
        <v>149</v>
      </c>
      <c r="J10" s="132">
        <f t="shared" ca="1" si="1"/>
        <v>149</v>
      </c>
      <c r="K10" s="132">
        <f t="shared" ca="1" si="1"/>
        <v>0.1</v>
      </c>
      <c r="L10" s="132">
        <f t="shared" ca="1" si="1"/>
        <v>95</v>
      </c>
      <c r="M10" s="132">
        <f t="shared" ca="1" si="1"/>
        <v>113</v>
      </c>
      <c r="N10" s="132">
        <f t="shared" ca="1" si="1"/>
        <v>147</v>
      </c>
      <c r="O10" s="132">
        <f t="shared" ca="1" si="1"/>
        <v>144</v>
      </c>
      <c r="P10" s="132">
        <f t="shared" ca="1" si="1"/>
        <v>108</v>
      </c>
      <c r="Q10" s="132">
        <f t="shared" ca="1" si="1"/>
        <v>128</v>
      </c>
      <c r="R10" s="132">
        <f t="shared" ca="1" si="1"/>
        <v>61</v>
      </c>
      <c r="S10" s="132">
        <f t="shared" ca="1" si="1"/>
        <v>90</v>
      </c>
      <c r="T10" s="132">
        <f t="shared" ca="1" si="1"/>
        <v>139</v>
      </c>
      <c r="U10" s="132">
        <f t="shared" ca="1" si="1"/>
        <v>135</v>
      </c>
      <c r="V10" s="132">
        <f t="shared" ca="1" si="1"/>
        <v>144</v>
      </c>
      <c r="W10" s="132">
        <f t="shared" ca="1" si="1"/>
        <v>127</v>
      </c>
      <c r="X10" s="325">
        <f t="shared" ca="1" si="1"/>
        <v>219</v>
      </c>
      <c r="Y10" s="186">
        <f t="shared" ca="1" si="2"/>
        <v>2588.168609283241</v>
      </c>
      <c r="Z10" s="116">
        <f t="shared" ca="1" si="3"/>
        <v>6</v>
      </c>
      <c r="AA10" s="122">
        <f ca="1">IF(AB10&lt;&gt;"",HLOOKUP(AB10,originaliteit!$B$1:$M$65,65,0),"")</f>
        <v>0.90249266862170086</v>
      </c>
      <c r="AB10" s="183" t="str">
        <f t="shared" si="4"/>
        <v>Selfkant</v>
      </c>
    </row>
    <row r="11" spans="1:28" ht="13.5" hidden="1" customHeight="1">
      <c r="A11" s="116">
        <v>10</v>
      </c>
      <c r="B11" s="120" t="str">
        <f t="shared" ca="1" si="0"/>
        <v>Freaky naar de top</v>
      </c>
      <c r="C11" s="132">
        <f t="shared" ca="1" si="5"/>
        <v>30</v>
      </c>
      <c r="D11" s="132">
        <f t="shared" ca="1" si="6"/>
        <v>101</v>
      </c>
      <c r="E11" s="132">
        <f t="shared" ca="1" si="1"/>
        <v>109</v>
      </c>
      <c r="F11" s="132">
        <f t="shared" ca="1" si="1"/>
        <v>147</v>
      </c>
      <c r="G11" s="132">
        <f t="shared" ca="1" si="1"/>
        <v>137</v>
      </c>
      <c r="H11" s="132">
        <f t="shared" ca="1" si="1"/>
        <v>142</v>
      </c>
      <c r="I11" s="132">
        <f t="shared" ca="1" si="1"/>
        <v>144</v>
      </c>
      <c r="J11" s="132">
        <f t="shared" ca="1" si="1"/>
        <v>128</v>
      </c>
      <c r="K11" s="132">
        <f t="shared" ca="1" si="1"/>
        <v>0.1</v>
      </c>
      <c r="L11" s="132">
        <f t="shared" ca="1" si="1"/>
        <v>98</v>
      </c>
      <c r="M11" s="132">
        <f t="shared" ca="1" si="1"/>
        <v>105</v>
      </c>
      <c r="N11" s="132">
        <f t="shared" ca="1" si="1"/>
        <v>160</v>
      </c>
      <c r="O11" s="132">
        <f t="shared" ca="1" si="1"/>
        <v>129</v>
      </c>
      <c r="P11" s="132">
        <f t="shared" ca="1" si="1"/>
        <v>134</v>
      </c>
      <c r="Q11" s="132">
        <f t="shared" ca="1" si="1"/>
        <v>130</v>
      </c>
      <c r="R11" s="132">
        <f t="shared" ca="1" si="1"/>
        <v>62</v>
      </c>
      <c r="S11" s="132">
        <f t="shared" ca="1" si="1"/>
        <v>116</v>
      </c>
      <c r="T11" s="132">
        <f t="shared" ca="1" si="1"/>
        <v>93</v>
      </c>
      <c r="U11" s="132">
        <f t="shared" ca="1" si="1"/>
        <v>135</v>
      </c>
      <c r="V11" s="132">
        <f t="shared" ca="1" si="1"/>
        <v>135</v>
      </c>
      <c r="W11" s="132">
        <f t="shared" ca="1" si="1"/>
        <v>126</v>
      </c>
      <c r="X11" s="325">
        <f t="shared" ca="1" si="1"/>
        <v>163</v>
      </c>
      <c r="Y11" s="186">
        <f ca="1">SUM(C11:X11)+RAND()/10</f>
        <v>2524.173818802446</v>
      </c>
      <c r="Z11" s="116">
        <f t="shared" ca="1" si="3"/>
        <v>8</v>
      </c>
      <c r="AA11" s="122">
        <f ca="1">IF(AB11&lt;&gt;"",HLOOKUP(AB11,originaliteit!$B$1:$M$65,65,0),"")</f>
        <v>0.91728763040238448</v>
      </c>
      <c r="AB11" s="183" t="str">
        <f t="shared" si="4"/>
        <v>Freaky</v>
      </c>
    </row>
    <row r="12" spans="1:28" ht="13.5" hidden="1" customHeight="1">
      <c r="A12" s="116">
        <v>4</v>
      </c>
      <c r="B12" s="120" t="str">
        <f t="shared" ca="1" si="0"/>
        <v>Lothars Grand Depart</v>
      </c>
      <c r="C12" s="132">
        <f t="shared" ca="1" si="5"/>
        <v>67</v>
      </c>
      <c r="D12" s="132">
        <f t="shared" ca="1" si="6"/>
        <v>59</v>
      </c>
      <c r="E12" s="132">
        <f t="shared" ca="1" si="1"/>
        <v>104</v>
      </c>
      <c r="F12" s="132">
        <f t="shared" ca="1" si="1"/>
        <v>111</v>
      </c>
      <c r="G12" s="132">
        <f t="shared" ca="1" si="1"/>
        <v>141</v>
      </c>
      <c r="H12" s="132">
        <f t="shared" ca="1" si="1"/>
        <v>121</v>
      </c>
      <c r="I12" s="132">
        <f t="shared" ca="1" si="1"/>
        <v>69</v>
      </c>
      <c r="J12" s="132">
        <f t="shared" ca="1" si="1"/>
        <v>143</v>
      </c>
      <c r="K12" s="132">
        <f t="shared" ca="1" si="1"/>
        <v>0.1</v>
      </c>
      <c r="L12" s="132">
        <f t="shared" ca="1" si="1"/>
        <v>110</v>
      </c>
      <c r="M12" s="132">
        <f t="shared" ca="1" si="1"/>
        <v>131</v>
      </c>
      <c r="N12" s="132">
        <f t="shared" ca="1" si="1"/>
        <v>145</v>
      </c>
      <c r="O12" s="132">
        <f t="shared" ca="1" si="1"/>
        <v>120</v>
      </c>
      <c r="P12" s="132">
        <f t="shared" ca="1" si="1"/>
        <v>107</v>
      </c>
      <c r="Q12" s="132">
        <f t="shared" ca="1" si="1"/>
        <v>101</v>
      </c>
      <c r="R12" s="132">
        <f t="shared" ca="1" si="1"/>
        <v>67</v>
      </c>
      <c r="S12" s="132">
        <f t="shared" ca="1" si="1"/>
        <v>102</v>
      </c>
      <c r="T12" s="132">
        <f t="shared" ca="1" si="1"/>
        <v>143</v>
      </c>
      <c r="U12" s="132">
        <f t="shared" ca="1" si="1"/>
        <v>163</v>
      </c>
      <c r="V12" s="132">
        <f t="shared" ca="1" si="1"/>
        <v>117</v>
      </c>
      <c r="W12" s="132">
        <f t="shared" ca="1" si="1"/>
        <v>101</v>
      </c>
      <c r="X12" s="325">
        <f t="shared" ca="1" si="1"/>
        <v>268</v>
      </c>
      <c r="Y12" s="186">
        <f t="shared" ref="Y12:Y19" ca="1" si="7">SUM(C12:X12)+RAND()/10</f>
        <v>2490.1852696538758</v>
      </c>
      <c r="Z12" s="116">
        <f t="shared" ca="1" si="3"/>
        <v>9</v>
      </c>
      <c r="AA12" s="122">
        <f ca="1">IF(AB12&lt;&gt;"",HLOOKUP(AB12,originaliteit!$B$1:$M$65,65,0),"")</f>
        <v>1.0557461406518009</v>
      </c>
      <c r="AB12" s="183" t="str">
        <f t="shared" si="4"/>
        <v>Lothar</v>
      </c>
    </row>
    <row r="13" spans="1:28" ht="13.5" hidden="1" customHeight="1">
      <c r="A13" s="116">
        <v>1</v>
      </c>
      <c r="B13" s="120" t="str">
        <f t="shared" ca="1" si="0"/>
        <v>IJffjes Boys</v>
      </c>
      <c r="C13" s="132">
        <f t="shared" ca="1" si="5"/>
        <v>45</v>
      </c>
      <c r="D13" s="132">
        <f t="shared" ca="1" si="6"/>
        <v>18</v>
      </c>
      <c r="E13" s="132">
        <f t="shared" ca="1" si="1"/>
        <v>144</v>
      </c>
      <c r="F13" s="132">
        <f t="shared" ca="1" si="1"/>
        <v>122</v>
      </c>
      <c r="G13" s="132">
        <f t="shared" ca="1" si="1"/>
        <v>42</v>
      </c>
      <c r="H13" s="132">
        <f t="shared" ca="1" si="1"/>
        <v>102</v>
      </c>
      <c r="I13" s="132">
        <f t="shared" ca="1" si="1"/>
        <v>45</v>
      </c>
      <c r="J13" s="132">
        <f t="shared" ca="1" si="1"/>
        <v>123</v>
      </c>
      <c r="K13" s="132">
        <f t="shared" ca="1" si="1"/>
        <v>0.1</v>
      </c>
      <c r="L13" s="132">
        <f t="shared" ca="1" si="1"/>
        <v>112</v>
      </c>
      <c r="M13" s="132">
        <f t="shared" ca="1" si="1"/>
        <v>133</v>
      </c>
      <c r="N13" s="132">
        <f t="shared" ca="1" si="1"/>
        <v>126</v>
      </c>
      <c r="O13" s="132">
        <f t="shared" ca="1" si="1"/>
        <v>120</v>
      </c>
      <c r="P13" s="132">
        <f t="shared" ca="1" si="1"/>
        <v>55</v>
      </c>
      <c r="Q13" s="132">
        <f t="shared" ca="1" si="1"/>
        <v>55</v>
      </c>
      <c r="R13" s="132">
        <f t="shared" ca="1" si="1"/>
        <v>26</v>
      </c>
      <c r="S13" s="132">
        <f t="shared" ca="1" si="1"/>
        <v>96</v>
      </c>
      <c r="T13" s="132">
        <f t="shared" ca="1" si="1"/>
        <v>91</v>
      </c>
      <c r="U13" s="132">
        <f t="shared" ca="1" si="1"/>
        <v>126</v>
      </c>
      <c r="V13" s="132">
        <f t="shared" ca="1" si="1"/>
        <v>127</v>
      </c>
      <c r="W13" s="132">
        <f t="shared" ca="1" si="1"/>
        <v>40</v>
      </c>
      <c r="X13" s="325">
        <f t="shared" ca="1" si="1"/>
        <v>217</v>
      </c>
      <c r="Y13" s="186">
        <f t="shared" ca="1" si="7"/>
        <v>1965.131900193476</v>
      </c>
      <c r="Z13" s="116">
        <f t="shared" ca="1" si="3"/>
        <v>11</v>
      </c>
      <c r="AA13" s="122">
        <f ca="1">IF(AB13&lt;&gt;"",HLOOKUP(AB13,originaliteit!$B$1:$M$65,65,0),"")</f>
        <v>1.1905222437137333</v>
      </c>
      <c r="AB13" s="183" t="str">
        <f t="shared" si="4"/>
        <v>IJff</v>
      </c>
    </row>
    <row r="14" spans="1:28" ht="13.5" hidden="1" customHeight="1">
      <c r="A14" s="116">
        <v>12</v>
      </c>
      <c r="B14" s="120" t="e">
        <f t="shared" ref="B14:B19" ca="1" si="8">INDIRECT($AB14&amp;"!c1")</f>
        <v>#REF!</v>
      </c>
      <c r="C14" s="132" t="e">
        <f t="shared" ca="1" si="5"/>
        <v>#REF!</v>
      </c>
      <c r="D14" s="132" t="e">
        <f t="shared" ca="1" si="6"/>
        <v>#REF!</v>
      </c>
      <c r="E14" s="132" t="e">
        <f t="shared" ca="1" si="1"/>
        <v>#REF!</v>
      </c>
      <c r="F14" s="132" t="e">
        <f t="shared" ca="1" si="1"/>
        <v>#REF!</v>
      </c>
      <c r="G14" s="132" t="e">
        <f t="shared" ca="1" si="1"/>
        <v>#REF!</v>
      </c>
      <c r="H14" s="132" t="e">
        <f t="shared" ca="1" si="1"/>
        <v>#REF!</v>
      </c>
      <c r="I14" s="132" t="e">
        <f t="shared" ca="1" si="1"/>
        <v>#REF!</v>
      </c>
      <c r="J14" s="132" t="e">
        <f t="shared" ca="1" si="1"/>
        <v>#REF!</v>
      </c>
      <c r="K14" s="132" t="e">
        <f t="shared" ca="1" si="1"/>
        <v>#REF!</v>
      </c>
      <c r="L14" s="132" t="e">
        <f t="shared" ca="1" si="1"/>
        <v>#REF!</v>
      </c>
      <c r="M14" s="132" t="e">
        <f t="shared" ca="1" si="1"/>
        <v>#REF!</v>
      </c>
      <c r="N14" s="132" t="e">
        <f t="shared" ca="1" si="1"/>
        <v>#REF!</v>
      </c>
      <c r="O14" s="132" t="e">
        <f t="shared" ca="1" si="1"/>
        <v>#REF!</v>
      </c>
      <c r="P14" s="132" t="e">
        <f t="shared" ca="1" si="1"/>
        <v>#REF!</v>
      </c>
      <c r="Q14" s="132" t="e">
        <f t="shared" ca="1" si="1"/>
        <v>#REF!</v>
      </c>
      <c r="R14" s="132" t="e">
        <f t="shared" ca="1" si="1"/>
        <v>#REF!</v>
      </c>
      <c r="S14" s="132" t="e">
        <f t="shared" ca="1" si="1"/>
        <v>#REF!</v>
      </c>
      <c r="T14" s="132" t="e">
        <f t="shared" ca="1" si="1"/>
        <v>#REF!</v>
      </c>
      <c r="U14" s="132" t="e">
        <f t="shared" ca="1" si="1"/>
        <v>#REF!</v>
      </c>
      <c r="V14" s="132" t="e">
        <f t="shared" ca="1" si="1"/>
        <v>#REF!</v>
      </c>
      <c r="W14" s="132" t="e">
        <f t="shared" ca="1" si="1"/>
        <v>#REF!</v>
      </c>
      <c r="X14" s="325" t="e">
        <f t="shared" ca="1" si="1"/>
        <v>#REF!</v>
      </c>
      <c r="Y14" s="186" t="e">
        <f t="shared" ca="1" si="7"/>
        <v>#REF!</v>
      </c>
      <c r="Z14" s="116" t="e">
        <f t="shared" ref="Z14:Z19" ca="1" si="9">RANK(Y14,$Y$3:$Y$13)</f>
        <v>#REF!</v>
      </c>
      <c r="AA14" s="122" t="e">
        <f>IF(AB14&lt;&gt;"",HLOOKUP(AB14,originaliteit!$B$1:$M$65,65,0),"")</f>
        <v>#REF!</v>
      </c>
      <c r="AB14" s="183" t="e">
        <f t="shared" ref="AB14:AB19" si="10">INDEX(lijst_sheets,,A14)</f>
        <v>#REF!</v>
      </c>
    </row>
    <row r="15" spans="1:28" ht="13.5" hidden="1" customHeight="1">
      <c r="A15" s="116">
        <v>13</v>
      </c>
      <c r="B15" s="120" t="e">
        <f t="shared" ca="1" si="8"/>
        <v>#REF!</v>
      </c>
      <c r="C15" s="132" t="e">
        <f t="shared" ca="1" si="5"/>
        <v>#REF!</v>
      </c>
      <c r="D15" s="132" t="e">
        <f t="shared" ca="1" si="6"/>
        <v>#REF!</v>
      </c>
      <c r="E15" s="132" t="e">
        <f t="shared" ca="1" si="1"/>
        <v>#REF!</v>
      </c>
      <c r="F15" s="132" t="e">
        <f t="shared" ca="1" si="1"/>
        <v>#REF!</v>
      </c>
      <c r="G15" s="132" t="e">
        <f t="shared" ca="1" si="1"/>
        <v>#REF!</v>
      </c>
      <c r="H15" s="132" t="e">
        <f t="shared" ca="1" si="1"/>
        <v>#REF!</v>
      </c>
      <c r="I15" s="132" t="e">
        <f t="shared" ca="1" si="1"/>
        <v>#REF!</v>
      </c>
      <c r="J15" s="132" t="e">
        <f t="shared" ca="1" si="1"/>
        <v>#REF!</v>
      </c>
      <c r="K15" s="132" t="e">
        <f t="shared" ca="1" si="1"/>
        <v>#REF!</v>
      </c>
      <c r="L15" s="132" t="e">
        <f t="shared" ca="1" si="1"/>
        <v>#REF!</v>
      </c>
      <c r="M15" s="132" t="e">
        <f t="shared" ca="1" si="1"/>
        <v>#REF!</v>
      </c>
      <c r="N15" s="132" t="e">
        <f t="shared" ca="1" si="1"/>
        <v>#REF!</v>
      </c>
      <c r="O15" s="132" t="e">
        <f t="shared" ca="1" si="1"/>
        <v>#REF!</v>
      </c>
      <c r="P15" s="132" t="e">
        <f t="shared" ca="1" si="1"/>
        <v>#REF!</v>
      </c>
      <c r="Q15" s="132" t="e">
        <f t="shared" ca="1" si="1"/>
        <v>#REF!</v>
      </c>
      <c r="R15" s="132" t="e">
        <f t="shared" ca="1" si="1"/>
        <v>#REF!</v>
      </c>
      <c r="S15" s="132" t="e">
        <f t="shared" ca="1" si="1"/>
        <v>#REF!</v>
      </c>
      <c r="T15" s="132" t="e">
        <f t="shared" ca="1" si="1"/>
        <v>#REF!</v>
      </c>
      <c r="U15" s="132" t="e">
        <f t="shared" ca="1" si="1"/>
        <v>#REF!</v>
      </c>
      <c r="V15" s="132" t="e">
        <f t="shared" ca="1" si="1"/>
        <v>#REF!</v>
      </c>
      <c r="W15" s="132" t="e">
        <f t="shared" ca="1" si="1"/>
        <v>#REF!</v>
      </c>
      <c r="X15" s="325" t="e">
        <f t="shared" ca="1" si="1"/>
        <v>#REF!</v>
      </c>
      <c r="Y15" s="186" t="e">
        <f t="shared" ca="1" si="7"/>
        <v>#REF!</v>
      </c>
      <c r="Z15" s="116" t="e">
        <f t="shared" ca="1" si="9"/>
        <v>#REF!</v>
      </c>
      <c r="AA15" s="122" t="e">
        <f>IF(AB15&lt;&gt;"",HLOOKUP(AB15,originaliteit!$B$1:$M$65,65,0),"")</f>
        <v>#REF!</v>
      </c>
      <c r="AB15" s="183" t="e">
        <f t="shared" si="10"/>
        <v>#REF!</v>
      </c>
    </row>
    <row r="16" spans="1:28" ht="13.5" hidden="1" customHeight="1">
      <c r="A16" s="116">
        <v>14</v>
      </c>
      <c r="B16" s="120" t="e">
        <f t="shared" ca="1" si="8"/>
        <v>#REF!</v>
      </c>
      <c r="C16" s="132" t="e">
        <f t="shared" ca="1" si="5"/>
        <v>#REF!</v>
      </c>
      <c r="D16" s="132" t="e">
        <f t="shared" ca="1" si="6"/>
        <v>#REF!</v>
      </c>
      <c r="E16" s="132" t="e">
        <f t="shared" ca="1" si="1"/>
        <v>#REF!</v>
      </c>
      <c r="F16" s="132" t="e">
        <f t="shared" ca="1" si="1"/>
        <v>#REF!</v>
      </c>
      <c r="G16" s="132" t="e">
        <f t="shared" ca="1" si="1"/>
        <v>#REF!</v>
      </c>
      <c r="H16" s="132" t="e">
        <f t="shared" ca="1" si="1"/>
        <v>#REF!</v>
      </c>
      <c r="I16" s="132" t="e">
        <f t="shared" ca="1" si="1"/>
        <v>#REF!</v>
      </c>
      <c r="J16" s="132" t="e">
        <f t="shared" ca="1" si="1"/>
        <v>#REF!</v>
      </c>
      <c r="K16" s="132" t="e">
        <f t="shared" ca="1" si="1"/>
        <v>#REF!</v>
      </c>
      <c r="L16" s="132" t="e">
        <f t="shared" ca="1" si="1"/>
        <v>#REF!</v>
      </c>
      <c r="M16" s="132" t="e">
        <f t="shared" ca="1" si="1"/>
        <v>#REF!</v>
      </c>
      <c r="N16" s="132" t="e">
        <f t="shared" ca="1" si="1"/>
        <v>#REF!</v>
      </c>
      <c r="O16" s="132" t="e">
        <f t="shared" ref="E16:X19" ca="1" si="11">ROUND(INDIRECT($AB16&amp;"!"&amp;O$1&amp;"22"),1)</f>
        <v>#REF!</v>
      </c>
      <c r="P16" s="132" t="e">
        <f t="shared" ca="1" si="11"/>
        <v>#REF!</v>
      </c>
      <c r="Q16" s="132" t="e">
        <f t="shared" ca="1" si="11"/>
        <v>#REF!</v>
      </c>
      <c r="R16" s="132" t="e">
        <f t="shared" ca="1" si="11"/>
        <v>#REF!</v>
      </c>
      <c r="S16" s="132" t="e">
        <f t="shared" ca="1" si="11"/>
        <v>#REF!</v>
      </c>
      <c r="T16" s="132" t="e">
        <f t="shared" ca="1" si="11"/>
        <v>#REF!</v>
      </c>
      <c r="U16" s="132" t="e">
        <f t="shared" ca="1" si="11"/>
        <v>#REF!</v>
      </c>
      <c r="V16" s="132" t="e">
        <f t="shared" ca="1" si="11"/>
        <v>#REF!</v>
      </c>
      <c r="W16" s="132" t="e">
        <f t="shared" ca="1" si="11"/>
        <v>#REF!</v>
      </c>
      <c r="X16" s="325" t="e">
        <f t="shared" ca="1" si="11"/>
        <v>#REF!</v>
      </c>
      <c r="Y16" s="186" t="e">
        <f t="shared" ca="1" si="7"/>
        <v>#REF!</v>
      </c>
      <c r="Z16" s="116" t="e">
        <f t="shared" ca="1" si="9"/>
        <v>#REF!</v>
      </c>
      <c r="AA16" s="122" t="e">
        <f>IF(AB16&lt;&gt;"",HLOOKUP(AB16,originaliteit!$B$1:$M$65,65,0),"")</f>
        <v>#REF!</v>
      </c>
      <c r="AB16" s="183" t="e">
        <f t="shared" si="10"/>
        <v>#REF!</v>
      </c>
    </row>
    <row r="17" spans="1:50" ht="13.5" hidden="1" customHeight="1">
      <c r="A17" s="116">
        <v>15</v>
      </c>
      <c r="B17" s="120" t="e">
        <f t="shared" ca="1" si="8"/>
        <v>#REF!</v>
      </c>
      <c r="C17" s="132" t="e">
        <f t="shared" ca="1" si="5"/>
        <v>#REF!</v>
      </c>
      <c r="D17" s="132" t="e">
        <f t="shared" ca="1" si="6"/>
        <v>#REF!</v>
      </c>
      <c r="E17" s="132" t="e">
        <f t="shared" ca="1" si="11"/>
        <v>#REF!</v>
      </c>
      <c r="F17" s="132" t="e">
        <f t="shared" ca="1" si="11"/>
        <v>#REF!</v>
      </c>
      <c r="G17" s="132" t="e">
        <f t="shared" ca="1" si="11"/>
        <v>#REF!</v>
      </c>
      <c r="H17" s="132" t="e">
        <f t="shared" ca="1" si="11"/>
        <v>#REF!</v>
      </c>
      <c r="I17" s="132" t="e">
        <f t="shared" ca="1" si="11"/>
        <v>#REF!</v>
      </c>
      <c r="J17" s="132" t="e">
        <f t="shared" ca="1" si="11"/>
        <v>#REF!</v>
      </c>
      <c r="K17" s="132" t="e">
        <f t="shared" ca="1" si="11"/>
        <v>#REF!</v>
      </c>
      <c r="L17" s="132" t="e">
        <f t="shared" ca="1" si="11"/>
        <v>#REF!</v>
      </c>
      <c r="M17" s="132" t="e">
        <f t="shared" ca="1" si="11"/>
        <v>#REF!</v>
      </c>
      <c r="N17" s="132" t="e">
        <f t="shared" ca="1" si="11"/>
        <v>#REF!</v>
      </c>
      <c r="O17" s="132" t="e">
        <f t="shared" ca="1" si="11"/>
        <v>#REF!</v>
      </c>
      <c r="P17" s="132" t="e">
        <f t="shared" ca="1" si="11"/>
        <v>#REF!</v>
      </c>
      <c r="Q17" s="132" t="e">
        <f t="shared" ca="1" si="11"/>
        <v>#REF!</v>
      </c>
      <c r="R17" s="132" t="e">
        <f t="shared" ca="1" si="11"/>
        <v>#REF!</v>
      </c>
      <c r="S17" s="132" t="e">
        <f t="shared" ca="1" si="11"/>
        <v>#REF!</v>
      </c>
      <c r="T17" s="132" t="e">
        <f t="shared" ca="1" si="11"/>
        <v>#REF!</v>
      </c>
      <c r="U17" s="132" t="e">
        <f t="shared" ca="1" si="11"/>
        <v>#REF!</v>
      </c>
      <c r="V17" s="132" t="e">
        <f t="shared" ca="1" si="11"/>
        <v>#REF!</v>
      </c>
      <c r="W17" s="132" t="e">
        <f t="shared" ca="1" si="11"/>
        <v>#REF!</v>
      </c>
      <c r="X17" s="325" t="e">
        <f t="shared" ca="1" si="11"/>
        <v>#REF!</v>
      </c>
      <c r="Y17" s="186" t="e">
        <f t="shared" ca="1" si="7"/>
        <v>#REF!</v>
      </c>
      <c r="Z17" s="116" t="e">
        <f t="shared" ca="1" si="9"/>
        <v>#REF!</v>
      </c>
      <c r="AA17" s="122" t="e">
        <f>IF(AB17&lt;&gt;"",HLOOKUP(AB17,originaliteit!$B$1:$M$65,65,0),"")</f>
        <v>#REF!</v>
      </c>
      <c r="AB17" s="183" t="e">
        <f t="shared" si="10"/>
        <v>#REF!</v>
      </c>
    </row>
    <row r="18" spans="1:50" ht="13.5" hidden="1" customHeight="1">
      <c r="A18" s="116">
        <v>16</v>
      </c>
      <c r="B18" s="120" t="e">
        <f t="shared" ca="1" si="8"/>
        <v>#REF!</v>
      </c>
      <c r="C18" s="132" t="e">
        <f t="shared" ca="1" si="5"/>
        <v>#REF!</v>
      </c>
      <c r="D18" s="132" t="e">
        <f t="shared" ca="1" si="6"/>
        <v>#REF!</v>
      </c>
      <c r="E18" s="132" t="e">
        <f t="shared" ca="1" si="11"/>
        <v>#REF!</v>
      </c>
      <c r="F18" s="132" t="e">
        <f t="shared" ca="1" si="11"/>
        <v>#REF!</v>
      </c>
      <c r="G18" s="132" t="e">
        <f t="shared" ca="1" si="11"/>
        <v>#REF!</v>
      </c>
      <c r="H18" s="132" t="e">
        <f t="shared" ca="1" si="11"/>
        <v>#REF!</v>
      </c>
      <c r="I18" s="132" t="e">
        <f t="shared" ca="1" si="11"/>
        <v>#REF!</v>
      </c>
      <c r="J18" s="132" t="e">
        <f t="shared" ca="1" si="11"/>
        <v>#REF!</v>
      </c>
      <c r="K18" s="132" t="e">
        <f t="shared" ca="1" si="11"/>
        <v>#REF!</v>
      </c>
      <c r="L18" s="132" t="e">
        <f t="shared" ca="1" si="11"/>
        <v>#REF!</v>
      </c>
      <c r="M18" s="132" t="e">
        <f t="shared" ca="1" si="11"/>
        <v>#REF!</v>
      </c>
      <c r="N18" s="132" t="e">
        <f t="shared" ca="1" si="11"/>
        <v>#REF!</v>
      </c>
      <c r="O18" s="132" t="e">
        <f t="shared" ca="1" si="11"/>
        <v>#REF!</v>
      </c>
      <c r="P18" s="132" t="e">
        <f t="shared" ca="1" si="11"/>
        <v>#REF!</v>
      </c>
      <c r="Q18" s="132" t="e">
        <f t="shared" ca="1" si="11"/>
        <v>#REF!</v>
      </c>
      <c r="R18" s="132" t="e">
        <f t="shared" ca="1" si="11"/>
        <v>#REF!</v>
      </c>
      <c r="S18" s="132" t="e">
        <f t="shared" ca="1" si="11"/>
        <v>#REF!</v>
      </c>
      <c r="T18" s="132" t="e">
        <f t="shared" ca="1" si="11"/>
        <v>#REF!</v>
      </c>
      <c r="U18" s="132" t="e">
        <f t="shared" ca="1" si="11"/>
        <v>#REF!</v>
      </c>
      <c r="V18" s="132" t="e">
        <f t="shared" ca="1" si="11"/>
        <v>#REF!</v>
      </c>
      <c r="W18" s="132" t="e">
        <f t="shared" ca="1" si="11"/>
        <v>#REF!</v>
      </c>
      <c r="X18" s="325" t="e">
        <f t="shared" ca="1" si="11"/>
        <v>#REF!</v>
      </c>
      <c r="Y18" s="186" t="e">
        <f t="shared" ca="1" si="7"/>
        <v>#REF!</v>
      </c>
      <c r="Z18" s="116" t="e">
        <f t="shared" ca="1" si="9"/>
        <v>#REF!</v>
      </c>
      <c r="AA18" s="122" t="e">
        <f>IF(AB18&lt;&gt;"",HLOOKUP(AB18,originaliteit!$B$1:$M$65,65,0),"")</f>
        <v>#REF!</v>
      </c>
      <c r="AB18" s="183" t="e">
        <f t="shared" si="10"/>
        <v>#REF!</v>
      </c>
    </row>
    <row r="19" spans="1:50" ht="13.5" hidden="1" customHeight="1">
      <c r="A19" s="116">
        <v>17</v>
      </c>
      <c r="B19" s="120" t="e">
        <f t="shared" ca="1" si="8"/>
        <v>#REF!</v>
      </c>
      <c r="C19" s="132" t="e">
        <f t="shared" ca="1" si="5"/>
        <v>#REF!</v>
      </c>
      <c r="D19" s="132" t="e">
        <f t="shared" ca="1" si="6"/>
        <v>#REF!</v>
      </c>
      <c r="E19" s="132" t="e">
        <f t="shared" ca="1" si="11"/>
        <v>#REF!</v>
      </c>
      <c r="F19" s="132" t="e">
        <f t="shared" ca="1" si="11"/>
        <v>#REF!</v>
      </c>
      <c r="G19" s="132" t="e">
        <f t="shared" ca="1" si="11"/>
        <v>#REF!</v>
      </c>
      <c r="H19" s="132" t="e">
        <f t="shared" ca="1" si="11"/>
        <v>#REF!</v>
      </c>
      <c r="I19" s="132" t="e">
        <f t="shared" ca="1" si="11"/>
        <v>#REF!</v>
      </c>
      <c r="J19" s="132" t="e">
        <f t="shared" ca="1" si="11"/>
        <v>#REF!</v>
      </c>
      <c r="K19" s="132" t="e">
        <f t="shared" ca="1" si="11"/>
        <v>#REF!</v>
      </c>
      <c r="L19" s="132" t="e">
        <f t="shared" ca="1" si="11"/>
        <v>#REF!</v>
      </c>
      <c r="M19" s="132" t="e">
        <f t="shared" ca="1" si="11"/>
        <v>#REF!</v>
      </c>
      <c r="N19" s="132" t="e">
        <f t="shared" ca="1" si="11"/>
        <v>#REF!</v>
      </c>
      <c r="O19" s="132" t="e">
        <f t="shared" ca="1" si="11"/>
        <v>#REF!</v>
      </c>
      <c r="P19" s="132" t="e">
        <f t="shared" ca="1" si="11"/>
        <v>#REF!</v>
      </c>
      <c r="Q19" s="132" t="e">
        <f t="shared" ca="1" si="11"/>
        <v>#REF!</v>
      </c>
      <c r="R19" s="132" t="e">
        <f t="shared" ca="1" si="11"/>
        <v>#REF!</v>
      </c>
      <c r="S19" s="132" t="e">
        <f t="shared" ca="1" si="11"/>
        <v>#REF!</v>
      </c>
      <c r="T19" s="132" t="e">
        <f t="shared" ca="1" si="11"/>
        <v>#REF!</v>
      </c>
      <c r="U19" s="132" t="e">
        <f t="shared" ca="1" si="11"/>
        <v>#REF!</v>
      </c>
      <c r="V19" s="132" t="e">
        <f t="shared" ca="1" si="11"/>
        <v>#REF!</v>
      </c>
      <c r="W19" s="132" t="e">
        <f t="shared" ca="1" si="11"/>
        <v>#REF!</v>
      </c>
      <c r="X19" s="325" t="e">
        <f t="shared" ca="1" si="11"/>
        <v>#REF!</v>
      </c>
      <c r="Y19" s="186" t="e">
        <f t="shared" ca="1" si="7"/>
        <v>#REF!</v>
      </c>
      <c r="Z19" s="116" t="e">
        <f t="shared" ca="1" si="9"/>
        <v>#REF!</v>
      </c>
      <c r="AA19" s="122" t="e">
        <f>IF(AB19&lt;&gt;"",HLOOKUP(AB19,originaliteit!$B$1:$M$65,65,0),"")</f>
        <v>#REF!</v>
      </c>
      <c r="AB19" s="183" t="e">
        <f t="shared" si="10"/>
        <v>#REF!</v>
      </c>
    </row>
    <row r="20" spans="1:50" ht="12" customHeight="1">
      <c r="B20" s="124" t="s">
        <v>6</v>
      </c>
      <c r="AB20" s="124" t="s">
        <v>8</v>
      </c>
    </row>
    <row r="21" spans="1:50" s="117" customFormat="1" ht="12" customHeight="1" thickBot="1">
      <c r="C21" s="119">
        <f>C2</f>
        <v>1</v>
      </c>
      <c r="D21" s="119">
        <f t="shared" ref="D21" si="12">D2</f>
        <v>2</v>
      </c>
      <c r="E21" s="119">
        <f t="shared" ref="E21:X21" si="13">E2</f>
        <v>3</v>
      </c>
      <c r="F21" s="119">
        <f t="shared" si="13"/>
        <v>4</v>
      </c>
      <c r="G21" s="119">
        <f t="shared" si="13"/>
        <v>5</v>
      </c>
      <c r="H21" s="119">
        <f t="shared" si="13"/>
        <v>6</v>
      </c>
      <c r="I21" s="119">
        <f t="shared" si="13"/>
        <v>7</v>
      </c>
      <c r="J21" s="119">
        <f t="shared" si="13"/>
        <v>8</v>
      </c>
      <c r="K21" s="119">
        <f t="shared" si="13"/>
        <v>9</v>
      </c>
      <c r="L21" s="119">
        <f t="shared" si="13"/>
        <v>10</v>
      </c>
      <c r="M21" s="119">
        <f t="shared" si="13"/>
        <v>11</v>
      </c>
      <c r="N21" s="119">
        <f t="shared" si="13"/>
        <v>12</v>
      </c>
      <c r="O21" s="119">
        <f t="shared" si="13"/>
        <v>13</v>
      </c>
      <c r="P21" s="119">
        <f t="shared" si="13"/>
        <v>14</v>
      </c>
      <c r="Q21" s="119">
        <f t="shared" si="13"/>
        <v>15</v>
      </c>
      <c r="R21" s="119">
        <f t="shared" si="13"/>
        <v>16</v>
      </c>
      <c r="S21" s="119">
        <f t="shared" si="13"/>
        <v>17</v>
      </c>
      <c r="T21" s="119">
        <f t="shared" si="13"/>
        <v>18</v>
      </c>
      <c r="U21" s="119">
        <f t="shared" si="13"/>
        <v>19</v>
      </c>
      <c r="V21" s="119">
        <f t="shared" si="13"/>
        <v>20</v>
      </c>
      <c r="W21" s="119">
        <f t="shared" si="13"/>
        <v>21</v>
      </c>
      <c r="X21" s="164" t="str">
        <f t="shared" si="13"/>
        <v>B</v>
      </c>
      <c r="AC21" s="119">
        <f>C21</f>
        <v>1</v>
      </c>
      <c r="AD21" s="119">
        <f>D21</f>
        <v>2</v>
      </c>
      <c r="AE21" s="119">
        <f t="shared" ref="AE21:AX21" si="14">E21</f>
        <v>3</v>
      </c>
      <c r="AF21" s="119">
        <f t="shared" si="14"/>
        <v>4</v>
      </c>
      <c r="AG21" s="119">
        <f t="shared" si="14"/>
        <v>5</v>
      </c>
      <c r="AH21" s="119">
        <f t="shared" si="14"/>
        <v>6</v>
      </c>
      <c r="AI21" s="119">
        <f t="shared" si="14"/>
        <v>7</v>
      </c>
      <c r="AJ21" s="119">
        <f t="shared" si="14"/>
        <v>8</v>
      </c>
      <c r="AK21" s="119">
        <f t="shared" si="14"/>
        <v>9</v>
      </c>
      <c r="AL21" s="119">
        <f t="shared" si="14"/>
        <v>10</v>
      </c>
      <c r="AM21" s="119">
        <f t="shared" si="14"/>
        <v>11</v>
      </c>
      <c r="AN21" s="119">
        <f t="shared" si="14"/>
        <v>12</v>
      </c>
      <c r="AO21" s="119">
        <f t="shared" si="14"/>
        <v>13</v>
      </c>
      <c r="AP21" s="119">
        <f t="shared" si="14"/>
        <v>14</v>
      </c>
      <c r="AQ21" s="119">
        <f t="shared" si="14"/>
        <v>15</v>
      </c>
      <c r="AR21" s="119">
        <f t="shared" si="14"/>
        <v>16</v>
      </c>
      <c r="AS21" s="119">
        <f t="shared" si="14"/>
        <v>17</v>
      </c>
      <c r="AT21" s="119">
        <f t="shared" si="14"/>
        <v>18</v>
      </c>
      <c r="AU21" s="119">
        <f t="shared" si="14"/>
        <v>19</v>
      </c>
      <c r="AV21" s="119">
        <f t="shared" si="14"/>
        <v>20</v>
      </c>
      <c r="AW21" s="119">
        <f t="shared" si="14"/>
        <v>21</v>
      </c>
      <c r="AX21" s="119" t="str">
        <f t="shared" si="14"/>
        <v>B</v>
      </c>
    </row>
    <row r="22" spans="1:50" ht="12" customHeight="1">
      <c r="A22" s="120"/>
      <c r="B22" s="125" t="str">
        <f ca="1">B3</f>
        <v>El Gran</v>
      </c>
      <c r="C22" s="132">
        <f ca="1">C3</f>
        <v>73</v>
      </c>
      <c r="D22" s="132">
        <f t="shared" ref="D22:D27" ca="1" si="15">IF(D3=0,,D3+C22)</f>
        <v>263</v>
      </c>
      <c r="E22" s="132">
        <f t="shared" ref="E22:G27" ca="1" si="16">IF(E3=0,,E3+D22)</f>
        <v>408</v>
      </c>
      <c r="F22" s="132">
        <f t="shared" ca="1" si="16"/>
        <v>617</v>
      </c>
      <c r="G22" s="132">
        <f t="shared" ca="1" si="16"/>
        <v>822</v>
      </c>
      <c r="H22" s="132">
        <f t="shared" ref="H22:H27" ca="1" si="17">IF(H3=0,,H3+G22)</f>
        <v>987</v>
      </c>
      <c r="I22" s="132">
        <f t="shared" ref="I22:I27" ca="1" si="18">IF(I3=0,,I3+H22)</f>
        <v>1170</v>
      </c>
      <c r="J22" s="132">
        <f t="shared" ref="J22:J27" ca="1" si="19">IF(J3=0,,J3+I22)</f>
        <v>1307</v>
      </c>
      <c r="K22" s="132">
        <f t="shared" ref="K22:K27" ca="1" si="20">IF(K3=0,,K3+J22)</f>
        <v>1307.0999999999999</v>
      </c>
      <c r="L22" s="132">
        <f t="shared" ref="L22:L27" ca="1" si="21">IF(L3=0,,L3+K22)</f>
        <v>1398.1</v>
      </c>
      <c r="M22" s="132">
        <f t="shared" ref="M22:M27" ca="1" si="22">IF(M3=0,,M3+L22)</f>
        <v>1448.1</v>
      </c>
      <c r="N22" s="132">
        <f t="shared" ref="N22:N27" ca="1" si="23">IF(N3=0,,N3+M22)</f>
        <v>1577.1</v>
      </c>
      <c r="O22" s="132">
        <f t="shared" ref="O22:O27" ca="1" si="24">IF(O3=0,,O3+N22)</f>
        <v>1719.1</v>
      </c>
      <c r="P22" s="132">
        <f t="shared" ref="P22:P27" ca="1" si="25">IF(P3=0,,P3+O22)</f>
        <v>1876.1</v>
      </c>
      <c r="Q22" s="132">
        <f t="shared" ref="Q22:Q27" ca="1" si="26">IF(Q3=0,,Q3+P22)</f>
        <v>2020.1</v>
      </c>
      <c r="R22" s="132">
        <f t="shared" ref="R22:R27" ca="1" si="27">IF(R3=0,,R3+Q22)</f>
        <v>2079.1</v>
      </c>
      <c r="S22" s="132">
        <f t="shared" ref="S22:S27" ca="1" si="28">IF(S3=0,,S3+R22)</f>
        <v>2148.1</v>
      </c>
      <c r="T22" s="132">
        <f t="shared" ref="T22:T27" ca="1" si="29">IF(T3=0,,T3+S22)</f>
        <v>2237.1</v>
      </c>
      <c r="U22" s="132">
        <f t="shared" ref="U22:U27" ca="1" si="30">IF(U3=0,,U3+T22)</f>
        <v>2333.1</v>
      </c>
      <c r="V22" s="132">
        <f t="shared" ref="V22:V27" ca="1" si="31">IF(V3=0,,V3+U22)</f>
        <v>2484.1</v>
      </c>
      <c r="W22" s="132">
        <f t="shared" ref="W22:W27" ca="1" si="32">IF(W3=0,,W3+V22)</f>
        <v>2625.1</v>
      </c>
      <c r="X22" s="132">
        <f t="shared" ref="X22:X27" ca="1" si="33">IF(X3=0,,X3+W22)</f>
        <v>2745.1</v>
      </c>
      <c r="Y22" s="128"/>
      <c r="Z22" s="117"/>
      <c r="AB22" s="126" t="str">
        <f t="shared" ref="AB22:AB27" ca="1" si="34">B22</f>
        <v>El Gran</v>
      </c>
      <c r="AC22" s="127">
        <f t="shared" ref="AC22:AC27" ca="1" si="35">C22-AC$33</f>
        <v>16</v>
      </c>
      <c r="AD22" s="127">
        <f t="shared" ref="AD22:AD27" ca="1" si="36">IF(D22&gt;0,D22-AD$33,"")</f>
        <v>91.363636363636374</v>
      </c>
      <c r="AE22" s="127">
        <f t="shared" ref="AE22:AE27" ca="1" si="37">IF(E22&gt;0,E22-AE$33,"")</f>
        <v>117.18181818181819</v>
      </c>
      <c r="AF22" s="127">
        <f t="shared" ref="AF22:AF27" ca="1" si="38">IF(F22&gt;0,F22-AF$33,"")</f>
        <v>167.18181818181819</v>
      </c>
      <c r="AG22" s="127">
        <f t="shared" ref="AG22:AG27" ca="1" si="39">IF(G22&gt;0,G22-AG$33,"")</f>
        <v>209.81818181818187</v>
      </c>
      <c r="AH22" s="127">
        <f t="shared" ref="AH22:AH27" ca="1" si="40">IF(H22&gt;0,H22-AH$33,"")</f>
        <v>233.72727272727275</v>
      </c>
      <c r="AI22" s="127">
        <f t="shared" ref="AI22:AI27" ca="1" si="41">IF(I22&gt;0,I22-AI$33,"")</f>
        <v>268.5454545454545</v>
      </c>
      <c r="AJ22" s="127">
        <f t="shared" ref="AJ22:AJ27" ca="1" si="42">IF(J22&gt;0,J22-AJ$33,"")</f>
        <v>272.90909090909099</v>
      </c>
      <c r="AK22" s="127">
        <f t="shared" ref="AK22:AK27" ca="1" si="43">IF(K22&gt;0,K22-AK$33,"")</f>
        <v>272.90909090909054</v>
      </c>
      <c r="AL22" s="127">
        <f t="shared" ref="AL22:AL27" ca="1" si="44">IF(L22&gt;0,L22-AL$33,"")</f>
        <v>266.45454545454527</v>
      </c>
      <c r="AM22" s="127">
        <f t="shared" ref="AM22:AM27" ca="1" si="45">IF(M22&gt;0,M22-AM$33,"")</f>
        <v>207.27272727272702</v>
      </c>
      <c r="AN22" s="127">
        <f t="shared" ref="AN22:AN27" ca="1" si="46">IF(N22&gt;0,N22-AN$33,"")</f>
        <v>192.27272727272702</v>
      </c>
      <c r="AO22" s="127">
        <f t="shared" ref="AO22:AO27" ca="1" si="47">IF(O22&gt;0,O22-AO$33,"")</f>
        <v>203.63636363636328</v>
      </c>
      <c r="AP22" s="127">
        <f t="shared" ref="AP22:AP27" ca="1" si="48">IF(P22&gt;0,P22-AP$33,"")</f>
        <v>251.72727272727275</v>
      </c>
      <c r="AQ22" s="127">
        <f t="shared" ref="AQ22:AQ27" ca="1" si="49">IF(Q22&gt;0,Q22-AQ$33,"")</f>
        <v>258.4545454545455</v>
      </c>
      <c r="AR22" s="127">
        <f t="shared" ref="AR22:AR27" ca="1" si="50">IF(R22&gt;0,R22-AR$33,"")</f>
        <v>255.63636363636374</v>
      </c>
      <c r="AS22" s="127">
        <f t="shared" ref="AS22:AS27" ca="1" si="51">IF(S22&gt;0,S22-AS$33,"")</f>
        <v>240.36363636363649</v>
      </c>
      <c r="AT22" s="127">
        <f t="shared" ref="AT22:AT27" ca="1" si="52">IF(T22&gt;0,T22-AT$33,"")</f>
        <v>220.81818181818221</v>
      </c>
      <c r="AU22" s="127">
        <f t="shared" ref="AU22:AU27" ca="1" si="53">IF(U22&gt;0,U22-AU$33,"")</f>
        <v>188.90909090909145</v>
      </c>
      <c r="AV22" s="127">
        <f t="shared" ref="AV22:AV27" ca="1" si="54">IF(V22&gt;0,V22-AV$33,"")</f>
        <v>204.90909090909145</v>
      </c>
      <c r="AW22" s="127">
        <f t="shared" ref="AW22:AW27" ca="1" si="55">IF(W22&gt;0,W22-AW$33,"")</f>
        <v>201.18181818181847</v>
      </c>
      <c r="AX22" s="127">
        <f t="shared" ref="AX22:AX27" ca="1" si="56">IF(X22&gt;0,X22-AX$33,"")</f>
        <v>130.90909090909145</v>
      </c>
    </row>
    <row r="23" spans="1:50" ht="12" customHeight="1">
      <c r="A23" s="120"/>
      <c r="B23" s="125" t="str">
        <f t="shared" ref="B23:C32" ca="1" si="57">B4</f>
        <v>Mahawat</v>
      </c>
      <c r="C23" s="132">
        <f t="shared" ca="1" si="57"/>
        <v>128</v>
      </c>
      <c r="D23" s="132">
        <f t="shared" ca="1" si="15"/>
        <v>319</v>
      </c>
      <c r="E23" s="132">
        <f t="shared" ca="1" si="16"/>
        <v>420</v>
      </c>
      <c r="F23" s="132">
        <f t="shared" ca="1" si="16"/>
        <v>627</v>
      </c>
      <c r="G23" s="132">
        <f t="shared" ca="1" si="16"/>
        <v>828</v>
      </c>
      <c r="H23" s="132">
        <f t="shared" ca="1" si="17"/>
        <v>982</v>
      </c>
      <c r="I23" s="132">
        <f t="shared" ca="1" si="18"/>
        <v>1152</v>
      </c>
      <c r="J23" s="132">
        <f t="shared" ca="1" si="19"/>
        <v>1275</v>
      </c>
      <c r="K23" s="132">
        <f t="shared" ca="1" si="20"/>
        <v>1275.0999999999999</v>
      </c>
      <c r="L23" s="132">
        <f t="shared" ca="1" si="21"/>
        <v>1395.1</v>
      </c>
      <c r="M23" s="132">
        <f t="shared" ca="1" si="22"/>
        <v>1529.1</v>
      </c>
      <c r="N23" s="132">
        <f t="shared" ca="1" si="23"/>
        <v>1656.1</v>
      </c>
      <c r="O23" s="132">
        <f t="shared" ca="1" si="24"/>
        <v>1794.1</v>
      </c>
      <c r="P23" s="132">
        <f t="shared" ca="1" si="25"/>
        <v>1883.1</v>
      </c>
      <c r="Q23" s="132">
        <f t="shared" ca="1" si="26"/>
        <v>2057.1</v>
      </c>
      <c r="R23" s="132">
        <f t="shared" ca="1" si="27"/>
        <v>2132.1</v>
      </c>
      <c r="S23" s="132">
        <f t="shared" ca="1" si="28"/>
        <v>2238.1</v>
      </c>
      <c r="T23" s="132">
        <f t="shared" ca="1" si="29"/>
        <v>2320.1</v>
      </c>
      <c r="U23" s="132">
        <f t="shared" ca="1" si="30"/>
        <v>2444.1</v>
      </c>
      <c r="V23" s="132">
        <f t="shared" ca="1" si="31"/>
        <v>2604.1</v>
      </c>
      <c r="W23" s="132">
        <f t="shared" ca="1" si="32"/>
        <v>2796.1</v>
      </c>
      <c r="X23" s="132">
        <f t="shared" ca="1" si="33"/>
        <v>2974.1</v>
      </c>
      <c r="Y23" s="128"/>
      <c r="Z23" s="117"/>
      <c r="AB23" s="126" t="str">
        <f ca="1">B23</f>
        <v>Mahawat</v>
      </c>
      <c r="AC23" s="127">
        <f t="shared" ca="1" si="35"/>
        <v>71</v>
      </c>
      <c r="AD23" s="127">
        <f t="shared" ca="1" si="36"/>
        <v>147.36363636363637</v>
      </c>
      <c r="AE23" s="127">
        <f t="shared" ca="1" si="37"/>
        <v>129.18181818181819</v>
      </c>
      <c r="AF23" s="127">
        <f t="shared" ca="1" si="38"/>
        <v>177.18181818181819</v>
      </c>
      <c r="AG23" s="127">
        <f t="shared" ca="1" si="39"/>
        <v>215.81818181818187</v>
      </c>
      <c r="AH23" s="127">
        <f t="shared" ca="1" si="40"/>
        <v>228.72727272727275</v>
      </c>
      <c r="AI23" s="127">
        <f t="shared" ca="1" si="41"/>
        <v>250.5454545454545</v>
      </c>
      <c r="AJ23" s="127">
        <f t="shared" ca="1" si="42"/>
        <v>240.90909090909099</v>
      </c>
      <c r="AK23" s="127">
        <f t="shared" ca="1" si="43"/>
        <v>240.90909090909054</v>
      </c>
      <c r="AL23" s="127">
        <f t="shared" ca="1" si="44"/>
        <v>263.45454545454527</v>
      </c>
      <c r="AM23" s="127">
        <f t="shared" ca="1" si="45"/>
        <v>288.27272727272702</v>
      </c>
      <c r="AN23" s="127">
        <f t="shared" ca="1" si="46"/>
        <v>271.27272727272702</v>
      </c>
      <c r="AO23" s="127">
        <f t="shared" ca="1" si="47"/>
        <v>278.63636363636328</v>
      </c>
      <c r="AP23" s="127">
        <f t="shared" ca="1" si="48"/>
        <v>258.72727272727275</v>
      </c>
      <c r="AQ23" s="127">
        <f t="shared" ca="1" si="49"/>
        <v>295.4545454545455</v>
      </c>
      <c r="AR23" s="127">
        <f t="shared" ca="1" si="50"/>
        <v>308.63636363636374</v>
      </c>
      <c r="AS23" s="127">
        <f t="shared" ca="1" si="51"/>
        <v>330.36363636363649</v>
      </c>
      <c r="AT23" s="127">
        <f t="shared" ca="1" si="52"/>
        <v>303.81818181818221</v>
      </c>
      <c r="AU23" s="127">
        <f t="shared" ca="1" si="53"/>
        <v>299.90909090909145</v>
      </c>
      <c r="AV23" s="127">
        <f t="shared" ca="1" si="54"/>
        <v>324.90909090909145</v>
      </c>
      <c r="AW23" s="127">
        <f t="shared" ca="1" si="55"/>
        <v>372.18181818181847</v>
      </c>
      <c r="AX23" s="127">
        <f t="shared" ca="1" si="56"/>
        <v>359.90909090909145</v>
      </c>
    </row>
    <row r="24" spans="1:50" ht="12" customHeight="1">
      <c r="A24" s="120"/>
      <c r="B24" s="125" t="str">
        <f t="shared" ca="1" si="57"/>
        <v>Van Lego kun je alles maken</v>
      </c>
      <c r="C24" s="132">
        <f t="shared" ca="1" si="57"/>
        <v>70</v>
      </c>
      <c r="D24" s="132">
        <f t="shared" ca="1" si="15"/>
        <v>234</v>
      </c>
      <c r="E24" s="132">
        <f t="shared" ca="1" si="16"/>
        <v>360</v>
      </c>
      <c r="F24" s="132">
        <f t="shared" ca="1" si="16"/>
        <v>521</v>
      </c>
      <c r="G24" s="132">
        <f t="shared" ca="1" si="16"/>
        <v>731</v>
      </c>
      <c r="H24" s="132">
        <f t="shared" ca="1" si="17"/>
        <v>886</v>
      </c>
      <c r="I24" s="132">
        <f t="shared" ca="1" si="18"/>
        <v>1095</v>
      </c>
      <c r="J24" s="132">
        <f t="shared" ca="1" si="19"/>
        <v>1236</v>
      </c>
      <c r="K24" s="132">
        <f t="shared" ca="1" si="20"/>
        <v>1236.0999999999999</v>
      </c>
      <c r="L24" s="132">
        <f t="shared" ca="1" si="21"/>
        <v>1333.1</v>
      </c>
      <c r="M24" s="132">
        <f t="shared" ca="1" si="22"/>
        <v>1463.1</v>
      </c>
      <c r="N24" s="132">
        <f t="shared" ca="1" si="23"/>
        <v>1623.1</v>
      </c>
      <c r="O24" s="132">
        <f t="shared" ca="1" si="24"/>
        <v>1754.1</v>
      </c>
      <c r="P24" s="132">
        <f t="shared" ca="1" si="25"/>
        <v>1868.1</v>
      </c>
      <c r="Q24" s="132">
        <f t="shared" ca="1" si="26"/>
        <v>2030.1</v>
      </c>
      <c r="R24" s="132">
        <f t="shared" ca="1" si="27"/>
        <v>2097.1</v>
      </c>
      <c r="S24" s="132">
        <f t="shared" ca="1" si="28"/>
        <v>2163.1</v>
      </c>
      <c r="T24" s="132">
        <f t="shared" ca="1" si="29"/>
        <v>2276.1</v>
      </c>
      <c r="U24" s="132">
        <f t="shared" ca="1" si="30"/>
        <v>2423.1</v>
      </c>
      <c r="V24" s="132">
        <f t="shared" ca="1" si="31"/>
        <v>2599.1</v>
      </c>
      <c r="W24" s="132">
        <f t="shared" ca="1" si="32"/>
        <v>2805.1</v>
      </c>
      <c r="X24" s="132">
        <f t="shared" ca="1" si="33"/>
        <v>3016.1</v>
      </c>
      <c r="Y24" s="128"/>
      <c r="Z24" s="117"/>
      <c r="AB24" s="126" t="str">
        <f t="shared" ca="1" si="34"/>
        <v>Van Lego kun je alles maken</v>
      </c>
      <c r="AC24" s="127">
        <f t="shared" ca="1" si="35"/>
        <v>13</v>
      </c>
      <c r="AD24" s="127">
        <f t="shared" ca="1" si="36"/>
        <v>62.363636363636374</v>
      </c>
      <c r="AE24" s="127">
        <f t="shared" ca="1" si="37"/>
        <v>69.181818181818187</v>
      </c>
      <c r="AF24" s="127">
        <f t="shared" ca="1" si="38"/>
        <v>71.181818181818187</v>
      </c>
      <c r="AG24" s="127">
        <f t="shared" ca="1" si="39"/>
        <v>118.81818181818187</v>
      </c>
      <c r="AH24" s="127">
        <f t="shared" ca="1" si="40"/>
        <v>132.72727272727275</v>
      </c>
      <c r="AI24" s="127">
        <f t="shared" ca="1" si="41"/>
        <v>193.5454545454545</v>
      </c>
      <c r="AJ24" s="127">
        <f t="shared" ca="1" si="42"/>
        <v>201.90909090909099</v>
      </c>
      <c r="AK24" s="127">
        <f t="shared" ca="1" si="43"/>
        <v>201.90909090909054</v>
      </c>
      <c r="AL24" s="127">
        <f t="shared" ca="1" si="44"/>
        <v>201.45454545454527</v>
      </c>
      <c r="AM24" s="127">
        <f t="shared" ca="1" si="45"/>
        <v>222.27272727272702</v>
      </c>
      <c r="AN24" s="127">
        <f t="shared" ca="1" si="46"/>
        <v>238.27272727272702</v>
      </c>
      <c r="AO24" s="127">
        <f t="shared" ca="1" si="47"/>
        <v>238.63636363636328</v>
      </c>
      <c r="AP24" s="127">
        <f t="shared" ca="1" si="48"/>
        <v>243.72727272727275</v>
      </c>
      <c r="AQ24" s="127">
        <f t="shared" ca="1" si="49"/>
        <v>268.4545454545455</v>
      </c>
      <c r="AR24" s="127">
        <f t="shared" ca="1" si="50"/>
        <v>273.63636363636374</v>
      </c>
      <c r="AS24" s="127">
        <f t="shared" ca="1" si="51"/>
        <v>255.36363636363649</v>
      </c>
      <c r="AT24" s="127">
        <f t="shared" ca="1" si="52"/>
        <v>259.81818181818221</v>
      </c>
      <c r="AU24" s="127">
        <f t="shared" ca="1" si="53"/>
        <v>278.90909090909145</v>
      </c>
      <c r="AV24" s="127">
        <f t="shared" ca="1" si="54"/>
        <v>319.90909090909145</v>
      </c>
      <c r="AW24" s="127">
        <f t="shared" ca="1" si="55"/>
        <v>381.18181818181847</v>
      </c>
      <c r="AX24" s="127">
        <f t="shared" ca="1" si="56"/>
        <v>401.90909090909145</v>
      </c>
    </row>
    <row r="25" spans="1:50" ht="12" customHeight="1">
      <c r="A25" s="120"/>
      <c r="B25" s="125" t="str">
        <f t="shared" ca="1" si="57"/>
        <v>De Lange Man</v>
      </c>
      <c r="C25" s="132">
        <f t="shared" ca="1" si="57"/>
        <v>71</v>
      </c>
      <c r="D25" s="132">
        <f t="shared" ca="1" si="15"/>
        <v>197</v>
      </c>
      <c r="E25" s="132">
        <f t="shared" ca="1" si="16"/>
        <v>331</v>
      </c>
      <c r="F25" s="132">
        <f t="shared" ca="1" si="16"/>
        <v>528</v>
      </c>
      <c r="G25" s="132">
        <f t="shared" ca="1" si="16"/>
        <v>739</v>
      </c>
      <c r="H25" s="132">
        <f t="shared" ca="1" si="17"/>
        <v>906</v>
      </c>
      <c r="I25" s="132">
        <f t="shared" ca="1" si="18"/>
        <v>1055</v>
      </c>
      <c r="J25" s="132">
        <f t="shared" ca="1" si="19"/>
        <v>1180</v>
      </c>
      <c r="K25" s="132">
        <f t="shared" ca="1" si="20"/>
        <v>1180.0999999999999</v>
      </c>
      <c r="L25" s="132">
        <f t="shared" ca="1" si="21"/>
        <v>1293.0999999999999</v>
      </c>
      <c r="M25" s="132">
        <f t="shared" ca="1" si="22"/>
        <v>1377.1</v>
      </c>
      <c r="N25" s="132">
        <f t="shared" ca="1" si="23"/>
        <v>1524.1</v>
      </c>
      <c r="O25" s="132">
        <f t="shared" ca="1" si="24"/>
        <v>1668.1</v>
      </c>
      <c r="P25" s="132">
        <f t="shared" ca="1" si="25"/>
        <v>1752.1</v>
      </c>
      <c r="Q25" s="132">
        <f t="shared" ca="1" si="26"/>
        <v>1945.1</v>
      </c>
      <c r="R25" s="132">
        <f t="shared" ca="1" si="27"/>
        <v>2018.1</v>
      </c>
      <c r="S25" s="132">
        <f t="shared" ca="1" si="28"/>
        <v>2047.1</v>
      </c>
      <c r="T25" s="132">
        <f t="shared" ca="1" si="29"/>
        <v>2175.1</v>
      </c>
      <c r="U25" s="132">
        <f t="shared" ca="1" si="30"/>
        <v>2286.1</v>
      </c>
      <c r="V25" s="132">
        <f t="shared" ca="1" si="31"/>
        <v>2390.1</v>
      </c>
      <c r="W25" s="132">
        <f t="shared" ca="1" si="32"/>
        <v>2560.1</v>
      </c>
      <c r="X25" s="132">
        <f t="shared" ca="1" si="33"/>
        <v>2746.1</v>
      </c>
      <c r="Y25" s="128"/>
      <c r="Z25" s="117"/>
      <c r="AB25" s="126" t="str">
        <f t="shared" ca="1" si="34"/>
        <v>De Lange Man</v>
      </c>
      <c r="AC25" s="127">
        <f t="shared" ca="1" si="35"/>
        <v>14</v>
      </c>
      <c r="AD25" s="127">
        <f t="shared" ca="1" si="36"/>
        <v>25.363636363636374</v>
      </c>
      <c r="AE25" s="127">
        <f t="shared" ca="1" si="37"/>
        <v>40.181818181818187</v>
      </c>
      <c r="AF25" s="127">
        <f t="shared" ca="1" si="38"/>
        <v>78.181818181818187</v>
      </c>
      <c r="AG25" s="127">
        <f t="shared" ca="1" si="39"/>
        <v>126.81818181818187</v>
      </c>
      <c r="AH25" s="127">
        <f t="shared" ca="1" si="40"/>
        <v>152.72727272727275</v>
      </c>
      <c r="AI25" s="127">
        <f t="shared" ca="1" si="41"/>
        <v>153.5454545454545</v>
      </c>
      <c r="AJ25" s="127">
        <f t="shared" ca="1" si="42"/>
        <v>145.90909090909099</v>
      </c>
      <c r="AK25" s="127">
        <f t="shared" ca="1" si="43"/>
        <v>145.90909090909054</v>
      </c>
      <c r="AL25" s="127">
        <f t="shared" ca="1" si="44"/>
        <v>161.45454545454527</v>
      </c>
      <c r="AM25" s="127">
        <f t="shared" ca="1" si="45"/>
        <v>136.27272727272702</v>
      </c>
      <c r="AN25" s="127">
        <f t="shared" ca="1" si="46"/>
        <v>139.27272727272702</v>
      </c>
      <c r="AO25" s="127">
        <f t="shared" ca="1" si="47"/>
        <v>152.63636363636328</v>
      </c>
      <c r="AP25" s="127">
        <f t="shared" ca="1" si="48"/>
        <v>127.72727272727275</v>
      </c>
      <c r="AQ25" s="127">
        <f t="shared" ca="1" si="49"/>
        <v>183.4545454545455</v>
      </c>
      <c r="AR25" s="127">
        <f t="shared" ca="1" si="50"/>
        <v>194.63636363636374</v>
      </c>
      <c r="AS25" s="127">
        <f t="shared" ca="1" si="51"/>
        <v>139.36363636363649</v>
      </c>
      <c r="AT25" s="127">
        <f t="shared" ca="1" si="52"/>
        <v>158.81818181818221</v>
      </c>
      <c r="AU25" s="127">
        <f t="shared" ca="1" si="53"/>
        <v>141.90909090909145</v>
      </c>
      <c r="AV25" s="127">
        <f t="shared" ca="1" si="54"/>
        <v>110.90909090909145</v>
      </c>
      <c r="AW25" s="127">
        <f t="shared" ca="1" si="55"/>
        <v>136.18181818181847</v>
      </c>
      <c r="AX25" s="127">
        <f t="shared" ca="1" si="56"/>
        <v>131.90909090909145</v>
      </c>
    </row>
    <row r="26" spans="1:50" ht="12" customHeight="1">
      <c r="A26" s="120"/>
      <c r="B26" s="125" t="str">
        <f t="shared" ca="1" si="57"/>
        <v>TinTopTeam</v>
      </c>
      <c r="C26" s="132">
        <f t="shared" ca="1" si="57"/>
        <v>21</v>
      </c>
      <c r="D26" s="132">
        <f t="shared" ca="1" si="15"/>
        <v>106</v>
      </c>
      <c r="E26" s="132">
        <f t="shared" ca="1" si="16"/>
        <v>234</v>
      </c>
      <c r="F26" s="132">
        <f t="shared" ca="1" si="16"/>
        <v>402</v>
      </c>
      <c r="G26" s="132">
        <f t="shared" ca="1" si="16"/>
        <v>575</v>
      </c>
      <c r="H26" s="132">
        <f t="shared" ca="1" si="17"/>
        <v>750</v>
      </c>
      <c r="I26" s="132">
        <f t="shared" ca="1" si="18"/>
        <v>904</v>
      </c>
      <c r="J26" s="132">
        <f t="shared" ca="1" si="19"/>
        <v>1053</v>
      </c>
      <c r="K26" s="132">
        <f t="shared" ca="1" si="20"/>
        <v>1053.0999999999999</v>
      </c>
      <c r="L26" s="132">
        <f t="shared" ca="1" si="21"/>
        <v>1149.0999999999999</v>
      </c>
      <c r="M26" s="132">
        <f t="shared" ca="1" si="22"/>
        <v>1291.0999999999999</v>
      </c>
      <c r="N26" s="132">
        <f t="shared" ca="1" si="23"/>
        <v>1492.1</v>
      </c>
      <c r="O26" s="132">
        <f t="shared" ca="1" si="24"/>
        <v>1630.1</v>
      </c>
      <c r="P26" s="132">
        <f t="shared" ca="1" si="25"/>
        <v>1742.1</v>
      </c>
      <c r="Q26" s="132">
        <f t="shared" ca="1" si="26"/>
        <v>1907.1</v>
      </c>
      <c r="R26" s="132">
        <f t="shared" ca="1" si="27"/>
        <v>1978.1</v>
      </c>
      <c r="S26" s="132">
        <f t="shared" ca="1" si="28"/>
        <v>2071.1</v>
      </c>
      <c r="T26" s="132">
        <f t="shared" ca="1" si="29"/>
        <v>2220.1</v>
      </c>
      <c r="U26" s="132">
        <f t="shared" ca="1" si="30"/>
        <v>2357.1</v>
      </c>
      <c r="V26" s="132">
        <f t="shared" ca="1" si="31"/>
        <v>2494.1</v>
      </c>
      <c r="W26" s="132">
        <f t="shared" ca="1" si="32"/>
        <v>2676.1</v>
      </c>
      <c r="X26" s="132">
        <f t="shared" ca="1" si="33"/>
        <v>2872.1</v>
      </c>
      <c r="Y26" s="128"/>
      <c r="Z26" s="117"/>
      <c r="AB26" s="126" t="str">
        <f t="shared" ca="1" si="34"/>
        <v>TinTopTeam</v>
      </c>
      <c r="AC26" s="127">
        <f t="shared" ca="1" si="35"/>
        <v>-36</v>
      </c>
      <c r="AD26" s="127">
        <f t="shared" ca="1" si="36"/>
        <v>-65.636363636363626</v>
      </c>
      <c r="AE26" s="127">
        <f t="shared" ca="1" si="37"/>
        <v>-56.818181818181813</v>
      </c>
      <c r="AF26" s="127">
        <f t="shared" ca="1" si="38"/>
        <v>-47.818181818181813</v>
      </c>
      <c r="AG26" s="127">
        <f t="shared" ca="1" si="39"/>
        <v>-37.18181818181813</v>
      </c>
      <c r="AH26" s="127">
        <f t="shared" ca="1" si="40"/>
        <v>-3.2727272727272521</v>
      </c>
      <c r="AI26" s="127">
        <f t="shared" ca="1" si="41"/>
        <v>2.5454545454545041</v>
      </c>
      <c r="AJ26" s="127">
        <f t="shared" ca="1" si="42"/>
        <v>18.909090909090992</v>
      </c>
      <c r="AK26" s="127">
        <f t="shared" ca="1" si="43"/>
        <v>18.909090909090537</v>
      </c>
      <c r="AL26" s="127">
        <f t="shared" ca="1" si="44"/>
        <v>17.454545454545269</v>
      </c>
      <c r="AM26" s="127">
        <f t="shared" ca="1" si="45"/>
        <v>50.272727272727025</v>
      </c>
      <c r="AN26" s="127">
        <f t="shared" ca="1" si="46"/>
        <v>107.27272727272702</v>
      </c>
      <c r="AO26" s="127">
        <f t="shared" ca="1" si="47"/>
        <v>114.63636363636328</v>
      </c>
      <c r="AP26" s="127">
        <f t="shared" ca="1" si="48"/>
        <v>117.72727272727275</v>
      </c>
      <c r="AQ26" s="127">
        <f t="shared" ca="1" si="49"/>
        <v>145.4545454545455</v>
      </c>
      <c r="AR26" s="127">
        <f t="shared" ca="1" si="50"/>
        <v>154.63636363636374</v>
      </c>
      <c r="AS26" s="127">
        <f t="shared" ca="1" si="51"/>
        <v>163.36363636363649</v>
      </c>
      <c r="AT26" s="127">
        <f t="shared" ca="1" si="52"/>
        <v>203.81818181818221</v>
      </c>
      <c r="AU26" s="127">
        <f t="shared" ca="1" si="53"/>
        <v>212.90909090909145</v>
      </c>
      <c r="AV26" s="127">
        <f t="shared" ca="1" si="54"/>
        <v>214.90909090909145</v>
      </c>
      <c r="AW26" s="127">
        <f t="shared" ca="1" si="55"/>
        <v>252.18181818181847</v>
      </c>
      <c r="AX26" s="127">
        <f t="shared" ca="1" si="56"/>
        <v>257.90909090909145</v>
      </c>
    </row>
    <row r="27" spans="1:50" ht="12" customHeight="1">
      <c r="A27" s="120"/>
      <c r="B27" s="125" t="str">
        <f t="shared" ca="1" si="57"/>
        <v>wadaf*ckers</v>
      </c>
      <c r="C27" s="132">
        <f t="shared" ca="1" si="57"/>
        <v>52</v>
      </c>
      <c r="D27" s="132">
        <f t="shared" ca="1" si="15"/>
        <v>137</v>
      </c>
      <c r="E27" s="132">
        <f t="shared" ca="1" si="16"/>
        <v>247</v>
      </c>
      <c r="F27" s="132">
        <f t="shared" ca="1" si="16"/>
        <v>383</v>
      </c>
      <c r="G27" s="132">
        <f t="shared" ca="1" si="16"/>
        <v>548</v>
      </c>
      <c r="H27" s="132">
        <f t="shared" ca="1" si="17"/>
        <v>693</v>
      </c>
      <c r="I27" s="132">
        <f t="shared" ca="1" si="18"/>
        <v>882</v>
      </c>
      <c r="J27" s="132">
        <f t="shared" ca="1" si="19"/>
        <v>1011</v>
      </c>
      <c r="K27" s="132">
        <f t="shared" ca="1" si="20"/>
        <v>1011.1</v>
      </c>
      <c r="L27" s="132">
        <f t="shared" ca="1" si="21"/>
        <v>1084.0999999999999</v>
      </c>
      <c r="M27" s="132">
        <f t="shared" ca="1" si="22"/>
        <v>1167.0999999999999</v>
      </c>
      <c r="N27" s="132">
        <f t="shared" ca="1" si="23"/>
        <v>1311.1</v>
      </c>
      <c r="O27" s="132">
        <f t="shared" ca="1" si="24"/>
        <v>1445.1</v>
      </c>
      <c r="P27" s="132">
        <f t="shared" ca="1" si="25"/>
        <v>1554.1</v>
      </c>
      <c r="Q27" s="132">
        <f t="shared" ca="1" si="26"/>
        <v>1700.1</v>
      </c>
      <c r="R27" s="132">
        <f t="shared" ca="1" si="27"/>
        <v>1762.1</v>
      </c>
      <c r="S27" s="132">
        <f t="shared" ca="1" si="28"/>
        <v>1840.1</v>
      </c>
      <c r="T27" s="132">
        <f t="shared" ca="1" si="29"/>
        <v>1935.1</v>
      </c>
      <c r="U27" s="132">
        <f t="shared" ca="1" si="30"/>
        <v>2065.1</v>
      </c>
      <c r="V27" s="132">
        <f t="shared" ca="1" si="31"/>
        <v>2197.1</v>
      </c>
      <c r="W27" s="132">
        <f t="shared" ca="1" si="32"/>
        <v>2356.1</v>
      </c>
      <c r="X27" s="132">
        <f t="shared" ca="1" si="33"/>
        <v>2557.1</v>
      </c>
      <c r="Y27" s="128"/>
      <c r="Z27" s="117"/>
      <c r="AB27" s="126" t="str">
        <f t="shared" ca="1" si="34"/>
        <v>wadaf*ckers</v>
      </c>
      <c r="AC27" s="127">
        <f t="shared" ca="1" si="35"/>
        <v>-5</v>
      </c>
      <c r="AD27" s="127">
        <f t="shared" ca="1" si="36"/>
        <v>-34.636363636363626</v>
      </c>
      <c r="AE27" s="127">
        <f t="shared" ca="1" si="37"/>
        <v>-43.818181818181813</v>
      </c>
      <c r="AF27" s="127">
        <f t="shared" ca="1" si="38"/>
        <v>-66.818181818181813</v>
      </c>
      <c r="AG27" s="127">
        <f t="shared" ca="1" si="39"/>
        <v>-64.18181818181813</v>
      </c>
      <c r="AH27" s="127">
        <f t="shared" ca="1" si="40"/>
        <v>-60.272727272727252</v>
      </c>
      <c r="AI27" s="127">
        <f t="shared" ca="1" si="41"/>
        <v>-19.454545454545496</v>
      </c>
      <c r="AJ27" s="127">
        <f t="shared" ca="1" si="42"/>
        <v>-23.090909090909008</v>
      </c>
      <c r="AK27" s="127">
        <f t="shared" ca="1" si="43"/>
        <v>-23.090909090909349</v>
      </c>
      <c r="AL27" s="127">
        <f t="shared" ca="1" si="44"/>
        <v>-47.545454545454731</v>
      </c>
      <c r="AM27" s="127">
        <f t="shared" ca="1" si="45"/>
        <v>-73.727272727272975</v>
      </c>
      <c r="AN27" s="127">
        <f t="shared" ca="1" si="46"/>
        <v>-73.727272727272975</v>
      </c>
      <c r="AO27" s="127">
        <f t="shared" ca="1" si="47"/>
        <v>-70.363636363636715</v>
      </c>
      <c r="AP27" s="127">
        <f t="shared" ca="1" si="48"/>
        <v>-70.272727272727252</v>
      </c>
      <c r="AQ27" s="127">
        <f t="shared" ca="1" si="49"/>
        <v>-61.545454545454504</v>
      </c>
      <c r="AR27" s="127">
        <f t="shared" ca="1" si="50"/>
        <v>-61.36363636363626</v>
      </c>
      <c r="AS27" s="127">
        <f t="shared" ca="1" si="51"/>
        <v>-67.636363636363512</v>
      </c>
      <c r="AT27" s="127">
        <f t="shared" ca="1" si="52"/>
        <v>-81.181818181817789</v>
      </c>
      <c r="AU27" s="127">
        <f t="shared" ca="1" si="53"/>
        <v>-79.090909090908553</v>
      </c>
      <c r="AV27" s="127">
        <f t="shared" ca="1" si="54"/>
        <v>-82.090909090908553</v>
      </c>
      <c r="AW27" s="127">
        <f t="shared" ca="1" si="55"/>
        <v>-67.818181818181529</v>
      </c>
      <c r="AX27" s="127">
        <f t="shared" ca="1" si="56"/>
        <v>-57.090909090908553</v>
      </c>
    </row>
    <row r="28" spans="1:50" ht="12" customHeight="1">
      <c r="A28" s="120"/>
      <c r="B28" s="125" t="str">
        <f t="shared" ca="1" si="57"/>
        <v>Equipe l'Ami</v>
      </c>
      <c r="C28" s="132">
        <f t="shared" ca="1" si="57"/>
        <v>49</v>
      </c>
      <c r="D28" s="132">
        <f t="shared" ref="D28:D32" ca="1" si="58">IF(D9=0,,D9+C28)</f>
        <v>190</v>
      </c>
      <c r="E28" s="132">
        <f t="shared" ref="E28:G32" ca="1" si="59">IF(E9=0,,E9+D28)</f>
        <v>274</v>
      </c>
      <c r="F28" s="132">
        <f t="shared" ca="1" si="59"/>
        <v>435</v>
      </c>
      <c r="G28" s="132">
        <f t="shared" ca="1" si="59"/>
        <v>603</v>
      </c>
      <c r="H28" s="132">
        <f t="shared" ref="H28:H32" ca="1" si="60">IF(H9=0,,H9+G28)</f>
        <v>700</v>
      </c>
      <c r="I28" s="132">
        <f t="shared" ref="I28:I32" ca="1" si="61">IF(I9=0,,I9+H28)</f>
        <v>869</v>
      </c>
      <c r="J28" s="132">
        <f t="shared" ref="J28:J32" ca="1" si="62">IF(J9=0,,J9+I28)</f>
        <v>981</v>
      </c>
      <c r="K28" s="132">
        <f t="shared" ref="K28:K32" ca="1" si="63">IF(K9=0,,K9+J28)</f>
        <v>981.1</v>
      </c>
      <c r="L28" s="132">
        <f t="shared" ref="L28:L32" ca="1" si="64">IF(L9=0,,L9+K28)</f>
        <v>1048.0999999999999</v>
      </c>
      <c r="M28" s="132">
        <f t="shared" ref="M28:M32" ca="1" si="65">IF(M9=0,,M9+L28)</f>
        <v>1144.0999999999999</v>
      </c>
      <c r="N28" s="132">
        <f t="shared" ref="N28:N32" ca="1" si="66">IF(N9=0,,N9+M28)</f>
        <v>1242.0999999999999</v>
      </c>
      <c r="O28" s="132">
        <f t="shared" ref="O28:O32" ca="1" si="67">IF(O9=0,,O9+N28)</f>
        <v>1339.1</v>
      </c>
      <c r="P28" s="132">
        <f t="shared" ref="P28:P32" ca="1" si="68">IF(P9=0,,P9+O28)</f>
        <v>1468.1</v>
      </c>
      <c r="Q28" s="132">
        <f t="shared" ref="Q28:Q32" ca="1" si="69">IF(Q9=0,,Q9+P28)</f>
        <v>1580.1</v>
      </c>
      <c r="R28" s="132">
        <f t="shared" ref="R28:R32" ca="1" si="70">IF(R9=0,,R9+Q28)</f>
        <v>1637.1</v>
      </c>
      <c r="S28" s="132">
        <f t="shared" ref="S28:S32" ca="1" si="71">IF(S9=0,,S9+R28)</f>
        <v>1719.1</v>
      </c>
      <c r="T28" s="132">
        <f t="shared" ref="T28:T32" ca="1" si="72">IF(T9=0,,T9+S28)</f>
        <v>1791.1</v>
      </c>
      <c r="U28" s="132">
        <f t="shared" ref="U28:U32" ca="1" si="73">IF(U9=0,,U9+T28)</f>
        <v>1894.1</v>
      </c>
      <c r="V28" s="132">
        <f t="shared" ref="V28:V32" ca="1" si="74">IF(V9=0,,V9+U28)</f>
        <v>1996.1</v>
      </c>
      <c r="W28" s="132">
        <f t="shared" ref="W28:W32" ca="1" si="75">IF(W9=0,,W9+V28)</f>
        <v>2144.1</v>
      </c>
      <c r="X28" s="132">
        <f t="shared" ref="X28:X32" ca="1" si="76">IF(X9=0,,X9+W28)</f>
        <v>2278.1</v>
      </c>
      <c r="Y28" s="128"/>
      <c r="Z28" s="117"/>
      <c r="AB28" s="126" t="str">
        <f t="shared" ref="AB28:AB32" ca="1" si="77">B28</f>
        <v>Equipe l'Ami</v>
      </c>
      <c r="AC28" s="127">
        <f t="shared" ref="AC28:AC32" ca="1" si="78">C28-AC$33</f>
        <v>-8</v>
      </c>
      <c r="AD28" s="127">
        <f t="shared" ref="AD28:AD32" ca="1" si="79">IF(D28&gt;0,D28-AD$33,"")</f>
        <v>18.363636363636374</v>
      </c>
      <c r="AE28" s="127">
        <f t="shared" ref="AE28:AE32" ca="1" si="80">IF(E28&gt;0,E28-AE$33,"")</f>
        <v>-16.818181818181813</v>
      </c>
      <c r="AF28" s="127">
        <f t="shared" ref="AF28:AF32" ca="1" si="81">IF(F28&gt;0,F28-AF$33,"")</f>
        <v>-14.818181818181813</v>
      </c>
      <c r="AG28" s="127">
        <f t="shared" ref="AG28:AG32" ca="1" si="82">IF(G28&gt;0,G28-AG$33,"")</f>
        <v>-9.1818181818181301</v>
      </c>
      <c r="AH28" s="127">
        <f t="shared" ref="AH28:AH32" ca="1" si="83">IF(H28&gt;0,H28-AH$33,"")</f>
        <v>-53.272727272727252</v>
      </c>
      <c r="AI28" s="127">
        <f t="shared" ref="AI28:AI32" ca="1" si="84">IF(I28&gt;0,I28-AI$33,"")</f>
        <v>-32.454545454545496</v>
      </c>
      <c r="AJ28" s="127">
        <f t="shared" ref="AJ28:AJ32" ca="1" si="85">IF(J28&gt;0,J28-AJ$33,"")</f>
        <v>-53.090909090909008</v>
      </c>
      <c r="AK28" s="127">
        <f t="shared" ref="AK28:AK32" ca="1" si="86">IF(K28&gt;0,K28-AK$33,"")</f>
        <v>-53.090909090909349</v>
      </c>
      <c r="AL28" s="127">
        <f t="shared" ref="AL28:AL32" ca="1" si="87">IF(L28&gt;0,L28-AL$33,"")</f>
        <v>-83.545454545454731</v>
      </c>
      <c r="AM28" s="127">
        <f t="shared" ref="AM28:AM32" ca="1" si="88">IF(M28&gt;0,M28-AM$33,"")</f>
        <v>-96.727272727272975</v>
      </c>
      <c r="AN28" s="127">
        <f t="shared" ref="AN28:AN32" ca="1" si="89">IF(N28&gt;0,N28-AN$33,"")</f>
        <v>-142.72727272727298</v>
      </c>
      <c r="AO28" s="127">
        <f t="shared" ref="AO28:AO32" ca="1" si="90">IF(O28&gt;0,O28-AO$33,"")</f>
        <v>-176.36363636363672</v>
      </c>
      <c r="AP28" s="127">
        <f t="shared" ref="AP28:AP32" ca="1" si="91">IF(P28&gt;0,P28-AP$33,"")</f>
        <v>-156.27272727272725</v>
      </c>
      <c r="AQ28" s="127">
        <f t="shared" ref="AQ28:AQ32" ca="1" si="92">IF(Q28&gt;0,Q28-AQ$33,"")</f>
        <v>-181.5454545454545</v>
      </c>
      <c r="AR28" s="127">
        <f t="shared" ref="AR28:AR32" ca="1" si="93">IF(R28&gt;0,R28-AR$33,"")</f>
        <v>-186.36363636363626</v>
      </c>
      <c r="AS28" s="127">
        <f t="shared" ref="AS28:AS32" ca="1" si="94">IF(S28&gt;0,S28-AS$33,"")</f>
        <v>-188.63636363636351</v>
      </c>
      <c r="AT28" s="127">
        <f t="shared" ref="AT28:AT32" ca="1" si="95">IF(T28&gt;0,T28-AT$33,"")</f>
        <v>-225.18181818181779</v>
      </c>
      <c r="AU28" s="127">
        <f t="shared" ref="AU28:AU32" ca="1" si="96">IF(U28&gt;0,U28-AU$33,"")</f>
        <v>-250.09090909090855</v>
      </c>
      <c r="AV28" s="127">
        <f t="shared" ref="AV28:AV32" ca="1" si="97">IF(V28&gt;0,V28-AV$33,"")</f>
        <v>-283.09090909090855</v>
      </c>
      <c r="AW28" s="127">
        <f t="shared" ref="AW28:AW32" ca="1" si="98">IF(W28&gt;0,W28-AW$33,"")</f>
        <v>-279.81818181818153</v>
      </c>
      <c r="AX28" s="127">
        <f t="shared" ref="AX28:AX32" ca="1" si="99">IF(X28&gt;0,X28-AX$33,"")</f>
        <v>-336.09090909090855</v>
      </c>
    </row>
    <row r="29" spans="1:50" ht="12" customHeight="1">
      <c r="A29" s="120"/>
      <c r="B29" s="125" t="str">
        <f t="shared" ca="1" si="57"/>
        <v>Am Selfkant</v>
      </c>
      <c r="C29" s="132">
        <f t="shared" ca="1" si="57"/>
        <v>21</v>
      </c>
      <c r="D29" s="132">
        <f t="shared" ca="1" si="58"/>
        <v>122</v>
      </c>
      <c r="E29" s="132">
        <f t="shared" ca="1" si="59"/>
        <v>248</v>
      </c>
      <c r="F29" s="132">
        <f t="shared" ca="1" si="59"/>
        <v>378</v>
      </c>
      <c r="G29" s="132">
        <f t="shared" ca="1" si="59"/>
        <v>511</v>
      </c>
      <c r="H29" s="132">
        <f t="shared" ca="1" si="60"/>
        <v>640</v>
      </c>
      <c r="I29" s="132">
        <f t="shared" ca="1" si="61"/>
        <v>789</v>
      </c>
      <c r="J29" s="132">
        <f t="shared" ca="1" si="62"/>
        <v>938</v>
      </c>
      <c r="K29" s="132">
        <f t="shared" ca="1" si="63"/>
        <v>938.1</v>
      </c>
      <c r="L29" s="132">
        <f t="shared" ca="1" si="64"/>
        <v>1033.0999999999999</v>
      </c>
      <c r="M29" s="132">
        <f t="shared" ca="1" si="65"/>
        <v>1146.0999999999999</v>
      </c>
      <c r="N29" s="132">
        <f t="shared" ca="1" si="66"/>
        <v>1293.0999999999999</v>
      </c>
      <c r="O29" s="132">
        <f t="shared" ca="1" si="67"/>
        <v>1437.1</v>
      </c>
      <c r="P29" s="132">
        <f t="shared" ca="1" si="68"/>
        <v>1545.1</v>
      </c>
      <c r="Q29" s="132">
        <f t="shared" ca="1" si="69"/>
        <v>1673.1</v>
      </c>
      <c r="R29" s="132">
        <f t="shared" ca="1" si="70"/>
        <v>1734.1</v>
      </c>
      <c r="S29" s="132">
        <f t="shared" ca="1" si="71"/>
        <v>1824.1</v>
      </c>
      <c r="T29" s="132">
        <f t="shared" ca="1" si="72"/>
        <v>1963.1</v>
      </c>
      <c r="U29" s="132">
        <f t="shared" ca="1" si="73"/>
        <v>2098.1</v>
      </c>
      <c r="V29" s="132">
        <f t="shared" ca="1" si="74"/>
        <v>2242.1</v>
      </c>
      <c r="W29" s="132">
        <f t="shared" ca="1" si="75"/>
        <v>2369.1</v>
      </c>
      <c r="X29" s="132">
        <f t="shared" ca="1" si="76"/>
        <v>2588.1</v>
      </c>
      <c r="Y29" s="128"/>
      <c r="Z29" s="117"/>
      <c r="AB29" s="126" t="str">
        <f t="shared" ca="1" si="77"/>
        <v>Am Selfkant</v>
      </c>
      <c r="AC29" s="127">
        <f t="shared" ca="1" si="78"/>
        <v>-36</v>
      </c>
      <c r="AD29" s="127">
        <f t="shared" ca="1" si="79"/>
        <v>-49.636363636363626</v>
      </c>
      <c r="AE29" s="127">
        <f t="shared" ca="1" si="80"/>
        <v>-42.818181818181813</v>
      </c>
      <c r="AF29" s="127">
        <f t="shared" ca="1" si="81"/>
        <v>-71.818181818181813</v>
      </c>
      <c r="AG29" s="127">
        <f t="shared" ca="1" si="82"/>
        <v>-101.18181818181813</v>
      </c>
      <c r="AH29" s="127">
        <f t="shared" ca="1" si="83"/>
        <v>-113.27272727272725</v>
      </c>
      <c r="AI29" s="127">
        <f t="shared" ca="1" si="84"/>
        <v>-112.4545454545455</v>
      </c>
      <c r="AJ29" s="127">
        <f t="shared" ca="1" si="85"/>
        <v>-96.090909090909008</v>
      </c>
      <c r="AK29" s="127">
        <f t="shared" ca="1" si="86"/>
        <v>-96.090909090909349</v>
      </c>
      <c r="AL29" s="127">
        <f t="shared" ca="1" si="87"/>
        <v>-98.545454545454731</v>
      </c>
      <c r="AM29" s="127">
        <f t="shared" ca="1" si="88"/>
        <v>-94.727272727272975</v>
      </c>
      <c r="AN29" s="127">
        <f t="shared" ca="1" si="89"/>
        <v>-91.727272727272975</v>
      </c>
      <c r="AO29" s="127">
        <f t="shared" ca="1" si="90"/>
        <v>-78.363636363636715</v>
      </c>
      <c r="AP29" s="127">
        <f t="shared" ca="1" si="91"/>
        <v>-79.272727272727252</v>
      </c>
      <c r="AQ29" s="127">
        <f t="shared" ca="1" si="92"/>
        <v>-88.545454545454504</v>
      </c>
      <c r="AR29" s="127">
        <f t="shared" ca="1" si="93"/>
        <v>-89.36363636363626</v>
      </c>
      <c r="AS29" s="127">
        <f t="shared" ca="1" si="94"/>
        <v>-83.636363636363512</v>
      </c>
      <c r="AT29" s="127">
        <f t="shared" ca="1" si="95"/>
        <v>-53.181818181817789</v>
      </c>
      <c r="AU29" s="127">
        <f t="shared" ca="1" si="96"/>
        <v>-46.090909090908553</v>
      </c>
      <c r="AV29" s="127">
        <f t="shared" ca="1" si="97"/>
        <v>-37.090909090908553</v>
      </c>
      <c r="AW29" s="127">
        <f t="shared" ca="1" si="98"/>
        <v>-54.818181818181529</v>
      </c>
      <c r="AX29" s="127">
        <f t="shared" ca="1" si="99"/>
        <v>-26.090909090908553</v>
      </c>
    </row>
    <row r="30" spans="1:50" ht="12" customHeight="1">
      <c r="A30" s="120"/>
      <c r="B30" s="125" t="str">
        <f t="shared" ca="1" si="57"/>
        <v>Freaky naar de top</v>
      </c>
      <c r="C30" s="132">
        <f t="shared" ca="1" si="57"/>
        <v>30</v>
      </c>
      <c r="D30" s="132">
        <f t="shared" ca="1" si="58"/>
        <v>131</v>
      </c>
      <c r="E30" s="132">
        <f t="shared" ca="1" si="59"/>
        <v>240</v>
      </c>
      <c r="F30" s="132">
        <f t="shared" ca="1" si="59"/>
        <v>387</v>
      </c>
      <c r="G30" s="132">
        <f t="shared" ca="1" si="59"/>
        <v>524</v>
      </c>
      <c r="H30" s="132">
        <f t="shared" ca="1" si="60"/>
        <v>666</v>
      </c>
      <c r="I30" s="132">
        <f t="shared" ca="1" si="61"/>
        <v>810</v>
      </c>
      <c r="J30" s="132">
        <f t="shared" ca="1" si="62"/>
        <v>938</v>
      </c>
      <c r="K30" s="132">
        <f t="shared" ca="1" si="63"/>
        <v>938.1</v>
      </c>
      <c r="L30" s="132">
        <f t="shared" ca="1" si="64"/>
        <v>1036.0999999999999</v>
      </c>
      <c r="M30" s="132">
        <f t="shared" ca="1" si="65"/>
        <v>1141.0999999999999</v>
      </c>
      <c r="N30" s="132">
        <f t="shared" ca="1" si="66"/>
        <v>1301.0999999999999</v>
      </c>
      <c r="O30" s="132">
        <f t="shared" ca="1" si="67"/>
        <v>1430.1</v>
      </c>
      <c r="P30" s="132">
        <f t="shared" ca="1" si="68"/>
        <v>1564.1</v>
      </c>
      <c r="Q30" s="132">
        <f t="shared" ca="1" si="69"/>
        <v>1694.1</v>
      </c>
      <c r="R30" s="132">
        <f t="shared" ca="1" si="70"/>
        <v>1756.1</v>
      </c>
      <c r="S30" s="132">
        <f t="shared" ca="1" si="71"/>
        <v>1872.1</v>
      </c>
      <c r="T30" s="132">
        <f t="shared" ca="1" si="72"/>
        <v>1965.1</v>
      </c>
      <c r="U30" s="132">
        <f t="shared" ca="1" si="73"/>
        <v>2100.1</v>
      </c>
      <c r="V30" s="132">
        <f t="shared" ca="1" si="74"/>
        <v>2235.1</v>
      </c>
      <c r="W30" s="132">
        <f t="shared" ca="1" si="75"/>
        <v>2361.1</v>
      </c>
      <c r="X30" s="132">
        <f t="shared" ca="1" si="76"/>
        <v>2524.1</v>
      </c>
      <c r="Y30" s="128"/>
      <c r="Z30" s="117"/>
      <c r="AB30" s="126" t="str">
        <f t="shared" ca="1" si="77"/>
        <v>Freaky naar de top</v>
      </c>
      <c r="AC30" s="127">
        <f t="shared" ca="1" si="78"/>
        <v>-27</v>
      </c>
      <c r="AD30" s="127">
        <f t="shared" ca="1" si="79"/>
        <v>-40.636363636363626</v>
      </c>
      <c r="AE30" s="127">
        <f t="shared" ca="1" si="80"/>
        <v>-50.818181818181813</v>
      </c>
      <c r="AF30" s="127">
        <f t="shared" ca="1" si="81"/>
        <v>-62.818181818181813</v>
      </c>
      <c r="AG30" s="127">
        <f t="shared" ca="1" si="82"/>
        <v>-88.18181818181813</v>
      </c>
      <c r="AH30" s="127">
        <f t="shared" ca="1" si="83"/>
        <v>-87.272727272727252</v>
      </c>
      <c r="AI30" s="127">
        <f t="shared" ca="1" si="84"/>
        <v>-91.454545454545496</v>
      </c>
      <c r="AJ30" s="127">
        <f t="shared" ca="1" si="85"/>
        <v>-96.090909090909008</v>
      </c>
      <c r="AK30" s="127">
        <f t="shared" ca="1" si="86"/>
        <v>-96.090909090909349</v>
      </c>
      <c r="AL30" s="127">
        <f t="shared" ca="1" si="87"/>
        <v>-95.545454545454731</v>
      </c>
      <c r="AM30" s="127">
        <f t="shared" ca="1" si="88"/>
        <v>-99.727272727272975</v>
      </c>
      <c r="AN30" s="127">
        <f t="shared" ca="1" si="89"/>
        <v>-83.727272727272975</v>
      </c>
      <c r="AO30" s="127">
        <f t="shared" ca="1" si="90"/>
        <v>-85.363636363636715</v>
      </c>
      <c r="AP30" s="127">
        <f t="shared" ca="1" si="91"/>
        <v>-60.272727272727252</v>
      </c>
      <c r="AQ30" s="127">
        <f t="shared" ca="1" si="92"/>
        <v>-67.545454545454504</v>
      </c>
      <c r="AR30" s="127">
        <f t="shared" ca="1" si="93"/>
        <v>-67.36363636363626</v>
      </c>
      <c r="AS30" s="127">
        <f t="shared" ca="1" si="94"/>
        <v>-35.636363636363512</v>
      </c>
      <c r="AT30" s="127">
        <f t="shared" ca="1" si="95"/>
        <v>-51.181818181817789</v>
      </c>
      <c r="AU30" s="127">
        <f t="shared" ca="1" si="96"/>
        <v>-44.090909090908553</v>
      </c>
      <c r="AV30" s="127">
        <f t="shared" ca="1" si="97"/>
        <v>-44.090909090908553</v>
      </c>
      <c r="AW30" s="127">
        <f t="shared" ca="1" si="98"/>
        <v>-62.818181818181529</v>
      </c>
      <c r="AX30" s="127">
        <f t="shared" ca="1" si="99"/>
        <v>-90.090909090908553</v>
      </c>
    </row>
    <row r="31" spans="1:50" ht="12" customHeight="1">
      <c r="A31" s="120"/>
      <c r="B31" s="125" t="str">
        <f t="shared" ca="1" si="57"/>
        <v>Lothars Grand Depart</v>
      </c>
      <c r="C31" s="132">
        <f t="shared" ca="1" si="57"/>
        <v>67</v>
      </c>
      <c r="D31" s="132">
        <f t="shared" ca="1" si="58"/>
        <v>126</v>
      </c>
      <c r="E31" s="132">
        <f t="shared" ca="1" si="59"/>
        <v>230</v>
      </c>
      <c r="F31" s="132">
        <f t="shared" ca="1" si="59"/>
        <v>341</v>
      </c>
      <c r="G31" s="132">
        <f t="shared" ca="1" si="59"/>
        <v>482</v>
      </c>
      <c r="H31" s="132">
        <f t="shared" ca="1" si="60"/>
        <v>603</v>
      </c>
      <c r="I31" s="132">
        <f t="shared" ca="1" si="61"/>
        <v>672</v>
      </c>
      <c r="J31" s="132">
        <f t="shared" ca="1" si="62"/>
        <v>815</v>
      </c>
      <c r="K31" s="132">
        <f t="shared" ca="1" si="63"/>
        <v>815.1</v>
      </c>
      <c r="L31" s="132">
        <f t="shared" ca="1" si="64"/>
        <v>925.1</v>
      </c>
      <c r="M31" s="132">
        <f t="shared" ca="1" si="65"/>
        <v>1056.0999999999999</v>
      </c>
      <c r="N31" s="132">
        <f t="shared" ca="1" si="66"/>
        <v>1201.0999999999999</v>
      </c>
      <c r="O31" s="132">
        <f t="shared" ca="1" si="67"/>
        <v>1321.1</v>
      </c>
      <c r="P31" s="132">
        <f t="shared" ca="1" si="68"/>
        <v>1428.1</v>
      </c>
      <c r="Q31" s="132">
        <f t="shared" ca="1" si="69"/>
        <v>1529.1</v>
      </c>
      <c r="R31" s="132">
        <f t="shared" ca="1" si="70"/>
        <v>1596.1</v>
      </c>
      <c r="S31" s="132">
        <f t="shared" ca="1" si="71"/>
        <v>1698.1</v>
      </c>
      <c r="T31" s="132">
        <f t="shared" ca="1" si="72"/>
        <v>1841.1</v>
      </c>
      <c r="U31" s="132">
        <f t="shared" ca="1" si="73"/>
        <v>2004.1</v>
      </c>
      <c r="V31" s="132">
        <f t="shared" ca="1" si="74"/>
        <v>2121.1</v>
      </c>
      <c r="W31" s="132">
        <f t="shared" ca="1" si="75"/>
        <v>2222.1</v>
      </c>
      <c r="X31" s="132">
        <f t="shared" ca="1" si="76"/>
        <v>2490.1</v>
      </c>
      <c r="Y31" s="128"/>
      <c r="Z31" s="117"/>
      <c r="AB31" s="126" t="str">
        <f t="shared" ca="1" si="77"/>
        <v>Lothars Grand Depart</v>
      </c>
      <c r="AC31" s="127">
        <f t="shared" ca="1" si="78"/>
        <v>10</v>
      </c>
      <c r="AD31" s="127">
        <f t="shared" ca="1" si="79"/>
        <v>-45.636363636363626</v>
      </c>
      <c r="AE31" s="127">
        <f t="shared" ca="1" si="80"/>
        <v>-60.818181818181813</v>
      </c>
      <c r="AF31" s="127">
        <f t="shared" ca="1" si="81"/>
        <v>-108.81818181818181</v>
      </c>
      <c r="AG31" s="127">
        <f t="shared" ca="1" si="82"/>
        <v>-130.18181818181813</v>
      </c>
      <c r="AH31" s="127">
        <f t="shared" ca="1" si="83"/>
        <v>-150.27272727272725</v>
      </c>
      <c r="AI31" s="127">
        <f t="shared" ca="1" si="84"/>
        <v>-229.4545454545455</v>
      </c>
      <c r="AJ31" s="127">
        <f t="shared" ca="1" si="85"/>
        <v>-219.09090909090901</v>
      </c>
      <c r="AK31" s="127">
        <f t="shared" ca="1" si="86"/>
        <v>-219.09090909090935</v>
      </c>
      <c r="AL31" s="127">
        <f t="shared" ca="1" si="87"/>
        <v>-206.54545454545462</v>
      </c>
      <c r="AM31" s="127">
        <f t="shared" ca="1" si="88"/>
        <v>-184.72727272727298</v>
      </c>
      <c r="AN31" s="127">
        <f t="shared" ca="1" si="89"/>
        <v>-183.72727272727298</v>
      </c>
      <c r="AO31" s="127">
        <f t="shared" ca="1" si="90"/>
        <v>-194.36363636363672</v>
      </c>
      <c r="AP31" s="127">
        <f t="shared" ca="1" si="91"/>
        <v>-196.27272727272725</v>
      </c>
      <c r="AQ31" s="127">
        <f t="shared" ca="1" si="92"/>
        <v>-232.5454545454545</v>
      </c>
      <c r="AR31" s="127">
        <f t="shared" ca="1" si="93"/>
        <v>-227.36363636363626</v>
      </c>
      <c r="AS31" s="127">
        <f t="shared" ca="1" si="94"/>
        <v>-209.63636363636351</v>
      </c>
      <c r="AT31" s="127">
        <f t="shared" ca="1" si="95"/>
        <v>-175.18181818181779</v>
      </c>
      <c r="AU31" s="127">
        <f t="shared" ca="1" si="96"/>
        <v>-140.09090909090855</v>
      </c>
      <c r="AV31" s="127">
        <f t="shared" ca="1" si="97"/>
        <v>-158.09090909090855</v>
      </c>
      <c r="AW31" s="127">
        <f t="shared" ca="1" si="98"/>
        <v>-201.81818181818153</v>
      </c>
      <c r="AX31" s="127">
        <f t="shared" ca="1" si="99"/>
        <v>-124.09090909090855</v>
      </c>
    </row>
    <row r="32" spans="1:50" ht="12" customHeight="1">
      <c r="A32" s="120"/>
      <c r="B32" s="125" t="str">
        <f t="shared" ca="1" si="57"/>
        <v>IJffjes Boys</v>
      </c>
      <c r="C32" s="132">
        <f t="shared" ca="1" si="57"/>
        <v>45</v>
      </c>
      <c r="D32" s="132">
        <f t="shared" ca="1" si="58"/>
        <v>63</v>
      </c>
      <c r="E32" s="132">
        <f t="shared" ca="1" si="59"/>
        <v>207</v>
      </c>
      <c r="F32" s="132">
        <f t="shared" ca="1" si="59"/>
        <v>329</v>
      </c>
      <c r="G32" s="132">
        <f t="shared" ca="1" si="59"/>
        <v>371</v>
      </c>
      <c r="H32" s="132">
        <f t="shared" ca="1" si="60"/>
        <v>473</v>
      </c>
      <c r="I32" s="132">
        <f t="shared" ca="1" si="61"/>
        <v>518</v>
      </c>
      <c r="J32" s="132">
        <f t="shared" ca="1" si="62"/>
        <v>641</v>
      </c>
      <c r="K32" s="132">
        <f t="shared" ca="1" si="63"/>
        <v>641.1</v>
      </c>
      <c r="L32" s="132">
        <f t="shared" ca="1" si="64"/>
        <v>753.1</v>
      </c>
      <c r="M32" s="132">
        <f t="shared" ca="1" si="65"/>
        <v>886.1</v>
      </c>
      <c r="N32" s="132">
        <f t="shared" ca="1" si="66"/>
        <v>1012.1</v>
      </c>
      <c r="O32" s="132">
        <f t="shared" ca="1" si="67"/>
        <v>1132.0999999999999</v>
      </c>
      <c r="P32" s="132">
        <f t="shared" ca="1" si="68"/>
        <v>1187.0999999999999</v>
      </c>
      <c r="Q32" s="132">
        <f t="shared" ca="1" si="69"/>
        <v>1242.0999999999999</v>
      </c>
      <c r="R32" s="132">
        <f t="shared" ca="1" si="70"/>
        <v>1268.0999999999999</v>
      </c>
      <c r="S32" s="132">
        <f t="shared" ca="1" si="71"/>
        <v>1364.1</v>
      </c>
      <c r="T32" s="132">
        <f t="shared" ca="1" si="72"/>
        <v>1455.1</v>
      </c>
      <c r="U32" s="132">
        <f t="shared" ca="1" si="73"/>
        <v>1581.1</v>
      </c>
      <c r="V32" s="132">
        <f t="shared" ca="1" si="74"/>
        <v>1708.1</v>
      </c>
      <c r="W32" s="132">
        <f t="shared" ca="1" si="75"/>
        <v>1748.1</v>
      </c>
      <c r="X32" s="132">
        <f t="shared" ca="1" si="76"/>
        <v>1965.1</v>
      </c>
      <c r="Y32" s="128"/>
      <c r="Z32" s="117"/>
      <c r="AB32" s="126" t="str">
        <f t="shared" ca="1" si="77"/>
        <v>IJffjes Boys</v>
      </c>
      <c r="AC32" s="127">
        <f t="shared" ca="1" si="78"/>
        <v>-12</v>
      </c>
      <c r="AD32" s="127">
        <f t="shared" ca="1" si="79"/>
        <v>-108.63636363636363</v>
      </c>
      <c r="AE32" s="127">
        <f t="shared" ca="1" si="80"/>
        <v>-83.818181818181813</v>
      </c>
      <c r="AF32" s="127">
        <f t="shared" ca="1" si="81"/>
        <v>-120.81818181818181</v>
      </c>
      <c r="AG32" s="127">
        <f t="shared" ca="1" si="82"/>
        <v>-241.18181818181813</v>
      </c>
      <c r="AH32" s="127">
        <f t="shared" ca="1" si="83"/>
        <v>-280.27272727272725</v>
      </c>
      <c r="AI32" s="127">
        <f t="shared" ca="1" si="84"/>
        <v>-383.4545454545455</v>
      </c>
      <c r="AJ32" s="127">
        <f t="shared" ca="1" si="85"/>
        <v>-393.09090909090901</v>
      </c>
      <c r="AK32" s="127">
        <f t="shared" ca="1" si="86"/>
        <v>-393.09090909090935</v>
      </c>
      <c r="AL32" s="127">
        <f t="shared" ca="1" si="87"/>
        <v>-378.54545454545462</v>
      </c>
      <c r="AM32" s="127">
        <f t="shared" ca="1" si="88"/>
        <v>-354.72727272727286</v>
      </c>
      <c r="AN32" s="127">
        <f t="shared" ca="1" si="89"/>
        <v>-372.72727272727286</v>
      </c>
      <c r="AO32" s="127">
        <f t="shared" ca="1" si="90"/>
        <v>-383.36363636363672</v>
      </c>
      <c r="AP32" s="127">
        <f t="shared" ca="1" si="91"/>
        <v>-437.27272727272725</v>
      </c>
      <c r="AQ32" s="127">
        <f t="shared" ca="1" si="92"/>
        <v>-519.5454545454545</v>
      </c>
      <c r="AR32" s="127">
        <f t="shared" ca="1" si="93"/>
        <v>-555.36363636363626</v>
      </c>
      <c r="AS32" s="127">
        <f t="shared" ca="1" si="94"/>
        <v>-543.63636363636351</v>
      </c>
      <c r="AT32" s="127">
        <f t="shared" ca="1" si="95"/>
        <v>-561.18181818181779</v>
      </c>
      <c r="AU32" s="127">
        <f t="shared" ca="1" si="96"/>
        <v>-563.09090909090855</v>
      </c>
      <c r="AV32" s="127">
        <f t="shared" ca="1" si="97"/>
        <v>-571.09090909090855</v>
      </c>
      <c r="AW32" s="127">
        <f t="shared" ca="1" si="98"/>
        <v>-675.81818181818153</v>
      </c>
      <c r="AX32" s="127">
        <f t="shared" ca="1" si="99"/>
        <v>-649.09090909090855</v>
      </c>
    </row>
    <row r="33" spans="1:60" ht="12" customHeight="1">
      <c r="A33" s="128"/>
      <c r="B33" s="128"/>
      <c r="C33" s="128"/>
      <c r="D33" s="128"/>
      <c r="E33" s="128"/>
      <c r="F33" s="128"/>
      <c r="G33" s="128"/>
      <c r="H33" s="128"/>
      <c r="I33" s="128"/>
      <c r="J33" s="128"/>
      <c r="K33" s="128"/>
      <c r="L33" s="128"/>
      <c r="M33" s="128"/>
      <c r="N33" s="128"/>
      <c r="O33" s="128"/>
      <c r="P33" s="128"/>
      <c r="Q33" s="128"/>
      <c r="R33" s="128"/>
      <c r="S33" s="128"/>
      <c r="T33" s="128"/>
      <c r="U33" s="128"/>
      <c r="V33" s="128"/>
      <c r="W33" s="128"/>
      <c r="X33" s="128"/>
      <c r="Y33" s="128"/>
      <c r="Z33" s="117"/>
      <c r="AC33" s="129">
        <f t="shared" ref="AC33:AX33" ca="1" si="100">AVERAGE(C22:C32)</f>
        <v>57</v>
      </c>
      <c r="AD33" s="129">
        <f t="shared" ca="1" si="100"/>
        <v>171.63636363636363</v>
      </c>
      <c r="AE33" s="129">
        <f t="shared" ca="1" si="100"/>
        <v>290.81818181818181</v>
      </c>
      <c r="AF33" s="129">
        <f t="shared" ca="1" si="100"/>
        <v>449.81818181818181</v>
      </c>
      <c r="AG33" s="129">
        <f t="shared" ca="1" si="100"/>
        <v>612.18181818181813</v>
      </c>
      <c r="AH33" s="129">
        <f t="shared" ca="1" si="100"/>
        <v>753.27272727272725</v>
      </c>
      <c r="AI33" s="129">
        <f t="shared" ca="1" si="100"/>
        <v>901.4545454545455</v>
      </c>
      <c r="AJ33" s="129">
        <f t="shared" ca="1" si="100"/>
        <v>1034.090909090909</v>
      </c>
      <c r="AK33" s="129">
        <f t="shared" ca="1" si="100"/>
        <v>1034.1909090909094</v>
      </c>
      <c r="AL33" s="129">
        <f t="shared" ca="1" si="100"/>
        <v>1131.6454545454546</v>
      </c>
      <c r="AM33" s="129">
        <f t="shared" ca="1" si="100"/>
        <v>1240.8272727272729</v>
      </c>
      <c r="AN33" s="129">
        <f t="shared" ca="1" si="100"/>
        <v>1384.8272727272729</v>
      </c>
      <c r="AO33" s="129">
        <f t="shared" ca="1" si="100"/>
        <v>1515.4636363636366</v>
      </c>
      <c r="AP33" s="129">
        <f t="shared" ca="1" si="100"/>
        <v>1624.3727272727272</v>
      </c>
      <c r="AQ33" s="129">
        <f t="shared" ca="1" si="100"/>
        <v>1761.6454545454544</v>
      </c>
      <c r="AR33" s="129">
        <f t="shared" ca="1" si="100"/>
        <v>1823.4636363636362</v>
      </c>
      <c r="AS33" s="129">
        <f t="shared" ca="1" si="100"/>
        <v>1907.7363636363634</v>
      </c>
      <c r="AT33" s="129">
        <f t="shared" ca="1" si="100"/>
        <v>2016.2818181818177</v>
      </c>
      <c r="AU33" s="129">
        <f t="shared" ca="1" si="100"/>
        <v>2144.1909090909085</v>
      </c>
      <c r="AV33" s="129">
        <f t="shared" ca="1" si="100"/>
        <v>2279.1909090909085</v>
      </c>
      <c r="AW33" s="129">
        <f t="shared" ca="1" si="100"/>
        <v>2423.9181818181814</v>
      </c>
      <c r="AX33" s="129">
        <f t="shared" ca="1" si="100"/>
        <v>2614.1909090909085</v>
      </c>
    </row>
    <row r="34" spans="1:60" ht="12" customHeight="1">
      <c r="C34" s="121"/>
      <c r="D34" s="121"/>
      <c r="E34" s="121"/>
      <c r="F34" s="121"/>
      <c r="G34" s="121"/>
      <c r="H34" s="121"/>
      <c r="I34" s="121"/>
      <c r="J34" s="121"/>
      <c r="K34" s="128"/>
      <c r="L34" s="128"/>
      <c r="M34" s="128"/>
      <c r="N34" s="121"/>
      <c r="O34" s="128"/>
      <c r="P34" s="128"/>
      <c r="Q34" s="128"/>
      <c r="R34" s="128"/>
      <c r="S34" s="128"/>
      <c r="T34" s="128"/>
      <c r="U34" s="128"/>
      <c r="V34" s="128"/>
      <c r="W34" s="128"/>
      <c r="X34" s="295"/>
      <c r="Y34" s="128"/>
      <c r="AX34" s="127"/>
    </row>
    <row r="35" spans="1:60" ht="12" customHeight="1">
      <c r="B35" s="130" t="s">
        <v>13</v>
      </c>
      <c r="AB35" s="130" t="s">
        <v>61</v>
      </c>
    </row>
    <row r="36" spans="1:60" s="117" customFormat="1" ht="12" customHeight="1" thickBot="1">
      <c r="C36" s="119">
        <f>C2</f>
        <v>1</v>
      </c>
      <c r="D36" s="119">
        <f t="shared" ref="D36:X36" si="101">D2</f>
        <v>2</v>
      </c>
      <c r="E36" s="119">
        <f t="shared" si="101"/>
        <v>3</v>
      </c>
      <c r="F36" s="119">
        <f t="shared" si="101"/>
        <v>4</v>
      </c>
      <c r="G36" s="119">
        <f t="shared" si="101"/>
        <v>5</v>
      </c>
      <c r="H36" s="119">
        <f t="shared" si="101"/>
        <v>6</v>
      </c>
      <c r="I36" s="119">
        <f t="shared" si="101"/>
        <v>7</v>
      </c>
      <c r="J36" s="119">
        <f t="shared" si="101"/>
        <v>8</v>
      </c>
      <c r="K36" s="119">
        <f t="shared" si="101"/>
        <v>9</v>
      </c>
      <c r="L36" s="119">
        <f t="shared" si="101"/>
        <v>10</v>
      </c>
      <c r="M36" s="119">
        <f t="shared" si="101"/>
        <v>11</v>
      </c>
      <c r="N36" s="119">
        <f t="shared" si="101"/>
        <v>12</v>
      </c>
      <c r="O36" s="119">
        <f t="shared" si="101"/>
        <v>13</v>
      </c>
      <c r="P36" s="119">
        <f t="shared" si="101"/>
        <v>14</v>
      </c>
      <c r="Q36" s="119">
        <f t="shared" si="101"/>
        <v>15</v>
      </c>
      <c r="R36" s="119">
        <f t="shared" si="101"/>
        <v>16</v>
      </c>
      <c r="S36" s="119">
        <f t="shared" si="101"/>
        <v>17</v>
      </c>
      <c r="T36" s="119">
        <f t="shared" si="101"/>
        <v>18</v>
      </c>
      <c r="U36" s="119">
        <f t="shared" si="101"/>
        <v>19</v>
      </c>
      <c r="V36" s="119">
        <f t="shared" si="101"/>
        <v>20</v>
      </c>
      <c r="W36" s="119">
        <f t="shared" si="101"/>
        <v>21</v>
      </c>
      <c r="X36" s="164" t="str">
        <f t="shared" si="101"/>
        <v>B</v>
      </c>
      <c r="AC36" s="119">
        <f>C36</f>
        <v>1</v>
      </c>
      <c r="AD36" s="119">
        <f>D36</f>
        <v>2</v>
      </c>
      <c r="AE36" s="119">
        <f t="shared" ref="AE36:AX36" si="102">E36</f>
        <v>3</v>
      </c>
      <c r="AF36" s="119">
        <f t="shared" si="102"/>
        <v>4</v>
      </c>
      <c r="AG36" s="119">
        <f t="shared" si="102"/>
        <v>5</v>
      </c>
      <c r="AH36" s="119">
        <f t="shared" si="102"/>
        <v>6</v>
      </c>
      <c r="AI36" s="119">
        <f t="shared" si="102"/>
        <v>7</v>
      </c>
      <c r="AJ36" s="119">
        <f t="shared" si="102"/>
        <v>8</v>
      </c>
      <c r="AK36" s="119">
        <f t="shared" si="102"/>
        <v>9</v>
      </c>
      <c r="AL36" s="119">
        <f t="shared" si="102"/>
        <v>10</v>
      </c>
      <c r="AM36" s="119">
        <f t="shared" si="102"/>
        <v>11</v>
      </c>
      <c r="AN36" s="119">
        <f t="shared" si="102"/>
        <v>12</v>
      </c>
      <c r="AO36" s="119">
        <f t="shared" si="102"/>
        <v>13</v>
      </c>
      <c r="AP36" s="119">
        <f t="shared" si="102"/>
        <v>14</v>
      </c>
      <c r="AQ36" s="119">
        <f t="shared" si="102"/>
        <v>15</v>
      </c>
      <c r="AR36" s="119">
        <f t="shared" si="102"/>
        <v>16</v>
      </c>
      <c r="AS36" s="119">
        <f t="shared" si="102"/>
        <v>17</v>
      </c>
      <c r="AT36" s="119">
        <f t="shared" si="102"/>
        <v>18</v>
      </c>
      <c r="AU36" s="119">
        <f t="shared" si="102"/>
        <v>19</v>
      </c>
      <c r="AV36" s="119">
        <f t="shared" si="102"/>
        <v>20</v>
      </c>
      <c r="AW36" s="119">
        <f t="shared" si="102"/>
        <v>21</v>
      </c>
      <c r="AX36" s="119" t="str">
        <f t="shared" si="102"/>
        <v>B</v>
      </c>
      <c r="AZ36" s="131"/>
      <c r="BA36" s="131"/>
      <c r="BB36" s="131"/>
      <c r="BC36" s="131"/>
      <c r="BD36" s="131"/>
      <c r="BE36" s="131"/>
      <c r="BF36" s="131"/>
      <c r="BG36" s="131"/>
      <c r="BH36" s="131"/>
    </row>
    <row r="37" spans="1:60" ht="12" customHeight="1">
      <c r="A37" s="120"/>
      <c r="B37" s="125" t="str">
        <f ca="1">B22</f>
        <v>El Gran</v>
      </c>
      <c r="C37" s="132">
        <f t="shared" ref="C37:Y37" ca="1" si="103">IF($AA3&lt;&gt;"",C22*$AA3,"")</f>
        <v>77.06946826758147</v>
      </c>
      <c r="D37" s="132">
        <f t="shared" ca="1" si="103"/>
        <v>277.66123499142367</v>
      </c>
      <c r="E37" s="132">
        <f t="shared" ca="1" si="103"/>
        <v>430.74442538593479</v>
      </c>
      <c r="F37" s="132">
        <f t="shared" ca="1" si="103"/>
        <v>651.3953687821612</v>
      </c>
      <c r="G37" s="132">
        <f t="shared" ca="1" si="103"/>
        <v>867.82332761578039</v>
      </c>
      <c r="H37" s="132">
        <f t="shared" ca="1" si="103"/>
        <v>1042.0214408233276</v>
      </c>
      <c r="I37" s="132">
        <f t="shared" ca="1" si="103"/>
        <v>1235.2229845626071</v>
      </c>
      <c r="J37" s="132">
        <f t="shared" ca="1" si="103"/>
        <v>1379.8602058319038</v>
      </c>
      <c r="K37" s="132">
        <f t="shared" ca="1" si="103"/>
        <v>1379.9657804459689</v>
      </c>
      <c r="L37" s="132">
        <f t="shared" ca="1" si="103"/>
        <v>1476.0386792452828</v>
      </c>
      <c r="M37" s="132">
        <f t="shared" ca="1" si="103"/>
        <v>1528.8259862778727</v>
      </c>
      <c r="N37" s="132">
        <f t="shared" ca="1" si="103"/>
        <v>1665.0172384219552</v>
      </c>
      <c r="O37" s="132">
        <f t="shared" ca="1" si="103"/>
        <v>1814.9331903945108</v>
      </c>
      <c r="P37" s="132">
        <f t="shared" ca="1" si="103"/>
        <v>1980.6853344768438</v>
      </c>
      <c r="Q37" s="132">
        <f t="shared" ca="1" si="103"/>
        <v>2132.7127787307031</v>
      </c>
      <c r="R37" s="132">
        <f t="shared" ca="1" si="103"/>
        <v>2195.0018010291592</v>
      </c>
      <c r="S37" s="132">
        <f t="shared" ca="1" si="103"/>
        <v>2267.8482847341334</v>
      </c>
      <c r="T37" s="132">
        <f t="shared" ca="1" si="103"/>
        <v>2361.8096912521437</v>
      </c>
      <c r="U37" s="132">
        <f t="shared" ca="1" si="103"/>
        <v>2463.1613207547166</v>
      </c>
      <c r="V37" s="132">
        <f t="shared" ca="1" si="103"/>
        <v>2622.5789879931385</v>
      </c>
      <c r="W37" s="132">
        <f t="shared" ca="1" si="103"/>
        <v>2771.4391938250424</v>
      </c>
      <c r="X37" s="132">
        <f t="shared" ca="1" si="103"/>
        <v>2898.1287307032585</v>
      </c>
      <c r="Y37" s="132">
        <f t="shared" ca="1" si="103"/>
        <v>0</v>
      </c>
      <c r="Z37" s="117"/>
      <c r="AA37" s="117"/>
      <c r="AB37" s="126" t="str">
        <f t="shared" ref="AB37:AB48" ca="1" si="104">B37</f>
        <v>El Gran</v>
      </c>
      <c r="AC37" s="127">
        <f t="shared" ref="AC37:AC47" ca="1" si="105">C37-AC$48</f>
        <v>18.352101911529893</v>
      </c>
      <c r="AD37" s="127">
        <f t="shared" ref="AD37:AD47" ca="1" si="106">D37-AD$48</f>
        <v>103.82395708179544</v>
      </c>
      <c r="AE37" s="127">
        <f t="shared" ref="AE37:AE47" ca="1" si="107">E37-AE$48</f>
        <v>136.58267937920419</v>
      </c>
      <c r="AF37" s="127">
        <f t="shared" ref="AF37:AF47" ca="1" si="108">F37-AF$48</f>
        <v>196.48277253886323</v>
      </c>
      <c r="AG37" s="127">
        <f t="shared" ref="AG37:AG47" ca="1" si="109">G37-AG$48</f>
        <v>250.64172065821106</v>
      </c>
      <c r="AH37" s="127">
        <f t="shared" ref="AH37:AH47" ca="1" si="110">H37-AH$48</f>
        <v>283.4712348669434</v>
      </c>
      <c r="AI37" s="127">
        <f t="shared" ref="AI37:AI47" ca="1" si="111">I37-AI$48</f>
        <v>329.80718071439969</v>
      </c>
      <c r="AJ37" s="127">
        <f t="shared" ref="AJ37:AJ47" ca="1" si="112">J37-AJ$48</f>
        <v>341.26769966031907</v>
      </c>
      <c r="AK37" s="127">
        <f t="shared" ref="AK37:AK47" ca="1" si="113">K37-AK$48</f>
        <v>341.27245800899254</v>
      </c>
      <c r="AL37" s="127">
        <f t="shared" ref="AL37:AL47" ca="1" si="114">L37-AL$48</f>
        <v>338.46566615878874</v>
      </c>
      <c r="AM37" s="127">
        <f t="shared" ref="AM37:AM47" ca="1" si="115">M37-AM$48</f>
        <v>280.97516255302935</v>
      </c>
      <c r="AN37" s="127">
        <f t="shared" ref="AN37:AN47" ca="1" si="116">N37-AN$48</f>
        <v>273.30941300321138</v>
      </c>
      <c r="AO37" s="127">
        <f t="shared" ref="AO37:AO47" ca="1" si="117">O37-AO$48</f>
        <v>291.92864865768342</v>
      </c>
      <c r="AP37" s="127">
        <f t="shared" ref="AP37:AP47" ca="1" si="118">P37-AP$48</f>
        <v>348.99561433081658</v>
      </c>
      <c r="AQ37" s="127">
        <f t="shared" ref="AQ37:AQ47" ca="1" si="119">Q37-AQ$48</f>
        <v>364.05607568464416</v>
      </c>
      <c r="AR37" s="127">
        <f t="shared" ref="AR37:AR47" ca="1" si="120">R37-AR$48</f>
        <v>364.57007290636056</v>
      </c>
      <c r="AS37" s="127">
        <f t="shared" ref="AS37:AS47" ca="1" si="121">S37-AS$48</f>
        <v>352.34951285561738</v>
      </c>
      <c r="AT37" s="127">
        <f t="shared" ref="AT37:AT47" ca="1" si="122">T37-AT$48</f>
        <v>337.75800644756305</v>
      </c>
      <c r="AU37" s="127">
        <f t="shared" ref="AU37:AU47" ca="1" si="123">U37-AU$48</f>
        <v>310.72613363643131</v>
      </c>
      <c r="AV37" s="127">
        <f t="shared" ref="AV37:AV47" ca="1" si="124">V37-AV$48</f>
        <v>334.61496424740608</v>
      </c>
      <c r="AW37" s="127">
        <f t="shared" ref="AW37:AW47" ca="1" si="125">W37-AW$48</f>
        <v>339.55321852457564</v>
      </c>
      <c r="AX37" s="127">
        <f t="shared" ref="AX37:AX47" ca="1" si="126">X37-AX$48</f>
        <v>274.67023757335755</v>
      </c>
      <c r="AZ37" s="133"/>
      <c r="BC37" s="133"/>
      <c r="BD37" s="134"/>
      <c r="BE37" s="134"/>
    </row>
    <row r="38" spans="1:60" ht="12" customHeight="1">
      <c r="A38" s="120"/>
      <c r="B38" s="125" t="str">
        <f ca="1">B23</f>
        <v>Mahawat</v>
      </c>
      <c r="C38" s="132">
        <f t="shared" ref="C38:Y38" ca="1" si="127">IF($AA4&lt;&gt;"",C23*$AA4,"")</f>
        <v>141.82538253825382</v>
      </c>
      <c r="D38" s="132">
        <f t="shared" ca="1" si="127"/>
        <v>353.45544554455444</v>
      </c>
      <c r="E38" s="132">
        <f t="shared" ca="1" si="127"/>
        <v>465.36453645364537</v>
      </c>
      <c r="F38" s="132">
        <f t="shared" ca="1" si="127"/>
        <v>694.7227722772277</v>
      </c>
      <c r="G38" s="132">
        <f t="shared" ca="1" si="127"/>
        <v>917.43294329432945</v>
      </c>
      <c r="H38" s="132">
        <f t="shared" ca="1" si="127"/>
        <v>1088.0666066606659</v>
      </c>
      <c r="I38" s="132">
        <f t="shared" ca="1" si="127"/>
        <v>1276.4284428442843</v>
      </c>
      <c r="J38" s="132">
        <f t="shared" ca="1" si="127"/>
        <v>1412.7137713771376</v>
      </c>
      <c r="K38" s="132">
        <f t="shared" ca="1" si="127"/>
        <v>1412.8245724572455</v>
      </c>
      <c r="L38" s="132">
        <f t="shared" ca="1" si="127"/>
        <v>1545.7858685868584</v>
      </c>
      <c r="M38" s="132">
        <f t="shared" ca="1" si="127"/>
        <v>1694.2593159315929</v>
      </c>
      <c r="N38" s="132">
        <f t="shared" ca="1" si="127"/>
        <v>1834.9766876687668</v>
      </c>
      <c r="O38" s="132">
        <f t="shared" ca="1" si="127"/>
        <v>1987.8821782178215</v>
      </c>
      <c r="P38" s="132">
        <f t="shared" ca="1" si="127"/>
        <v>2086.495139513951</v>
      </c>
      <c r="Q38" s="132">
        <f t="shared" ca="1" si="127"/>
        <v>2279.2890189018899</v>
      </c>
      <c r="R38" s="132">
        <f t="shared" ca="1" si="127"/>
        <v>2362.3898289828981</v>
      </c>
      <c r="S38" s="132">
        <f t="shared" ca="1" si="127"/>
        <v>2479.8389738973897</v>
      </c>
      <c r="T38" s="132">
        <f t="shared" ca="1" si="127"/>
        <v>2570.6958595859583</v>
      </c>
      <c r="U38" s="132">
        <f t="shared" ca="1" si="127"/>
        <v>2708.0891989198917</v>
      </c>
      <c r="V38" s="132">
        <f t="shared" ca="1" si="127"/>
        <v>2885.3709270927088</v>
      </c>
      <c r="W38" s="132">
        <f t="shared" ca="1" si="127"/>
        <v>3098.10900090009</v>
      </c>
      <c r="X38" s="132">
        <f t="shared" ca="1" si="127"/>
        <v>3295.3349234923489</v>
      </c>
      <c r="Y38" s="132">
        <f t="shared" ca="1" si="127"/>
        <v>0</v>
      </c>
      <c r="Z38" s="117"/>
      <c r="AA38" s="117"/>
      <c r="AB38" s="126" t="str">
        <f ca="1">B38</f>
        <v>Mahawat</v>
      </c>
      <c r="AC38" s="127">
        <f t="shared" ca="1" si="105"/>
        <v>83.108016182202249</v>
      </c>
      <c r="AD38" s="127">
        <f t="shared" ca="1" si="106"/>
        <v>179.61816763492621</v>
      </c>
      <c r="AE38" s="127">
        <f t="shared" ca="1" si="107"/>
        <v>171.20279044691478</v>
      </c>
      <c r="AF38" s="127">
        <f t="shared" ca="1" si="108"/>
        <v>239.81017603392974</v>
      </c>
      <c r="AG38" s="127">
        <f t="shared" ca="1" si="109"/>
        <v>300.25133633676012</v>
      </c>
      <c r="AH38" s="127">
        <f t="shared" ca="1" si="110"/>
        <v>329.51640070428175</v>
      </c>
      <c r="AI38" s="127">
        <f t="shared" ca="1" si="111"/>
        <v>371.01263899607693</v>
      </c>
      <c r="AJ38" s="127">
        <f t="shared" ca="1" si="112"/>
        <v>374.12126520555285</v>
      </c>
      <c r="AK38" s="127">
        <f t="shared" ca="1" si="113"/>
        <v>374.13125002026914</v>
      </c>
      <c r="AL38" s="127">
        <f t="shared" ca="1" si="114"/>
        <v>408.21285550036441</v>
      </c>
      <c r="AM38" s="127">
        <f t="shared" ca="1" si="115"/>
        <v>446.40849220674954</v>
      </c>
      <c r="AN38" s="127">
        <f t="shared" ca="1" si="116"/>
        <v>443.26886225002295</v>
      </c>
      <c r="AO38" s="127">
        <f t="shared" ca="1" si="117"/>
        <v>464.87763648099417</v>
      </c>
      <c r="AP38" s="127">
        <f t="shared" ca="1" si="118"/>
        <v>454.80541936792383</v>
      </c>
      <c r="AQ38" s="127">
        <f t="shared" ca="1" si="119"/>
        <v>510.63231585583094</v>
      </c>
      <c r="AR38" s="127">
        <f t="shared" ca="1" si="120"/>
        <v>531.95810086009942</v>
      </c>
      <c r="AS38" s="127">
        <f t="shared" ca="1" si="121"/>
        <v>564.3402020188737</v>
      </c>
      <c r="AT38" s="127">
        <f t="shared" ca="1" si="122"/>
        <v>546.64417478137761</v>
      </c>
      <c r="AU38" s="127">
        <f t="shared" ca="1" si="123"/>
        <v>555.65401180160643</v>
      </c>
      <c r="AV38" s="127">
        <f t="shared" ca="1" si="124"/>
        <v>597.40690334697638</v>
      </c>
      <c r="AW38" s="127">
        <f t="shared" ca="1" si="125"/>
        <v>666.22302559962327</v>
      </c>
      <c r="AX38" s="127">
        <f t="shared" ca="1" si="126"/>
        <v>671.87643036244799</v>
      </c>
      <c r="AZ38" s="133"/>
      <c r="BC38" s="133"/>
      <c r="BD38" s="134"/>
      <c r="BE38" s="134"/>
    </row>
    <row r="39" spans="1:60" ht="12" customHeight="1">
      <c r="A39" s="120"/>
      <c r="B39" s="125" t="str">
        <f ca="1">B24</f>
        <v>Van Lego kun je alles maken</v>
      </c>
      <c r="C39" s="132">
        <f t="shared" ref="C39:Y39" ca="1" si="128">IF($AA5&lt;&gt;"",C24*$AA5,"")</f>
        <v>63.68810051736881</v>
      </c>
      <c r="D39" s="132">
        <f t="shared" ca="1" si="128"/>
        <v>212.90022172949003</v>
      </c>
      <c r="E39" s="132">
        <f t="shared" ca="1" si="128"/>
        <v>327.53880266075384</v>
      </c>
      <c r="F39" s="132">
        <f t="shared" ca="1" si="128"/>
        <v>474.02143385070212</v>
      </c>
      <c r="G39" s="132">
        <f t="shared" ca="1" si="128"/>
        <v>665.0857354028085</v>
      </c>
      <c r="H39" s="132">
        <f t="shared" ca="1" si="128"/>
        <v>806.10938654841095</v>
      </c>
      <c r="I39" s="132">
        <f t="shared" ca="1" si="128"/>
        <v>996.26385809312637</v>
      </c>
      <c r="J39" s="132">
        <f t="shared" ca="1" si="128"/>
        <v>1124.5498891352549</v>
      </c>
      <c r="K39" s="132">
        <f t="shared" ca="1" si="128"/>
        <v>1124.640872135994</v>
      </c>
      <c r="L39" s="132">
        <f t="shared" ca="1" si="128"/>
        <v>1212.8943828529193</v>
      </c>
      <c r="M39" s="132">
        <f t="shared" ca="1" si="128"/>
        <v>1331.1722838137471</v>
      </c>
      <c r="N39" s="132">
        <f t="shared" ca="1" si="128"/>
        <v>1476.7450849963043</v>
      </c>
      <c r="O39" s="132">
        <f t="shared" ca="1" si="128"/>
        <v>1595.9328159645231</v>
      </c>
      <c r="P39" s="132">
        <f t="shared" ca="1" si="128"/>
        <v>1699.6534368070952</v>
      </c>
      <c r="Q39" s="132">
        <f t="shared" ca="1" si="128"/>
        <v>1847.0458980044343</v>
      </c>
      <c r="R39" s="132">
        <f t="shared" ca="1" si="128"/>
        <v>1908.0045084996302</v>
      </c>
      <c r="S39" s="132">
        <f t="shared" ca="1" si="128"/>
        <v>1968.0532889874353</v>
      </c>
      <c r="T39" s="132">
        <f t="shared" ca="1" si="128"/>
        <v>2070.8640798226161</v>
      </c>
      <c r="U39" s="132">
        <f t="shared" ca="1" si="128"/>
        <v>2204.6090909090908</v>
      </c>
      <c r="V39" s="132">
        <f t="shared" ca="1" si="128"/>
        <v>2364.7391722099037</v>
      </c>
      <c r="W39" s="132">
        <f t="shared" ca="1" si="128"/>
        <v>2552.1641537324463</v>
      </c>
      <c r="X39" s="132">
        <f t="shared" ca="1" si="128"/>
        <v>2744.1382852919437</v>
      </c>
      <c r="Y39" s="132">
        <f t="shared" ca="1" si="128"/>
        <v>0</v>
      </c>
      <c r="Z39" s="117"/>
      <c r="AA39" s="117"/>
      <c r="AB39" s="126" t="str">
        <f t="shared" ca="1" si="104"/>
        <v>Van Lego kun je alles maken</v>
      </c>
      <c r="AC39" s="127">
        <f t="shared" ca="1" si="105"/>
        <v>4.9707341613172318</v>
      </c>
      <c r="AD39" s="127">
        <f t="shared" ca="1" si="106"/>
        <v>39.0629438198618</v>
      </c>
      <c r="AE39" s="127">
        <f t="shared" ca="1" si="107"/>
        <v>33.377056654023249</v>
      </c>
      <c r="AF39" s="127">
        <f t="shared" ca="1" si="108"/>
        <v>19.108837607404155</v>
      </c>
      <c r="AG39" s="127">
        <f t="shared" ca="1" si="109"/>
        <v>47.904128445239166</v>
      </c>
      <c r="AH39" s="127">
        <f t="shared" ca="1" si="110"/>
        <v>47.559180592026792</v>
      </c>
      <c r="AI39" s="127">
        <f t="shared" ca="1" si="111"/>
        <v>90.848054244919012</v>
      </c>
      <c r="AJ39" s="127">
        <f t="shared" ca="1" si="112"/>
        <v>85.95738296367017</v>
      </c>
      <c r="AK39" s="127">
        <f t="shared" ca="1" si="113"/>
        <v>85.9475496990176</v>
      </c>
      <c r="AL39" s="127">
        <f t="shared" ca="1" si="114"/>
        <v>75.321369766425278</v>
      </c>
      <c r="AM39" s="127">
        <f t="shared" ca="1" si="115"/>
        <v>83.321460088903677</v>
      </c>
      <c r="AN39" s="127">
        <f t="shared" ca="1" si="116"/>
        <v>85.037259577560462</v>
      </c>
      <c r="AO39" s="127">
        <f t="shared" ca="1" si="117"/>
        <v>72.928274227695738</v>
      </c>
      <c r="AP39" s="127">
        <f t="shared" ca="1" si="118"/>
        <v>67.96371666106802</v>
      </c>
      <c r="AQ39" s="127">
        <f t="shared" ca="1" si="119"/>
        <v>78.389194958375356</v>
      </c>
      <c r="AR39" s="127">
        <f t="shared" ca="1" si="120"/>
        <v>77.572780376831588</v>
      </c>
      <c r="AS39" s="127">
        <f t="shared" ca="1" si="121"/>
        <v>52.554517108919299</v>
      </c>
      <c r="AT39" s="127">
        <f t="shared" ca="1" si="122"/>
        <v>46.812395018035431</v>
      </c>
      <c r="AU39" s="127">
        <f t="shared" ca="1" si="123"/>
        <v>52.173903790805525</v>
      </c>
      <c r="AV39" s="127">
        <f t="shared" ca="1" si="124"/>
        <v>76.775148464171252</v>
      </c>
      <c r="AW39" s="127">
        <f t="shared" ca="1" si="125"/>
        <v>120.27817843197954</v>
      </c>
      <c r="AX39" s="127">
        <f t="shared" ca="1" si="126"/>
        <v>120.67979216204276</v>
      </c>
      <c r="AZ39" s="133"/>
      <c r="BC39" s="133"/>
      <c r="BD39" s="134"/>
      <c r="BE39" s="134"/>
    </row>
    <row r="40" spans="1:60" ht="12" customHeight="1">
      <c r="A40" s="120"/>
      <c r="B40" s="125" t="str">
        <f ca="1">B25</f>
        <v>De Lange Man</v>
      </c>
      <c r="C40" s="132">
        <f t="shared" ref="C40:Y40" ca="1" si="129">IF($AA6&lt;&gt;"",C25*$AA6,"")</f>
        <v>73.569865319865329</v>
      </c>
      <c r="D40" s="132">
        <f t="shared" ca="1" si="129"/>
        <v>204.13047138047142</v>
      </c>
      <c r="E40" s="132">
        <f t="shared" ca="1" si="129"/>
        <v>342.98063973063978</v>
      </c>
      <c r="F40" s="132">
        <f t="shared" ca="1" si="129"/>
        <v>547.1111111111112</v>
      </c>
      <c r="G40" s="132">
        <f t="shared" ca="1" si="129"/>
        <v>765.74831649831663</v>
      </c>
      <c r="H40" s="132">
        <f t="shared" ca="1" si="129"/>
        <v>938.79292929292944</v>
      </c>
      <c r="I40" s="132">
        <f t="shared" ca="1" si="129"/>
        <v>1093.186026936027</v>
      </c>
      <c r="J40" s="132">
        <f t="shared" ca="1" si="129"/>
        <v>1222.7104377104379</v>
      </c>
      <c r="K40" s="132">
        <f t="shared" ca="1" si="129"/>
        <v>1222.8140572390573</v>
      </c>
      <c r="L40" s="132">
        <f t="shared" ca="1" si="129"/>
        <v>1339.9041245791248</v>
      </c>
      <c r="M40" s="132">
        <f t="shared" ca="1" si="129"/>
        <v>1426.9445286195287</v>
      </c>
      <c r="N40" s="132">
        <f t="shared" ca="1" si="129"/>
        <v>1579.2652356902358</v>
      </c>
      <c r="O40" s="132">
        <f t="shared" ca="1" si="129"/>
        <v>1728.4773569023571</v>
      </c>
      <c r="P40" s="132">
        <f t="shared" ca="1" si="129"/>
        <v>1815.517760942761</v>
      </c>
      <c r="Q40" s="132">
        <f t="shared" ca="1" si="129"/>
        <v>2015.5034511784513</v>
      </c>
      <c r="R40" s="132">
        <f t="shared" ca="1" si="129"/>
        <v>2091.1457070707074</v>
      </c>
      <c r="S40" s="132">
        <f t="shared" ca="1" si="129"/>
        <v>2121.1953703703707</v>
      </c>
      <c r="T40" s="132">
        <f t="shared" ca="1" si="129"/>
        <v>2253.828367003367</v>
      </c>
      <c r="U40" s="132">
        <f t="shared" ca="1" si="129"/>
        <v>2368.8460437710442</v>
      </c>
      <c r="V40" s="132">
        <f t="shared" ca="1" si="129"/>
        <v>2476.6103535353536</v>
      </c>
      <c r="W40" s="132">
        <f t="shared" ca="1" si="129"/>
        <v>2652.7635521885522</v>
      </c>
      <c r="X40" s="132">
        <f t="shared" ca="1" si="129"/>
        <v>2845.4958754208756</v>
      </c>
      <c r="Y40" s="132">
        <f t="shared" ca="1" si="129"/>
        <v>0</v>
      </c>
      <c r="Z40" s="117"/>
      <c r="AA40" s="117"/>
      <c r="AB40" s="126" t="str">
        <f t="shared" ca="1" si="104"/>
        <v>De Lange Man</v>
      </c>
      <c r="AC40" s="127">
        <f t="shared" ca="1" si="105"/>
        <v>14.852498963813751</v>
      </c>
      <c r="AD40" s="127">
        <f t="shared" ca="1" si="106"/>
        <v>30.293193470843192</v>
      </c>
      <c r="AE40" s="127">
        <f t="shared" ca="1" si="107"/>
        <v>48.818893723909184</v>
      </c>
      <c r="AF40" s="127">
        <f t="shared" ca="1" si="108"/>
        <v>92.19851486781323</v>
      </c>
      <c r="AG40" s="127">
        <f t="shared" ca="1" si="109"/>
        <v>148.5667095407473</v>
      </c>
      <c r="AH40" s="127">
        <f t="shared" ca="1" si="110"/>
        <v>180.24272333654528</v>
      </c>
      <c r="AI40" s="127">
        <f t="shared" ca="1" si="111"/>
        <v>187.77022308781966</v>
      </c>
      <c r="AJ40" s="127">
        <f t="shared" ca="1" si="112"/>
        <v>184.1179315388531</v>
      </c>
      <c r="AK40" s="127">
        <f t="shared" ca="1" si="113"/>
        <v>184.12073480208096</v>
      </c>
      <c r="AL40" s="127">
        <f t="shared" ca="1" si="114"/>
        <v>202.33111149263073</v>
      </c>
      <c r="AM40" s="127">
        <f t="shared" ca="1" si="115"/>
        <v>179.09370489468529</v>
      </c>
      <c r="AN40" s="127">
        <f t="shared" ca="1" si="116"/>
        <v>187.55741027149202</v>
      </c>
      <c r="AO40" s="127">
        <f t="shared" ca="1" si="117"/>
        <v>205.47281516552971</v>
      </c>
      <c r="AP40" s="127">
        <f t="shared" ca="1" si="118"/>
        <v>183.82804079673383</v>
      </c>
      <c r="AQ40" s="127">
        <f t="shared" ca="1" si="119"/>
        <v>246.84674813239235</v>
      </c>
      <c r="AR40" s="127">
        <f t="shared" ca="1" si="120"/>
        <v>260.7139789479088</v>
      </c>
      <c r="AS40" s="127">
        <f t="shared" ca="1" si="121"/>
        <v>205.69659849185473</v>
      </c>
      <c r="AT40" s="127">
        <f t="shared" ca="1" si="122"/>
        <v>229.77668219878638</v>
      </c>
      <c r="AU40" s="127">
        <f t="shared" ca="1" si="123"/>
        <v>216.41085665275887</v>
      </c>
      <c r="AV40" s="127">
        <f t="shared" ca="1" si="124"/>
        <v>188.64632978962118</v>
      </c>
      <c r="AW40" s="127">
        <f t="shared" ca="1" si="125"/>
        <v>220.87757688808551</v>
      </c>
      <c r="AX40" s="127">
        <f t="shared" ca="1" si="126"/>
        <v>222.03738229097462</v>
      </c>
      <c r="AZ40" s="133"/>
      <c r="BC40" s="133"/>
      <c r="BD40" s="134"/>
      <c r="BE40" s="134"/>
    </row>
    <row r="41" spans="1:60" ht="12" customHeight="1">
      <c r="A41" s="120"/>
      <c r="B41" s="125" t="str">
        <f ca="1">B26</f>
        <v>TinTopTeam</v>
      </c>
      <c r="C41" s="132">
        <f t="shared" ref="C41:Y41" ca="1" si="130">IF($AA7&lt;&gt;"",C26*$AA7,"")</f>
        <v>19.916024653312789</v>
      </c>
      <c r="D41" s="132">
        <f t="shared" ca="1" si="130"/>
        <v>100.52850539291218</v>
      </c>
      <c r="E41" s="132">
        <f t="shared" ca="1" si="130"/>
        <v>221.92141756548537</v>
      </c>
      <c r="F41" s="132">
        <f t="shared" ca="1" si="130"/>
        <v>381.24961479198765</v>
      </c>
      <c r="G41" s="132">
        <f t="shared" ca="1" si="130"/>
        <v>545.31972265023114</v>
      </c>
      <c r="H41" s="132">
        <f t="shared" ca="1" si="130"/>
        <v>711.28659476117105</v>
      </c>
      <c r="I41" s="132">
        <f t="shared" ca="1" si="130"/>
        <v>857.33744221879817</v>
      </c>
      <c r="J41" s="132">
        <f t="shared" ca="1" si="130"/>
        <v>998.64637904468418</v>
      </c>
      <c r="K41" s="132">
        <f t="shared" ca="1" si="130"/>
        <v>998.74121725731891</v>
      </c>
      <c r="L41" s="132">
        <f t="shared" ca="1" si="130"/>
        <v>1089.7859013867487</v>
      </c>
      <c r="M41" s="132">
        <f t="shared" ca="1" si="130"/>
        <v>1224.4561633281971</v>
      </c>
      <c r="N41" s="132">
        <f t="shared" ca="1" si="130"/>
        <v>1415.080970724191</v>
      </c>
      <c r="O41" s="132">
        <f t="shared" ca="1" si="130"/>
        <v>1545.9577041602465</v>
      </c>
      <c r="P41" s="132">
        <f t="shared" ca="1" si="130"/>
        <v>1652.176502311248</v>
      </c>
      <c r="Q41" s="132">
        <f t="shared" ca="1" si="130"/>
        <v>1808.6595531587056</v>
      </c>
      <c r="R41" s="132">
        <f t="shared" ca="1" si="130"/>
        <v>1875.9946841294297</v>
      </c>
      <c r="S41" s="132">
        <f t="shared" ca="1" si="130"/>
        <v>1964.1942218798151</v>
      </c>
      <c r="T41" s="132">
        <f t="shared" ca="1" si="130"/>
        <v>2105.503158705701</v>
      </c>
      <c r="U41" s="132">
        <f t="shared" ca="1" si="130"/>
        <v>2235.4315100154081</v>
      </c>
      <c r="V41" s="132">
        <f t="shared" ca="1" si="130"/>
        <v>2365.3598613251156</v>
      </c>
      <c r="W41" s="132">
        <f t="shared" ca="1" si="130"/>
        <v>2537.9654083204928</v>
      </c>
      <c r="X41" s="132">
        <f t="shared" ca="1" si="130"/>
        <v>2723.8483050847458</v>
      </c>
      <c r="Y41" s="132">
        <f t="shared" ca="1" si="130"/>
        <v>0</v>
      </c>
      <c r="Z41" s="117"/>
      <c r="AA41" s="117"/>
      <c r="AB41" s="126" t="str">
        <f t="shared" ref="AB41" ca="1" si="131">B41</f>
        <v>TinTopTeam</v>
      </c>
      <c r="AC41" s="127">
        <f t="shared" ca="1" si="105"/>
        <v>-38.801341702738789</v>
      </c>
      <c r="AD41" s="127">
        <f t="shared" ca="1" si="106"/>
        <v>-73.308772516716047</v>
      </c>
      <c r="AE41" s="127">
        <f t="shared" ca="1" si="107"/>
        <v>-72.240328441245225</v>
      </c>
      <c r="AF41" s="127">
        <f t="shared" ca="1" si="108"/>
        <v>-73.662981451310316</v>
      </c>
      <c r="AG41" s="127">
        <f t="shared" ca="1" si="109"/>
        <v>-71.861884307338187</v>
      </c>
      <c r="AH41" s="127">
        <f t="shared" ca="1" si="110"/>
        <v>-47.263611195213116</v>
      </c>
      <c r="AI41" s="127">
        <f t="shared" ca="1" si="111"/>
        <v>-48.078361629409187</v>
      </c>
      <c r="AJ41" s="127">
        <f t="shared" ca="1" si="112"/>
        <v>-39.946127126900592</v>
      </c>
      <c r="AK41" s="127">
        <f t="shared" ca="1" si="113"/>
        <v>-39.952105179657451</v>
      </c>
      <c r="AL41" s="127">
        <f t="shared" ca="1" si="114"/>
        <v>-47.78711169974531</v>
      </c>
      <c r="AM41" s="127">
        <f t="shared" ca="1" si="115"/>
        <v>-23.394660396646259</v>
      </c>
      <c r="AN41" s="127">
        <f t="shared" ca="1" si="116"/>
        <v>23.373145305447224</v>
      </c>
      <c r="AO41" s="127">
        <f t="shared" ca="1" si="117"/>
        <v>22.953162423419144</v>
      </c>
      <c r="AP41" s="127">
        <f t="shared" ca="1" si="118"/>
        <v>20.486782165220802</v>
      </c>
      <c r="AQ41" s="127">
        <f t="shared" ca="1" si="119"/>
        <v>40.002850112646684</v>
      </c>
      <c r="AR41" s="127">
        <f t="shared" ca="1" si="120"/>
        <v>45.562956006631111</v>
      </c>
      <c r="AS41" s="127">
        <f t="shared" ca="1" si="121"/>
        <v>48.69545000129915</v>
      </c>
      <c r="AT41" s="127">
        <f t="shared" ca="1" si="122"/>
        <v>81.45147390112038</v>
      </c>
      <c r="AU41" s="127">
        <f t="shared" ca="1" si="123"/>
        <v>82.996322897122809</v>
      </c>
      <c r="AV41" s="127">
        <f t="shared" ca="1" si="124"/>
        <v>77.395837579383169</v>
      </c>
      <c r="AW41" s="127">
        <f t="shared" ca="1" si="125"/>
        <v>106.07943302002604</v>
      </c>
      <c r="AX41" s="127">
        <f t="shared" ca="1" si="126"/>
        <v>100.38981195484484</v>
      </c>
      <c r="AZ41" s="133"/>
      <c r="BC41" s="133"/>
      <c r="BD41" s="134"/>
      <c r="BE41" s="134"/>
    </row>
    <row r="42" spans="1:60" ht="12" customHeight="1">
      <c r="A42" s="120"/>
      <c r="B42" s="125" t="str">
        <f t="shared" ref="B42:B47" ca="1" si="132">B27</f>
        <v>wadaf*ckers</v>
      </c>
      <c r="C42" s="132">
        <f t="shared" ref="C42:Y42" ca="1" si="133">IF($AA8&lt;&gt;"",C27*$AA8,"")</f>
        <v>47.311160384331117</v>
      </c>
      <c r="D42" s="132">
        <f t="shared" ca="1" si="133"/>
        <v>124.64671101256467</v>
      </c>
      <c r="E42" s="132">
        <f t="shared" ca="1" si="133"/>
        <v>224.72801182557279</v>
      </c>
      <c r="F42" s="132">
        <f t="shared" ca="1" si="133"/>
        <v>348.46489283074646</v>
      </c>
      <c r="G42" s="132">
        <f t="shared" ca="1" si="133"/>
        <v>498.58684405025866</v>
      </c>
      <c r="H42" s="132">
        <f t="shared" ca="1" si="133"/>
        <v>630.51219512195121</v>
      </c>
      <c r="I42" s="132">
        <f t="shared" ca="1" si="133"/>
        <v>802.47006651884692</v>
      </c>
      <c r="J42" s="132">
        <f t="shared" ca="1" si="133"/>
        <v>919.83813747228373</v>
      </c>
      <c r="K42" s="132">
        <f t="shared" ca="1" si="133"/>
        <v>919.92912047302286</v>
      </c>
      <c r="L42" s="132">
        <f t="shared" ca="1" si="133"/>
        <v>986.34671101256458</v>
      </c>
      <c r="M42" s="132">
        <f t="shared" ca="1" si="133"/>
        <v>1061.8626016260162</v>
      </c>
      <c r="N42" s="132">
        <f t="shared" ca="1" si="133"/>
        <v>1192.8781226903177</v>
      </c>
      <c r="O42" s="132">
        <f t="shared" ca="1" si="133"/>
        <v>1314.7953436807095</v>
      </c>
      <c r="P42" s="132">
        <f t="shared" ca="1" si="133"/>
        <v>1413.9668144863265</v>
      </c>
      <c r="Q42" s="132">
        <f t="shared" ca="1" si="133"/>
        <v>1546.8019955654102</v>
      </c>
      <c r="R42" s="132">
        <f t="shared" ca="1" si="133"/>
        <v>1603.211456023651</v>
      </c>
      <c r="S42" s="132">
        <f t="shared" ca="1" si="133"/>
        <v>1674.1781966001477</v>
      </c>
      <c r="T42" s="132">
        <f t="shared" ca="1" si="133"/>
        <v>1760.6120473022911</v>
      </c>
      <c r="U42" s="132">
        <f t="shared" ca="1" si="133"/>
        <v>1878.8899482631189</v>
      </c>
      <c r="V42" s="132">
        <f t="shared" ca="1" si="133"/>
        <v>1998.9875092387285</v>
      </c>
      <c r="W42" s="132">
        <f t="shared" ca="1" si="133"/>
        <v>2143.6504804138949</v>
      </c>
      <c r="X42" s="132">
        <f t="shared" ca="1" si="133"/>
        <v>2326.5263118994826</v>
      </c>
      <c r="Y42" s="132">
        <f t="shared" ca="1" si="133"/>
        <v>0</v>
      </c>
      <c r="Z42" s="117"/>
      <c r="AA42" s="117"/>
      <c r="AB42" s="126" t="str">
        <f t="shared" ca="1" si="104"/>
        <v>wadaf*ckers</v>
      </c>
      <c r="AC42" s="127">
        <f t="shared" ca="1" si="105"/>
        <v>-11.40620597172046</v>
      </c>
      <c r="AD42" s="127">
        <f t="shared" ca="1" si="106"/>
        <v>-49.190566897063562</v>
      </c>
      <c r="AE42" s="127">
        <f t="shared" ca="1" si="107"/>
        <v>-69.433734181157803</v>
      </c>
      <c r="AF42" s="127">
        <f t="shared" ca="1" si="108"/>
        <v>-106.4477034125515</v>
      </c>
      <c r="AG42" s="127">
        <f t="shared" ca="1" si="109"/>
        <v>-118.59476290731067</v>
      </c>
      <c r="AH42" s="127">
        <f t="shared" ca="1" si="110"/>
        <v>-128.03801083443295</v>
      </c>
      <c r="AI42" s="127">
        <f t="shared" ca="1" si="111"/>
        <v>-102.94573732936044</v>
      </c>
      <c r="AJ42" s="127">
        <f t="shared" ca="1" si="112"/>
        <v>-118.75436869930104</v>
      </c>
      <c r="AK42" s="127">
        <f t="shared" ca="1" si="113"/>
        <v>-118.7642019639535</v>
      </c>
      <c r="AL42" s="127">
        <f t="shared" ca="1" si="114"/>
        <v>-151.22630207392945</v>
      </c>
      <c r="AM42" s="127">
        <f t="shared" ca="1" si="115"/>
        <v>-185.98822209882724</v>
      </c>
      <c r="AN42" s="127">
        <f t="shared" ca="1" si="116"/>
        <v>-198.82970272842613</v>
      </c>
      <c r="AO42" s="127">
        <f t="shared" ca="1" si="117"/>
        <v>-208.20919805611788</v>
      </c>
      <c r="AP42" s="127">
        <f t="shared" ca="1" si="118"/>
        <v>-217.7229056597007</v>
      </c>
      <c r="AQ42" s="127">
        <f t="shared" ca="1" si="119"/>
        <v>-221.85470748064881</v>
      </c>
      <c r="AR42" s="127">
        <f t="shared" ca="1" si="120"/>
        <v>-227.22027209914768</v>
      </c>
      <c r="AS42" s="127">
        <f t="shared" ca="1" si="121"/>
        <v>-241.32057527836832</v>
      </c>
      <c r="AT42" s="127">
        <f t="shared" ca="1" si="122"/>
        <v>-263.43963750228954</v>
      </c>
      <c r="AU42" s="127">
        <f t="shared" ca="1" si="123"/>
        <v>-273.54523885516642</v>
      </c>
      <c r="AV42" s="127">
        <f t="shared" ca="1" si="124"/>
        <v>-288.97651450700391</v>
      </c>
      <c r="AW42" s="127">
        <f t="shared" ca="1" si="125"/>
        <v>-288.23549488657181</v>
      </c>
      <c r="AX42" s="127">
        <f t="shared" ca="1" si="126"/>
        <v>-296.93218123041834</v>
      </c>
      <c r="AZ42" s="133"/>
      <c r="BC42" s="133"/>
      <c r="BD42" s="134"/>
      <c r="BE42" s="134"/>
    </row>
    <row r="43" spans="1:60" ht="12" customHeight="1">
      <c r="A43" s="120"/>
      <c r="B43" s="125" t="str">
        <f t="shared" ca="1" si="132"/>
        <v>Equipe l'Ami</v>
      </c>
      <c r="C43" s="132">
        <f t="shared" ref="C43:Y43" ca="1" si="134">IF($AA9&lt;&gt;"",C28*$AA9,"")</f>
        <v>51.731560891938244</v>
      </c>
      <c r="D43" s="132">
        <f t="shared" ca="1" si="134"/>
        <v>200.59176672384217</v>
      </c>
      <c r="E43" s="132">
        <f t="shared" ca="1" si="134"/>
        <v>289.27444253859346</v>
      </c>
      <c r="F43" s="132">
        <f t="shared" ca="1" si="134"/>
        <v>459.24957118353342</v>
      </c>
      <c r="G43" s="132">
        <f t="shared" ca="1" si="134"/>
        <v>636.61492281303595</v>
      </c>
      <c r="H43" s="132">
        <f t="shared" ca="1" si="134"/>
        <v>739.02229845626061</v>
      </c>
      <c r="I43" s="132">
        <f t="shared" ca="1" si="134"/>
        <v>917.44339622641508</v>
      </c>
      <c r="J43" s="132">
        <f t="shared" ca="1" si="134"/>
        <v>1035.6869639794168</v>
      </c>
      <c r="K43" s="132">
        <f t="shared" ca="1" si="134"/>
        <v>1035.7925385934818</v>
      </c>
      <c r="L43" s="132">
        <f t="shared" ca="1" si="134"/>
        <v>1106.5275300171525</v>
      </c>
      <c r="M43" s="132">
        <f t="shared" ca="1" si="134"/>
        <v>1207.8791595197254</v>
      </c>
      <c r="N43" s="132">
        <f t="shared" ca="1" si="134"/>
        <v>1311.3422813036018</v>
      </c>
      <c r="O43" s="132">
        <f t="shared" ca="1" si="134"/>
        <v>1413.7496569468265</v>
      </c>
      <c r="P43" s="132">
        <f t="shared" ca="1" si="134"/>
        <v>1549.9409090909089</v>
      </c>
      <c r="Q43" s="132">
        <f t="shared" ca="1" si="134"/>
        <v>1668.1844768439105</v>
      </c>
      <c r="R43" s="132">
        <f t="shared" ca="1" si="134"/>
        <v>1728.3620068610633</v>
      </c>
      <c r="S43" s="132">
        <f t="shared" ca="1" si="134"/>
        <v>1814.9331903945108</v>
      </c>
      <c r="T43" s="132">
        <f t="shared" ca="1" si="134"/>
        <v>1890.9469125214405</v>
      </c>
      <c r="U43" s="132">
        <f t="shared" ca="1" si="134"/>
        <v>1999.6887650085762</v>
      </c>
      <c r="V43" s="132">
        <f t="shared" ca="1" si="134"/>
        <v>2107.3748713550599</v>
      </c>
      <c r="W43" s="132">
        <f t="shared" ca="1" si="134"/>
        <v>2263.6253001715263</v>
      </c>
      <c r="X43" s="132">
        <f t="shared" ca="1" si="134"/>
        <v>2405.0952830188676</v>
      </c>
      <c r="Y43" s="132">
        <f t="shared" ca="1" si="134"/>
        <v>0</v>
      </c>
      <c r="Z43" s="117"/>
      <c r="AA43" s="117"/>
      <c r="AB43" s="126" t="str">
        <f t="shared" ca="1" si="104"/>
        <v>Equipe l'Ami</v>
      </c>
      <c r="AC43" s="127">
        <f t="shared" ca="1" si="105"/>
        <v>-6.9858054641133336</v>
      </c>
      <c r="AD43" s="127">
        <f t="shared" ca="1" si="106"/>
        <v>26.754488814213943</v>
      </c>
      <c r="AE43" s="127">
        <f t="shared" ca="1" si="107"/>
        <v>-4.8873034681371337</v>
      </c>
      <c r="AF43" s="127">
        <f t="shared" ca="1" si="108"/>
        <v>4.33697494023545</v>
      </c>
      <c r="AG43" s="127">
        <f t="shared" ca="1" si="109"/>
        <v>19.433315855466617</v>
      </c>
      <c r="AH43" s="127">
        <f t="shared" ca="1" si="110"/>
        <v>-19.527907500123547</v>
      </c>
      <c r="AI43" s="127">
        <f t="shared" ca="1" si="111"/>
        <v>12.027592378207714</v>
      </c>
      <c r="AJ43" s="127">
        <f t="shared" ca="1" si="112"/>
        <v>-2.9055421921680136</v>
      </c>
      <c r="AK43" s="127">
        <f t="shared" ca="1" si="113"/>
        <v>-2.900783843494537</v>
      </c>
      <c r="AL43" s="127">
        <f t="shared" ca="1" si="114"/>
        <v>-31.045483069341572</v>
      </c>
      <c r="AM43" s="127">
        <f t="shared" ca="1" si="115"/>
        <v>-39.971664205118032</v>
      </c>
      <c r="AN43" s="127">
        <f t="shared" ca="1" si="116"/>
        <v>-80.365544115142029</v>
      </c>
      <c r="AO43" s="127">
        <f t="shared" ca="1" si="117"/>
        <v>-109.25488479000092</v>
      </c>
      <c r="AP43" s="127">
        <f t="shared" ca="1" si="118"/>
        <v>-81.748811055118267</v>
      </c>
      <c r="AQ43" s="127">
        <f t="shared" ca="1" si="119"/>
        <v>-100.47222620214848</v>
      </c>
      <c r="AR43" s="127">
        <f t="shared" ca="1" si="120"/>
        <v>-102.06972126173537</v>
      </c>
      <c r="AS43" s="127">
        <f t="shared" ca="1" si="121"/>
        <v>-100.56558148400518</v>
      </c>
      <c r="AT43" s="127">
        <f t="shared" ca="1" si="122"/>
        <v>-133.10477228314016</v>
      </c>
      <c r="AU43" s="127">
        <f t="shared" ca="1" si="123"/>
        <v>-152.7464221097091</v>
      </c>
      <c r="AV43" s="127">
        <f t="shared" ca="1" si="124"/>
        <v>-180.58915239067255</v>
      </c>
      <c r="AW43" s="127">
        <f t="shared" ca="1" si="125"/>
        <v>-168.26067512894042</v>
      </c>
      <c r="AX43" s="127">
        <f t="shared" ca="1" si="126"/>
        <v>-218.36321011103337</v>
      </c>
      <c r="AZ43" s="133"/>
      <c r="BC43" s="133"/>
      <c r="BD43" s="134"/>
      <c r="BE43" s="134"/>
    </row>
    <row r="44" spans="1:60" ht="12" customHeight="1">
      <c r="A44" s="120"/>
      <c r="B44" s="125" t="str">
        <f t="shared" ca="1" si="132"/>
        <v>Am Selfkant</v>
      </c>
      <c r="C44" s="132">
        <f t="shared" ref="C44:Y44" ca="1" si="135">IF($AA10&lt;&gt;"",C29*$AA10,"")</f>
        <v>18.952346041055719</v>
      </c>
      <c r="D44" s="132">
        <f t="shared" ca="1" si="135"/>
        <v>110.1041055718475</v>
      </c>
      <c r="E44" s="132">
        <f t="shared" ca="1" si="135"/>
        <v>223.81818181818181</v>
      </c>
      <c r="F44" s="132">
        <f t="shared" ca="1" si="135"/>
        <v>341.14222873900292</v>
      </c>
      <c r="G44" s="132">
        <f t="shared" ca="1" si="135"/>
        <v>461.17375366568916</v>
      </c>
      <c r="H44" s="132">
        <f t="shared" ca="1" si="135"/>
        <v>577.59530791788859</v>
      </c>
      <c r="I44" s="132">
        <f t="shared" ca="1" si="135"/>
        <v>712.06671554252193</v>
      </c>
      <c r="J44" s="132">
        <f t="shared" ca="1" si="135"/>
        <v>846.53812316715539</v>
      </c>
      <c r="K44" s="132">
        <f t="shared" ca="1" si="135"/>
        <v>846.62837243401759</v>
      </c>
      <c r="L44" s="132">
        <f t="shared" ca="1" si="135"/>
        <v>932.36517595307907</v>
      </c>
      <c r="M44" s="132">
        <f t="shared" ca="1" si="135"/>
        <v>1034.3468475073312</v>
      </c>
      <c r="N44" s="132">
        <f t="shared" ca="1" si="135"/>
        <v>1167.0132697947213</v>
      </c>
      <c r="O44" s="132">
        <f t="shared" ca="1" si="135"/>
        <v>1296.9722140762462</v>
      </c>
      <c r="P44" s="132">
        <f t="shared" ca="1" si="135"/>
        <v>1394.44142228739</v>
      </c>
      <c r="Q44" s="132">
        <f t="shared" ca="1" si="135"/>
        <v>1509.9604838709677</v>
      </c>
      <c r="R44" s="132">
        <f t="shared" ca="1" si="135"/>
        <v>1565.0125366568914</v>
      </c>
      <c r="S44" s="132">
        <f t="shared" ca="1" si="135"/>
        <v>1646.2368768328445</v>
      </c>
      <c r="T44" s="132">
        <f t="shared" ca="1" si="135"/>
        <v>1771.6833577712609</v>
      </c>
      <c r="U44" s="132">
        <f t="shared" ca="1" si="135"/>
        <v>1893.5198680351905</v>
      </c>
      <c r="V44" s="132">
        <f t="shared" ca="1" si="135"/>
        <v>2023.4788123167154</v>
      </c>
      <c r="W44" s="132">
        <f t="shared" ca="1" si="135"/>
        <v>2138.0953812316716</v>
      </c>
      <c r="X44" s="132">
        <f t="shared" ca="1" si="135"/>
        <v>2335.7412756598237</v>
      </c>
      <c r="Y44" s="132">
        <f t="shared" ca="1" si="135"/>
        <v>0</v>
      </c>
      <c r="Z44" s="117"/>
      <c r="AA44" s="117"/>
      <c r="AB44" s="126" t="str">
        <f t="shared" ref="AB44:AB45" ca="1" si="136">B44</f>
        <v>Am Selfkant</v>
      </c>
      <c r="AC44" s="127">
        <f t="shared" ref="AC44:AC45" ca="1" si="137">C44-AC$48</f>
        <v>-39.765020314995859</v>
      </c>
      <c r="AD44" s="127">
        <f t="shared" ref="AD44:AD45" ca="1" si="138">D44-AD$48</f>
        <v>-63.733172337780729</v>
      </c>
      <c r="AE44" s="127">
        <f t="shared" ref="AE44:AE45" ca="1" si="139">E44-AE$48</f>
        <v>-70.343564188548783</v>
      </c>
      <c r="AF44" s="127">
        <f t="shared" ref="AF44:AF45" ca="1" si="140">F44-AF$48</f>
        <v>-113.77036750429505</v>
      </c>
      <c r="AG44" s="127">
        <f t="shared" ref="AG44:AG45" ca="1" si="141">G44-AG$48</f>
        <v>-156.00785329188017</v>
      </c>
      <c r="AH44" s="127">
        <f t="shared" ref="AH44:AH45" ca="1" si="142">H44-AH$48</f>
        <v>-180.95489803849557</v>
      </c>
      <c r="AI44" s="127">
        <f t="shared" ref="AI44:AI45" ca="1" si="143">I44-AI$48</f>
        <v>-193.34908830568543</v>
      </c>
      <c r="AJ44" s="127">
        <f t="shared" ref="AJ44:AJ45" ca="1" si="144">J44-AJ$48</f>
        <v>-192.05438300442938</v>
      </c>
      <c r="AK44" s="127">
        <f t="shared" ref="AK44:AK45" ca="1" si="145">K44-AK$48</f>
        <v>-192.06495000295877</v>
      </c>
      <c r="AL44" s="127">
        <f t="shared" ref="AL44:AL45" ca="1" si="146">L44-AL$48</f>
        <v>-205.20783713341496</v>
      </c>
      <c r="AM44" s="127">
        <f t="shared" ref="AM44:AM45" ca="1" si="147">M44-AM$48</f>
        <v>-213.50397621751222</v>
      </c>
      <c r="AN44" s="127">
        <f t="shared" ref="AN44:AN45" ca="1" si="148">N44-AN$48</f>
        <v>-224.69455562402254</v>
      </c>
      <c r="AO44" s="127">
        <f t="shared" ref="AO44:AO45" ca="1" si="149">O44-AO$48</f>
        <v>-226.03232766058113</v>
      </c>
      <c r="AP44" s="127">
        <f t="shared" ref="AP44:AP45" ca="1" si="150">P44-AP$48</f>
        <v>-237.24829785863722</v>
      </c>
      <c r="AQ44" s="127">
        <f t="shared" ref="AQ44:AQ45" ca="1" si="151">Q44-AQ$48</f>
        <v>-258.6962191750913</v>
      </c>
      <c r="AR44" s="127">
        <f t="shared" ref="AR44:AR45" ca="1" si="152">R44-AR$48</f>
        <v>-265.41919146590726</v>
      </c>
      <c r="AS44" s="127">
        <f t="shared" ref="AS44:AS45" ca="1" si="153">S44-AS$48</f>
        <v>-269.26189504567151</v>
      </c>
      <c r="AT44" s="127">
        <f t="shared" ref="AT44:AT45" ca="1" si="154">T44-AT$48</f>
        <v>-252.3683270333197</v>
      </c>
      <c r="AU44" s="127">
        <f t="shared" ref="AU44:AU45" ca="1" si="155">U44-AU$48</f>
        <v>-258.9153190830948</v>
      </c>
      <c r="AV44" s="127">
        <f t="shared" ref="AV44:AV45" ca="1" si="156">V44-AV$48</f>
        <v>-264.485211429017</v>
      </c>
      <c r="AW44" s="127">
        <f t="shared" ref="AW44:AW45" ca="1" si="157">W44-AW$48</f>
        <v>-293.79059406879514</v>
      </c>
      <c r="AX44" s="127">
        <f t="shared" ref="AX44:AX45" ca="1" si="158">X44-AX$48</f>
        <v>-287.71721747007723</v>
      </c>
      <c r="AZ44" s="133"/>
      <c r="BC44" s="133"/>
      <c r="BD44" s="134"/>
      <c r="BE44" s="134"/>
    </row>
    <row r="45" spans="1:60" ht="12" customHeight="1">
      <c r="A45" s="120"/>
      <c r="B45" s="125" t="str">
        <f t="shared" ca="1" si="132"/>
        <v>Freaky naar de top</v>
      </c>
      <c r="C45" s="132">
        <f t="shared" ref="C45:Y45" ca="1" si="159">IF($AA11&lt;&gt;"",C30*$AA11,"")</f>
        <v>27.518628912071534</v>
      </c>
      <c r="D45" s="132">
        <f t="shared" ca="1" si="159"/>
        <v>120.16467958271237</v>
      </c>
      <c r="E45" s="132">
        <f t="shared" ca="1" si="159"/>
        <v>220.14903129657228</v>
      </c>
      <c r="F45" s="132">
        <f t="shared" ca="1" si="159"/>
        <v>354.99031296572281</v>
      </c>
      <c r="G45" s="132">
        <f t="shared" ca="1" si="159"/>
        <v>480.65871833084947</v>
      </c>
      <c r="H45" s="132">
        <f t="shared" ca="1" si="159"/>
        <v>610.91356184798803</v>
      </c>
      <c r="I45" s="132">
        <f t="shared" ca="1" si="159"/>
        <v>743.0029806259314</v>
      </c>
      <c r="J45" s="132">
        <f t="shared" ca="1" si="159"/>
        <v>860.41579731743661</v>
      </c>
      <c r="K45" s="132">
        <f t="shared" ca="1" si="159"/>
        <v>860.50752608047685</v>
      </c>
      <c r="L45" s="132">
        <f t="shared" ca="1" si="159"/>
        <v>950.4017138599105</v>
      </c>
      <c r="M45" s="132">
        <f t="shared" ca="1" si="159"/>
        <v>1046.7169150521609</v>
      </c>
      <c r="N45" s="132">
        <f t="shared" ca="1" si="159"/>
        <v>1193.4829359165424</v>
      </c>
      <c r="O45" s="132">
        <f t="shared" ca="1" si="159"/>
        <v>1311.81304023845</v>
      </c>
      <c r="P45" s="132">
        <f t="shared" ca="1" si="159"/>
        <v>1434.7295827123694</v>
      </c>
      <c r="Q45" s="132">
        <f t="shared" ca="1" si="159"/>
        <v>1553.9769746646796</v>
      </c>
      <c r="R45" s="132">
        <f t="shared" ca="1" si="159"/>
        <v>1610.8488077496272</v>
      </c>
      <c r="S45" s="132">
        <f t="shared" ca="1" si="159"/>
        <v>1717.254172876304</v>
      </c>
      <c r="T45" s="132">
        <f t="shared" ca="1" si="159"/>
        <v>1802.5619225037256</v>
      </c>
      <c r="U45" s="132">
        <f t="shared" ca="1" si="159"/>
        <v>1926.3957526080476</v>
      </c>
      <c r="V45" s="132">
        <f t="shared" ca="1" si="159"/>
        <v>2050.2295827123694</v>
      </c>
      <c r="W45" s="132">
        <f t="shared" ca="1" si="159"/>
        <v>2165.8078241430699</v>
      </c>
      <c r="X45" s="132">
        <f t="shared" ca="1" si="159"/>
        <v>2315.3257078986585</v>
      </c>
      <c r="Y45" s="132">
        <f t="shared" ca="1" si="159"/>
        <v>0</v>
      </c>
      <c r="Z45" s="117"/>
      <c r="AA45" s="117"/>
      <c r="AB45" s="126" t="str">
        <f t="shared" ca="1" si="136"/>
        <v>Freaky naar de top</v>
      </c>
      <c r="AC45" s="127">
        <f t="shared" ca="1" si="137"/>
        <v>-31.198737443980043</v>
      </c>
      <c r="AD45" s="127">
        <f t="shared" ca="1" si="138"/>
        <v>-53.67259832691586</v>
      </c>
      <c r="AE45" s="127">
        <f t="shared" ca="1" si="139"/>
        <v>-74.01271471015832</v>
      </c>
      <c r="AF45" s="127">
        <f t="shared" ca="1" si="140"/>
        <v>-99.922283277575161</v>
      </c>
      <c r="AG45" s="127">
        <f t="shared" ca="1" si="141"/>
        <v>-136.52288862671986</v>
      </c>
      <c r="AH45" s="127">
        <f t="shared" ca="1" si="142"/>
        <v>-147.63664410839613</v>
      </c>
      <c r="AI45" s="127">
        <f t="shared" ca="1" si="143"/>
        <v>-162.41282322227596</v>
      </c>
      <c r="AJ45" s="127">
        <f t="shared" ca="1" si="144"/>
        <v>-178.17670885414816</v>
      </c>
      <c r="AK45" s="127">
        <f t="shared" ca="1" si="145"/>
        <v>-178.18579635649951</v>
      </c>
      <c r="AL45" s="127">
        <f t="shared" ca="1" si="146"/>
        <v>-187.17129922658353</v>
      </c>
      <c r="AM45" s="127">
        <f t="shared" ca="1" si="147"/>
        <v>-201.13390867268254</v>
      </c>
      <c r="AN45" s="127">
        <f t="shared" ca="1" si="148"/>
        <v>-198.22488950220145</v>
      </c>
      <c r="AO45" s="127">
        <f t="shared" ca="1" si="149"/>
        <v>-211.19150149837742</v>
      </c>
      <c r="AP45" s="127">
        <f t="shared" ca="1" si="150"/>
        <v>-196.96013743365779</v>
      </c>
      <c r="AQ45" s="127">
        <f t="shared" ca="1" si="151"/>
        <v>-214.67972838137939</v>
      </c>
      <c r="AR45" s="127">
        <f t="shared" ca="1" si="152"/>
        <v>-219.58292037317142</v>
      </c>
      <c r="AS45" s="127">
        <f t="shared" ca="1" si="153"/>
        <v>-198.244599002212</v>
      </c>
      <c r="AT45" s="127">
        <f t="shared" ca="1" si="154"/>
        <v>-221.48976230085509</v>
      </c>
      <c r="AU45" s="127">
        <f t="shared" ca="1" si="155"/>
        <v>-226.0394345102377</v>
      </c>
      <c r="AV45" s="127">
        <f t="shared" ca="1" si="156"/>
        <v>-237.73444103336305</v>
      </c>
      <c r="AW45" s="127">
        <f t="shared" ca="1" si="157"/>
        <v>-266.07815115739686</v>
      </c>
      <c r="AX45" s="127">
        <f t="shared" ca="1" si="158"/>
        <v>-308.13278523124245</v>
      </c>
      <c r="AZ45" s="133"/>
      <c r="BC45" s="133"/>
      <c r="BD45" s="134"/>
      <c r="BE45" s="134"/>
    </row>
    <row r="46" spans="1:60" ht="12" customHeight="1">
      <c r="A46" s="120"/>
      <c r="B46" s="125" t="str">
        <f t="shared" ca="1" si="132"/>
        <v>Lothars Grand Depart</v>
      </c>
      <c r="C46" s="132">
        <f t="shared" ref="C46:Y46" ca="1" si="160">IF($AA12&lt;&gt;"",C31*$AA12,"")</f>
        <v>70.734991423670664</v>
      </c>
      <c r="D46" s="132">
        <f t="shared" ca="1" si="160"/>
        <v>133.02401372212691</v>
      </c>
      <c r="E46" s="132">
        <f t="shared" ca="1" si="160"/>
        <v>242.8216123499142</v>
      </c>
      <c r="F46" s="132">
        <f t="shared" ca="1" si="160"/>
        <v>360.0094339622641</v>
      </c>
      <c r="G46" s="132">
        <f t="shared" ca="1" si="160"/>
        <v>508.86963979416805</v>
      </c>
      <c r="H46" s="132">
        <f t="shared" ca="1" si="160"/>
        <v>636.61492281303595</v>
      </c>
      <c r="I46" s="132">
        <f t="shared" ca="1" si="160"/>
        <v>709.46140651801022</v>
      </c>
      <c r="J46" s="132">
        <f t="shared" ca="1" si="160"/>
        <v>860.43310463121782</v>
      </c>
      <c r="K46" s="132">
        <f t="shared" ca="1" si="160"/>
        <v>860.53867924528299</v>
      </c>
      <c r="L46" s="132">
        <f t="shared" ca="1" si="160"/>
        <v>976.67075471698104</v>
      </c>
      <c r="M46" s="132">
        <f t="shared" ca="1" si="160"/>
        <v>1114.9734991423668</v>
      </c>
      <c r="N46" s="132">
        <f t="shared" ca="1" si="160"/>
        <v>1268.0566895368779</v>
      </c>
      <c r="O46" s="132">
        <f t="shared" ca="1" si="160"/>
        <v>1394.746226415094</v>
      </c>
      <c r="P46" s="132">
        <f t="shared" ca="1" si="160"/>
        <v>1507.7110634648368</v>
      </c>
      <c r="Q46" s="132">
        <f t="shared" ca="1" si="160"/>
        <v>1614.3414236706687</v>
      </c>
      <c r="R46" s="132">
        <f t="shared" ca="1" si="160"/>
        <v>1685.0764150943394</v>
      </c>
      <c r="S46" s="132">
        <f t="shared" ca="1" si="160"/>
        <v>1792.7625214408231</v>
      </c>
      <c r="T46" s="132">
        <f t="shared" ca="1" si="160"/>
        <v>1943.7342195540307</v>
      </c>
      <c r="U46" s="132">
        <f t="shared" ca="1" si="160"/>
        <v>2115.820840480274</v>
      </c>
      <c r="V46" s="132">
        <f t="shared" ca="1" si="160"/>
        <v>2239.3431389365351</v>
      </c>
      <c r="W46" s="132">
        <f t="shared" ca="1" si="160"/>
        <v>2345.9734991423666</v>
      </c>
      <c r="X46" s="132">
        <f t="shared" ca="1" si="160"/>
        <v>2628.9134648370496</v>
      </c>
      <c r="Y46" s="132">
        <f t="shared" ca="1" si="160"/>
        <v>0</v>
      </c>
      <c r="Z46" s="117"/>
      <c r="AA46" s="117"/>
      <c r="AB46" s="126" t="str">
        <f ca="1">B46</f>
        <v>Lothars Grand Depart</v>
      </c>
      <c r="AC46" s="127">
        <f t="shared" ca="1" si="105"/>
        <v>12.017625067619086</v>
      </c>
      <c r="AD46" s="127">
        <f t="shared" ca="1" si="106"/>
        <v>-40.813264187501318</v>
      </c>
      <c r="AE46" s="127">
        <f t="shared" ca="1" si="107"/>
        <v>-51.340133656816391</v>
      </c>
      <c r="AF46" s="127">
        <f t="shared" ca="1" si="108"/>
        <v>-94.903162281033872</v>
      </c>
      <c r="AG46" s="127">
        <f t="shared" ca="1" si="109"/>
        <v>-108.31196716340128</v>
      </c>
      <c r="AH46" s="127">
        <f t="shared" ca="1" si="110"/>
        <v>-121.93528314334822</v>
      </c>
      <c r="AI46" s="127">
        <f t="shared" ca="1" si="111"/>
        <v>-195.95439733019714</v>
      </c>
      <c r="AJ46" s="127">
        <f t="shared" ca="1" si="112"/>
        <v>-178.15940154036696</v>
      </c>
      <c r="AK46" s="127">
        <f t="shared" ca="1" si="113"/>
        <v>-178.15464319169337</v>
      </c>
      <c r="AL46" s="127">
        <f t="shared" ca="1" si="114"/>
        <v>-160.90225836951299</v>
      </c>
      <c r="AM46" s="127">
        <f t="shared" ca="1" si="115"/>
        <v>-132.8773245824766</v>
      </c>
      <c r="AN46" s="127">
        <f t="shared" ca="1" si="116"/>
        <v>-123.65113588186591</v>
      </c>
      <c r="AO46" s="127">
        <f t="shared" ca="1" si="117"/>
        <v>-128.25831532173333</v>
      </c>
      <c r="AP46" s="127">
        <f t="shared" ca="1" si="118"/>
        <v>-123.97865668119039</v>
      </c>
      <c r="AQ46" s="127">
        <f t="shared" ca="1" si="119"/>
        <v>-154.31527937539022</v>
      </c>
      <c r="AR46" s="127">
        <f t="shared" ca="1" si="120"/>
        <v>-145.35531302845925</v>
      </c>
      <c r="AS46" s="127">
        <f t="shared" ca="1" si="121"/>
        <v>-122.73625043769289</v>
      </c>
      <c r="AT46" s="127">
        <f t="shared" ca="1" si="122"/>
        <v>-80.317465250549958</v>
      </c>
      <c r="AU46" s="127">
        <f t="shared" ca="1" si="123"/>
        <v>-36.614346638011284</v>
      </c>
      <c r="AV46" s="127">
        <f t="shared" ca="1" si="124"/>
        <v>-48.620884809197378</v>
      </c>
      <c r="AW46" s="127">
        <f t="shared" ca="1" si="125"/>
        <v>-85.912476158100162</v>
      </c>
      <c r="AX46" s="127">
        <f t="shared" ca="1" si="126"/>
        <v>5.4549717071486157</v>
      </c>
      <c r="AZ46" s="133"/>
      <c r="BC46" s="133"/>
      <c r="BD46" s="134"/>
      <c r="BE46" s="134"/>
    </row>
    <row r="47" spans="1:60" ht="12" customHeight="1">
      <c r="A47" s="120"/>
      <c r="B47" s="125" t="str">
        <f t="shared" ca="1" si="132"/>
        <v>IJffjes Boys</v>
      </c>
      <c r="C47" s="132">
        <f t="shared" ref="C47:Y47" ca="1" si="161">IF($AA13&lt;&gt;"",C32*$AA13,"")</f>
        <v>53.573500967117994</v>
      </c>
      <c r="D47" s="132">
        <f t="shared" ca="1" si="161"/>
        <v>75.0029013539652</v>
      </c>
      <c r="E47" s="132">
        <f t="shared" ca="1" si="161"/>
        <v>246.43810444874279</v>
      </c>
      <c r="F47" s="132">
        <f t="shared" ca="1" si="161"/>
        <v>391.68181818181824</v>
      </c>
      <c r="G47" s="132">
        <f t="shared" ca="1" si="161"/>
        <v>441.68375241779506</v>
      </c>
      <c r="H47" s="132">
        <f t="shared" ca="1" si="161"/>
        <v>563.11702127659589</v>
      </c>
      <c r="I47" s="132">
        <f t="shared" ca="1" si="161"/>
        <v>616.69052224371387</v>
      </c>
      <c r="J47" s="132">
        <f t="shared" ca="1" si="161"/>
        <v>763.12475822050305</v>
      </c>
      <c r="K47" s="132">
        <f t="shared" ca="1" si="161"/>
        <v>763.24381044487438</v>
      </c>
      <c r="L47" s="132">
        <f t="shared" ca="1" si="161"/>
        <v>896.58230174081257</v>
      </c>
      <c r="M47" s="132">
        <f t="shared" ca="1" si="161"/>
        <v>1054.9217601547391</v>
      </c>
      <c r="N47" s="132">
        <f t="shared" ca="1" si="161"/>
        <v>1204.9275628626694</v>
      </c>
      <c r="O47" s="132">
        <f t="shared" ca="1" si="161"/>
        <v>1347.7902321083172</v>
      </c>
      <c r="P47" s="132">
        <f t="shared" ca="1" si="161"/>
        <v>1413.2689555125726</v>
      </c>
      <c r="Q47" s="132">
        <f t="shared" ca="1" si="161"/>
        <v>1478.7476789168279</v>
      </c>
      <c r="R47" s="132">
        <f t="shared" ca="1" si="161"/>
        <v>1509.7012572533852</v>
      </c>
      <c r="S47" s="132">
        <f t="shared" ca="1" si="161"/>
        <v>1623.9913926499034</v>
      </c>
      <c r="T47" s="132">
        <f t="shared" ca="1" si="161"/>
        <v>1732.3289168278532</v>
      </c>
      <c r="U47" s="132">
        <f t="shared" ca="1" si="161"/>
        <v>1882.3347195357835</v>
      </c>
      <c r="V47" s="132">
        <f t="shared" ca="1" si="161"/>
        <v>2033.5310444874276</v>
      </c>
      <c r="W47" s="132">
        <f t="shared" ca="1" si="161"/>
        <v>2081.151934235977</v>
      </c>
      <c r="X47" s="132">
        <f t="shared" ca="1" si="161"/>
        <v>2339.4952611218573</v>
      </c>
      <c r="Y47" s="132">
        <f t="shared" ca="1" si="161"/>
        <v>0</v>
      </c>
      <c r="Z47" s="117"/>
      <c r="AA47" s="117"/>
      <c r="AB47" s="126" t="str">
        <f ca="1">B47</f>
        <v>IJffjes Boys</v>
      </c>
      <c r="AC47" s="127">
        <f t="shared" ca="1" si="105"/>
        <v>-5.1438653889335839</v>
      </c>
      <c r="AD47" s="127">
        <f t="shared" ca="1" si="106"/>
        <v>-98.834376555663027</v>
      </c>
      <c r="AE47" s="127">
        <f t="shared" ca="1" si="107"/>
        <v>-47.723641557987804</v>
      </c>
      <c r="AF47" s="127">
        <f t="shared" ca="1" si="108"/>
        <v>-63.230778061479725</v>
      </c>
      <c r="AG47" s="127">
        <f t="shared" ca="1" si="109"/>
        <v>-175.49785453977427</v>
      </c>
      <c r="AH47" s="127">
        <f t="shared" ca="1" si="110"/>
        <v>-195.43318467978827</v>
      </c>
      <c r="AI47" s="127">
        <f t="shared" ca="1" si="111"/>
        <v>-288.72528160449349</v>
      </c>
      <c r="AJ47" s="127">
        <f t="shared" ca="1" si="112"/>
        <v>-275.46774795108172</v>
      </c>
      <c r="AK47" s="127">
        <f t="shared" ca="1" si="113"/>
        <v>-275.44951199210198</v>
      </c>
      <c r="AL47" s="127">
        <f t="shared" ca="1" si="114"/>
        <v>-240.99071134568146</v>
      </c>
      <c r="AM47" s="127">
        <f t="shared" ca="1" si="115"/>
        <v>-192.92906357010429</v>
      </c>
      <c r="AN47" s="127">
        <f t="shared" ca="1" si="116"/>
        <v>-186.78026255607438</v>
      </c>
      <c r="AO47" s="127">
        <f t="shared" ca="1" si="117"/>
        <v>-175.21430962851014</v>
      </c>
      <c r="AP47" s="127">
        <f t="shared" ca="1" si="118"/>
        <v>-218.42076463345461</v>
      </c>
      <c r="AQ47" s="127">
        <f t="shared" ca="1" si="119"/>
        <v>-289.90902412923106</v>
      </c>
      <c r="AR47" s="127">
        <f t="shared" ca="1" si="120"/>
        <v>-320.73047086941347</v>
      </c>
      <c r="AS47" s="127">
        <f t="shared" ca="1" si="121"/>
        <v>-291.50737922861254</v>
      </c>
      <c r="AT47" s="127">
        <f t="shared" ca="1" si="122"/>
        <v>-291.72276797672748</v>
      </c>
      <c r="AU47" s="127">
        <f t="shared" ca="1" si="123"/>
        <v>-270.10046758250178</v>
      </c>
      <c r="AV47" s="127">
        <f t="shared" ca="1" si="124"/>
        <v>-254.43297925830484</v>
      </c>
      <c r="AW47" s="127">
        <f t="shared" ca="1" si="125"/>
        <v>-350.7340410644897</v>
      </c>
      <c r="AX47" s="127">
        <f t="shared" ca="1" si="126"/>
        <v>-283.96323200804363</v>
      </c>
      <c r="AZ47" s="133"/>
      <c r="BC47" s="133"/>
      <c r="BD47" s="134"/>
      <c r="BE47" s="134"/>
    </row>
    <row r="48" spans="1:60" ht="12" customHeight="1">
      <c r="A48" s="120"/>
      <c r="B48" s="125"/>
      <c r="C48" s="132"/>
      <c r="D48" s="132"/>
      <c r="E48" s="132"/>
      <c r="F48" s="132"/>
      <c r="G48" s="132"/>
      <c r="H48" s="132"/>
      <c r="I48" s="132"/>
      <c r="J48" s="132"/>
      <c r="K48" s="132"/>
      <c r="L48" s="132"/>
      <c r="M48" s="132"/>
      <c r="N48" s="132"/>
      <c r="O48" s="132"/>
      <c r="P48" s="132"/>
      <c r="Q48" s="132"/>
      <c r="R48" s="132"/>
      <c r="S48" s="132"/>
      <c r="T48" s="132"/>
      <c r="U48" s="132"/>
      <c r="V48" s="132"/>
      <c r="W48" s="132"/>
      <c r="X48" s="166"/>
      <c r="Z48" s="117"/>
      <c r="AA48" s="117"/>
      <c r="AB48" s="126">
        <f t="shared" si="104"/>
        <v>0</v>
      </c>
      <c r="AC48" s="135">
        <f t="shared" ref="AC48:AX48" ca="1" si="162">AVERAGE(C37:C47)</f>
        <v>58.717366356051578</v>
      </c>
      <c r="AD48" s="135">
        <f t="shared" ca="1" si="162"/>
        <v>173.83727790962823</v>
      </c>
      <c r="AE48" s="135">
        <f t="shared" ca="1" si="162"/>
        <v>294.1617460067306</v>
      </c>
      <c r="AF48" s="135">
        <f t="shared" ca="1" si="162"/>
        <v>454.91259624329797</v>
      </c>
      <c r="AG48" s="135">
        <f t="shared" ca="1" si="162"/>
        <v>617.18160695756933</v>
      </c>
      <c r="AH48" s="135">
        <f t="shared" ca="1" si="162"/>
        <v>758.55020595638416</v>
      </c>
      <c r="AI48" s="135">
        <f t="shared" ca="1" si="162"/>
        <v>905.41580384820736</v>
      </c>
      <c r="AJ48" s="135">
        <f t="shared" ca="1" si="162"/>
        <v>1038.5925061715848</v>
      </c>
      <c r="AK48" s="135">
        <f t="shared" ca="1" si="162"/>
        <v>1038.6933224369764</v>
      </c>
      <c r="AL48" s="135">
        <f t="shared" ca="1" si="162"/>
        <v>1137.573013086494</v>
      </c>
      <c r="AM48" s="135">
        <f t="shared" ca="1" si="162"/>
        <v>1247.8508237248434</v>
      </c>
      <c r="AN48" s="135">
        <f t="shared" ca="1" si="162"/>
        <v>1391.7078254187438</v>
      </c>
      <c r="AO48" s="135">
        <f t="shared" ca="1" si="162"/>
        <v>1523.0045417368274</v>
      </c>
      <c r="AP48" s="135">
        <f t="shared" ca="1" si="162"/>
        <v>1631.6897201460272</v>
      </c>
      <c r="AQ48" s="135">
        <f t="shared" ca="1" si="162"/>
        <v>1768.656703046059</v>
      </c>
      <c r="AR48" s="135">
        <f t="shared" ca="1" si="162"/>
        <v>1830.4317281227986</v>
      </c>
      <c r="AS48" s="135">
        <f t="shared" ca="1" si="162"/>
        <v>1915.498771878516</v>
      </c>
      <c r="AT48" s="135">
        <f t="shared" ca="1" si="162"/>
        <v>2024.0516848045806</v>
      </c>
      <c r="AU48" s="135">
        <f t="shared" ca="1" si="162"/>
        <v>2152.4351871182853</v>
      </c>
      <c r="AV48" s="135">
        <f t="shared" ca="1" si="162"/>
        <v>2287.9640237457324</v>
      </c>
      <c r="AW48" s="135">
        <f t="shared" ca="1" si="162"/>
        <v>2431.8859753004667</v>
      </c>
      <c r="AX48" s="135">
        <f t="shared" ca="1" si="162"/>
        <v>2623.4584931299009</v>
      </c>
      <c r="AY48" s="131"/>
      <c r="AZ48" s="131"/>
      <c r="BA48" s="134"/>
      <c r="BB48" s="134"/>
      <c r="BC48" s="134"/>
      <c r="BD48" s="134"/>
      <c r="BE48" s="134"/>
    </row>
    <row r="49" spans="1:57" s="117" customFormat="1" ht="12" customHeight="1" thickBot="1">
      <c r="B49" s="124" t="s">
        <v>5</v>
      </c>
      <c r="C49" s="119">
        <f>C36</f>
        <v>1</v>
      </c>
      <c r="D49" s="119">
        <f t="shared" ref="D49:X49" si="163">D36</f>
        <v>2</v>
      </c>
      <c r="E49" s="119">
        <f t="shared" si="163"/>
        <v>3</v>
      </c>
      <c r="F49" s="119">
        <f t="shared" si="163"/>
        <v>4</v>
      </c>
      <c r="G49" s="119">
        <f t="shared" si="163"/>
        <v>5</v>
      </c>
      <c r="H49" s="119">
        <f t="shared" si="163"/>
        <v>6</v>
      </c>
      <c r="I49" s="119">
        <f t="shared" si="163"/>
        <v>7</v>
      </c>
      <c r="J49" s="119">
        <f t="shared" si="163"/>
        <v>8</v>
      </c>
      <c r="K49" s="119">
        <f t="shared" si="163"/>
        <v>9</v>
      </c>
      <c r="L49" s="119">
        <f t="shared" si="163"/>
        <v>10</v>
      </c>
      <c r="M49" s="119">
        <f t="shared" si="163"/>
        <v>11</v>
      </c>
      <c r="N49" s="119">
        <f t="shared" si="163"/>
        <v>12</v>
      </c>
      <c r="O49" s="119">
        <f t="shared" si="163"/>
        <v>13</v>
      </c>
      <c r="P49" s="119">
        <f t="shared" si="163"/>
        <v>14</v>
      </c>
      <c r="Q49" s="119">
        <f t="shared" si="163"/>
        <v>15</v>
      </c>
      <c r="R49" s="119">
        <f t="shared" si="163"/>
        <v>16</v>
      </c>
      <c r="S49" s="119">
        <f t="shared" si="163"/>
        <v>17</v>
      </c>
      <c r="T49" s="119">
        <f t="shared" si="163"/>
        <v>18</v>
      </c>
      <c r="U49" s="119">
        <f t="shared" si="163"/>
        <v>19</v>
      </c>
      <c r="V49" s="119">
        <f t="shared" si="163"/>
        <v>20</v>
      </c>
      <c r="W49" s="119">
        <f t="shared" si="163"/>
        <v>21</v>
      </c>
      <c r="X49" s="164" t="str">
        <f t="shared" si="163"/>
        <v>B</v>
      </c>
      <c r="AB49" s="130"/>
      <c r="AC49" s="326" t="s">
        <v>193</v>
      </c>
      <c r="AZ49" s="136"/>
      <c r="BA49" s="136"/>
      <c r="BB49" s="136"/>
      <c r="BC49" s="136"/>
      <c r="BD49" s="136"/>
      <c r="BE49" s="136"/>
    </row>
    <row r="50" spans="1:57" ht="12" customHeight="1">
      <c r="A50" s="137">
        <v>1</v>
      </c>
      <c r="B50" s="138" t="str">
        <f t="shared" ref="B50:B60" ca="1" si="164">INDEX(lijst_teams,MATCH(A50,$Z$3:$Z$13,0))</f>
        <v>Van Lego kun je alles maken</v>
      </c>
      <c r="C50" s="132">
        <f t="shared" ref="C50:C60" ca="1" si="165">VLOOKUP($B50,$B$3:$Y$18,2,0)</f>
        <v>70</v>
      </c>
      <c r="D50" s="132">
        <f t="shared" ref="D50:D60" ca="1" si="166">VLOOKUP($B50,$B$3:$Y$18,3,0)</f>
        <v>164</v>
      </c>
      <c r="E50" s="132">
        <f t="shared" ref="E50:E60" ca="1" si="167">VLOOKUP($B50,$B$3:$Y$18,4,0)</f>
        <v>126</v>
      </c>
      <c r="F50" s="132">
        <f t="shared" ref="F50:F60" ca="1" si="168">VLOOKUP($B50,$B$3:$Y$18,5,0)</f>
        <v>161</v>
      </c>
      <c r="G50" s="132">
        <f t="shared" ref="G50:G60" ca="1" si="169">VLOOKUP($B50,$B$3:$Y$18,6,0)</f>
        <v>210</v>
      </c>
      <c r="H50" s="132">
        <f t="shared" ref="H50:H60" ca="1" si="170">VLOOKUP($B50,$B$3:$Y$18,7,0)</f>
        <v>155</v>
      </c>
      <c r="I50" s="132">
        <f t="shared" ref="I50:I60" ca="1" si="171">VLOOKUP($B50,$B$3:$Y$18,8,0)</f>
        <v>209</v>
      </c>
      <c r="J50" s="132">
        <f t="shared" ref="J50:J60" ca="1" si="172">VLOOKUP($B50,$B$3:$Y$18,9,0)</f>
        <v>141</v>
      </c>
      <c r="K50" s="132">
        <f t="shared" ref="K50:K60" ca="1" si="173">VLOOKUP($B50,$B$3:$Y$18,10,0)</f>
        <v>0.1</v>
      </c>
      <c r="L50" s="132">
        <f t="shared" ref="L50:L60" ca="1" si="174">VLOOKUP($B50,$B$3:$Y$18,11,0)</f>
        <v>97</v>
      </c>
      <c r="M50" s="132">
        <f t="shared" ref="M50:M60" ca="1" si="175">VLOOKUP($B50,$B$3:$Y$18,12,0)</f>
        <v>130</v>
      </c>
      <c r="N50" s="132">
        <f t="shared" ref="N50:N60" ca="1" si="176">VLOOKUP($B50,$B$3:$Y$18,13,0)</f>
        <v>160</v>
      </c>
      <c r="O50" s="132">
        <f t="shared" ref="O50:O60" ca="1" si="177">VLOOKUP($B50,$B$3:$Y$18,14,0)</f>
        <v>131</v>
      </c>
      <c r="P50" s="132">
        <f t="shared" ref="P50:P60" ca="1" si="178">VLOOKUP($B50,$B$3:$Y$18,15,0)</f>
        <v>114</v>
      </c>
      <c r="Q50" s="132">
        <f t="shared" ref="Q50:Q60" ca="1" si="179">VLOOKUP($B50,$B$3:$Y$18,16,0)</f>
        <v>162</v>
      </c>
      <c r="R50" s="132">
        <f t="shared" ref="R50:R60" ca="1" si="180">VLOOKUP($B50,$B$3:$Y$18,17,0)</f>
        <v>67</v>
      </c>
      <c r="S50" s="132">
        <f t="shared" ref="S50:S60" ca="1" si="181">VLOOKUP($B50,$B$3:$Y$18,18,0)</f>
        <v>66</v>
      </c>
      <c r="T50" s="132">
        <f t="shared" ref="T50:T60" ca="1" si="182">VLOOKUP($B50,$B$3:$Y$18,19,0)</f>
        <v>113</v>
      </c>
      <c r="U50" s="132">
        <f t="shared" ref="U50:U60" ca="1" si="183">VLOOKUP($B50,$B$3:$Y$18,20,0)</f>
        <v>147</v>
      </c>
      <c r="V50" s="132">
        <f t="shared" ref="V50:V60" ca="1" si="184">VLOOKUP($B50,$B$3:$Y$18,21,0)</f>
        <v>176</v>
      </c>
      <c r="W50" s="132">
        <f t="shared" ref="W50:W60" ca="1" si="185">VLOOKUP($B50,$B$3:$Y$18,22,0)</f>
        <v>206</v>
      </c>
      <c r="X50" s="166">
        <f ca="1">VLOOKUP($B50,$B$3:$Y$18,23,0)</f>
        <v>211</v>
      </c>
      <c r="Y50" s="123"/>
      <c r="Z50" s="187">
        <f t="shared" ref="Z50:Z58" ca="1" si="186">SUM(C50:Y50)</f>
        <v>3016.1</v>
      </c>
      <c r="AA50" s="123"/>
      <c r="AB50" s="139">
        <f ca="1">Z50/Score!$AG$18</f>
        <v>0.84439934336180078</v>
      </c>
      <c r="AC50" s="116">
        <f ca="1">RANK((SUM($C50:C50)),C$22:C$32,0)</f>
        <v>4</v>
      </c>
      <c r="AD50" s="116">
        <f ca="1">RANK((SUM($C50:D50)),D$22:D$32,0)</f>
        <v>3</v>
      </c>
      <c r="AE50" s="116">
        <f ca="1">RANK((SUM($C50:E50)),E$22:E$32,0)</f>
        <v>3</v>
      </c>
      <c r="AF50" s="116">
        <f ca="1">RANK((SUM($C50:F50)),F$22:F$32,0)</f>
        <v>4</v>
      </c>
      <c r="AG50" s="116">
        <f ca="1">RANK((SUM($C50:G50)),G$22:G$32,0)</f>
        <v>4</v>
      </c>
      <c r="AH50" s="116">
        <f ca="1">RANK((SUM($C50:H50)),H$22:H$32,0)</f>
        <v>4</v>
      </c>
      <c r="AI50" s="116">
        <f ca="1">RANK((SUM($C50:I50)),I$22:I$32,0)</f>
        <v>3</v>
      </c>
      <c r="AJ50" s="116">
        <f ca="1">RANK((SUM($C50:J50)),J$22:J$32,0)</f>
        <v>3</v>
      </c>
      <c r="AK50" s="116">
        <f ca="1">RANK((SUM($C50:K50)),K$22:K$32,0)</f>
        <v>3</v>
      </c>
      <c r="AL50" s="116">
        <f ca="1">RANK((SUM($C50:L50)),L$22:L$32,0)</f>
        <v>3</v>
      </c>
      <c r="AM50" s="116">
        <f ca="1">RANK((SUM($C50:M50)),M$22:M$32,0)</f>
        <v>2</v>
      </c>
      <c r="AN50" s="116">
        <f ca="1">RANK((SUM($C50:N50)),N$22:N$32,0)</f>
        <v>2</v>
      </c>
      <c r="AO50" s="116">
        <f ca="1">RANK((SUM($C50:O50)),O$22:O$32,0)</f>
        <v>2</v>
      </c>
      <c r="AP50" s="116">
        <f ca="1">RANK((SUM($C50:P50)),P$22:P$32,0)</f>
        <v>3</v>
      </c>
      <c r="AQ50" s="116">
        <f ca="1">RANK((SUM($C50:Q50)),Q$22:Q$32,0)</f>
        <v>2</v>
      </c>
      <c r="AR50" s="116">
        <f ca="1">RANK((SUM($C50:R50)),R$22:R$32,0)</f>
        <v>2</v>
      </c>
      <c r="AS50" s="116">
        <f ca="1">RANK((SUM($C50:S50)),S$22:S$32,0)</f>
        <v>2</v>
      </c>
      <c r="AT50" s="116">
        <f ca="1">RANK((SUM($C50:T50)),T$22:T$32,0)</f>
        <v>2</v>
      </c>
      <c r="AU50" s="116">
        <f ca="1">RANK((SUM($C50:U50)),U$22:U$32,0)</f>
        <v>2</v>
      </c>
      <c r="AV50" s="116">
        <f ca="1">RANK((SUM($C50:V50)),V$22:V$32,0)</f>
        <v>2</v>
      </c>
      <c r="AW50" s="116">
        <f ca="1">RANK((SUM($C50:W50)),W$22:W$32,0)</f>
        <v>1</v>
      </c>
      <c r="AX50" s="116">
        <f ca="1">RANK((SUM($C50:X50)),X$22:X$32,0)</f>
        <v>1</v>
      </c>
    </row>
    <row r="51" spans="1:57" ht="11.25" customHeight="1">
      <c r="A51" s="137">
        <v>2</v>
      </c>
      <c r="B51" s="138" t="str">
        <f t="shared" ca="1" si="164"/>
        <v>Mahawat</v>
      </c>
      <c r="C51" s="132">
        <f t="shared" ca="1" si="165"/>
        <v>128</v>
      </c>
      <c r="D51" s="132">
        <f t="shared" ca="1" si="166"/>
        <v>191</v>
      </c>
      <c r="E51" s="132">
        <f t="shared" ca="1" si="167"/>
        <v>101</v>
      </c>
      <c r="F51" s="132">
        <f t="shared" ca="1" si="168"/>
        <v>207</v>
      </c>
      <c r="G51" s="132">
        <f t="shared" ca="1" si="169"/>
        <v>201</v>
      </c>
      <c r="H51" s="132">
        <f t="shared" ca="1" si="170"/>
        <v>154</v>
      </c>
      <c r="I51" s="132">
        <f t="shared" ca="1" si="171"/>
        <v>170</v>
      </c>
      <c r="J51" s="132">
        <f t="shared" ca="1" si="172"/>
        <v>123</v>
      </c>
      <c r="K51" s="132">
        <f t="shared" ca="1" si="173"/>
        <v>0.1</v>
      </c>
      <c r="L51" s="132">
        <f t="shared" ca="1" si="174"/>
        <v>120</v>
      </c>
      <c r="M51" s="132">
        <f t="shared" ca="1" si="175"/>
        <v>134</v>
      </c>
      <c r="N51" s="132">
        <f t="shared" ca="1" si="176"/>
        <v>127</v>
      </c>
      <c r="O51" s="132">
        <f t="shared" ca="1" si="177"/>
        <v>138</v>
      </c>
      <c r="P51" s="132">
        <f t="shared" ca="1" si="178"/>
        <v>89</v>
      </c>
      <c r="Q51" s="132">
        <f t="shared" ca="1" si="179"/>
        <v>174</v>
      </c>
      <c r="R51" s="132">
        <f t="shared" ca="1" si="180"/>
        <v>75</v>
      </c>
      <c r="S51" s="132">
        <f t="shared" ca="1" si="181"/>
        <v>106</v>
      </c>
      <c r="T51" s="132">
        <f t="shared" ca="1" si="182"/>
        <v>82</v>
      </c>
      <c r="U51" s="132">
        <f t="shared" ca="1" si="183"/>
        <v>124</v>
      </c>
      <c r="V51" s="132">
        <f t="shared" ca="1" si="184"/>
        <v>160</v>
      </c>
      <c r="W51" s="132">
        <f t="shared" ca="1" si="185"/>
        <v>192</v>
      </c>
      <c r="X51" s="166">
        <f t="shared" ref="X51:X60" ca="1" si="187">VLOOKUP($B51,$B$3:$Y$18,23,0)</f>
        <v>178</v>
      </c>
      <c r="Y51" s="123"/>
      <c r="Z51" s="187">
        <f t="shared" ca="1" si="186"/>
        <v>2974.1</v>
      </c>
      <c r="AA51" s="123"/>
      <c r="AB51" s="139">
        <f ca="1">Z51/Score!$AG$18</f>
        <v>0.8326408564345783</v>
      </c>
      <c r="AC51" s="116">
        <f ca="1">RANK((SUM($C51:C51)),C$22:C$32,0)</f>
        <v>1</v>
      </c>
      <c r="AD51" s="116">
        <f ca="1">RANK((SUM($C51:D51)),D$22:D$32,0)</f>
        <v>1</v>
      </c>
      <c r="AE51" s="116">
        <f ca="1">RANK((SUM($C51:E51)),E$22:E$32,0)</f>
        <v>1</v>
      </c>
      <c r="AF51" s="116">
        <f ca="1">RANK((SUM($C51:F51)),F$22:F$32,0)</f>
        <v>1</v>
      </c>
      <c r="AG51" s="116">
        <f ca="1">RANK((SUM($C51:G51)),G$22:G$32,0)</f>
        <v>1</v>
      </c>
      <c r="AH51" s="116">
        <f ca="1">RANK((SUM($C51:H51)),H$22:H$32,0)</f>
        <v>2</v>
      </c>
      <c r="AI51" s="116">
        <f ca="1">RANK((SUM($C51:I51)),I$22:I$32,0)</f>
        <v>2</v>
      </c>
      <c r="AJ51" s="116">
        <f ca="1">RANK((SUM($C51:J51)),J$22:J$32,0)</f>
        <v>2</v>
      </c>
      <c r="AK51" s="116">
        <f ca="1">RANK((SUM($C51:K51)),K$22:K$32,0)</f>
        <v>2</v>
      </c>
      <c r="AL51" s="116">
        <f ca="1">RANK((SUM($C51:L51)),L$22:L$32,0)</f>
        <v>2</v>
      </c>
      <c r="AM51" s="116">
        <f ca="1">RANK((SUM($C51:M51)),M$22:M$32,0)</f>
        <v>1</v>
      </c>
      <c r="AN51" s="116">
        <f ca="1">RANK((SUM($C51:N51)),N$22:N$32,0)</f>
        <v>1</v>
      </c>
      <c r="AO51" s="116">
        <f ca="1">RANK((SUM($C51:O51)),O$22:O$32,0)</f>
        <v>1</v>
      </c>
      <c r="AP51" s="116">
        <f ca="1">RANK((SUM($C51:P51)),P$22:P$32,0)</f>
        <v>1</v>
      </c>
      <c r="AQ51" s="116">
        <f ca="1">RANK((SUM($C51:Q51)),Q$22:Q$32,0)</f>
        <v>1</v>
      </c>
      <c r="AR51" s="116">
        <f ca="1">RANK((SUM($C51:R51)),R$22:R$32,0)</f>
        <v>1</v>
      </c>
      <c r="AS51" s="116">
        <f ca="1">RANK((SUM($C51:S51)),S$22:S$32,0)</f>
        <v>1</v>
      </c>
      <c r="AT51" s="116">
        <f ca="1">RANK((SUM($C51:T51)),T$22:T$32,0)</f>
        <v>1</v>
      </c>
      <c r="AU51" s="116">
        <f ca="1">RANK((SUM($C51:U51)),U$22:U$32,0)</f>
        <v>1</v>
      </c>
      <c r="AV51" s="116">
        <f ca="1">RANK((SUM($C51:V51)),V$22:V$32,0)</f>
        <v>1</v>
      </c>
      <c r="AW51" s="116">
        <f ca="1">RANK((SUM($C51:W51)),W$22:W$32,0)</f>
        <v>2</v>
      </c>
      <c r="AX51" s="116">
        <f ca="1">RANK((SUM($C51:X51)),X$22:X$32,0)</f>
        <v>2</v>
      </c>
    </row>
    <row r="52" spans="1:57" ht="12" customHeight="1">
      <c r="A52" s="120">
        <v>3</v>
      </c>
      <c r="B52" s="138" t="str">
        <f t="shared" ca="1" si="164"/>
        <v>TinTopTeam</v>
      </c>
      <c r="C52" s="132">
        <f t="shared" ca="1" si="165"/>
        <v>21</v>
      </c>
      <c r="D52" s="132">
        <f t="shared" ca="1" si="166"/>
        <v>85</v>
      </c>
      <c r="E52" s="132">
        <f t="shared" ca="1" si="167"/>
        <v>128</v>
      </c>
      <c r="F52" s="132">
        <f t="shared" ca="1" si="168"/>
        <v>168</v>
      </c>
      <c r="G52" s="132">
        <f t="shared" ca="1" si="169"/>
        <v>173</v>
      </c>
      <c r="H52" s="132">
        <f t="shared" ca="1" si="170"/>
        <v>175</v>
      </c>
      <c r="I52" s="132">
        <f t="shared" ca="1" si="171"/>
        <v>154</v>
      </c>
      <c r="J52" s="132">
        <f t="shared" ca="1" si="172"/>
        <v>149</v>
      </c>
      <c r="K52" s="132">
        <f t="shared" ca="1" si="173"/>
        <v>0.1</v>
      </c>
      <c r="L52" s="132">
        <f t="shared" ca="1" si="174"/>
        <v>96</v>
      </c>
      <c r="M52" s="132">
        <f t="shared" ca="1" si="175"/>
        <v>142</v>
      </c>
      <c r="N52" s="132">
        <f t="shared" ca="1" si="176"/>
        <v>201</v>
      </c>
      <c r="O52" s="132">
        <f t="shared" ca="1" si="177"/>
        <v>138</v>
      </c>
      <c r="P52" s="132">
        <f t="shared" ca="1" si="178"/>
        <v>112</v>
      </c>
      <c r="Q52" s="132">
        <f t="shared" ca="1" si="179"/>
        <v>165</v>
      </c>
      <c r="R52" s="132">
        <f t="shared" ca="1" si="180"/>
        <v>71</v>
      </c>
      <c r="S52" s="132">
        <f t="shared" ca="1" si="181"/>
        <v>93</v>
      </c>
      <c r="T52" s="132">
        <f t="shared" ca="1" si="182"/>
        <v>149</v>
      </c>
      <c r="U52" s="132">
        <f t="shared" ca="1" si="183"/>
        <v>137</v>
      </c>
      <c r="V52" s="132">
        <f t="shared" ca="1" si="184"/>
        <v>137</v>
      </c>
      <c r="W52" s="132">
        <f t="shared" ca="1" si="185"/>
        <v>182</v>
      </c>
      <c r="X52" s="166">
        <f t="shared" ca="1" si="187"/>
        <v>196</v>
      </c>
      <c r="Y52" s="123"/>
      <c r="Z52" s="187">
        <f ca="1">SUM(C52:Y52)</f>
        <v>2872.1</v>
      </c>
      <c r="AA52" s="123"/>
      <c r="AB52" s="139">
        <f ca="1">Z52/Score!$AG$18</f>
        <v>0.80408453103989519</v>
      </c>
      <c r="AC52" s="116">
        <f ca="1">RANK((SUM($C52:C52)),C$22:C$32,0)</f>
        <v>10</v>
      </c>
      <c r="AD52" s="116">
        <f ca="1">RANK((SUM($C52:D52)),D$22:D$32,0)</f>
        <v>10</v>
      </c>
      <c r="AE52" s="116">
        <f ca="1">RANK((SUM($C52:E52)),E$22:E$32,0)</f>
        <v>9</v>
      </c>
      <c r="AF52" s="116">
        <f ca="1">RANK((SUM($C52:F52)),F$22:F$32,0)</f>
        <v>6</v>
      </c>
      <c r="AG52" s="116">
        <f ca="1">RANK((SUM($C52:G52)),G$22:G$32,0)</f>
        <v>6</v>
      </c>
      <c r="AH52" s="116">
        <f ca="1">RANK((SUM($C52:H52)),H$22:H$32,0)</f>
        <v>5</v>
      </c>
      <c r="AI52" s="116">
        <f ca="1">RANK((SUM($C52:I52)),I$22:I$32,0)</f>
        <v>5</v>
      </c>
      <c r="AJ52" s="116">
        <f ca="1">RANK((SUM($C52:J52)),J$22:J$32,0)</f>
        <v>5</v>
      </c>
      <c r="AK52" s="116">
        <f ca="1">RANK((SUM($C52:K52)),K$22:K$32,0)</f>
        <v>5</v>
      </c>
      <c r="AL52" s="116">
        <f ca="1">RANK((SUM($C52:L52)),L$22:L$32,0)</f>
        <v>5</v>
      </c>
      <c r="AM52" s="116">
        <f ca="1">RANK((SUM($C52:M52)),M$22:M$32,0)</f>
        <v>5</v>
      </c>
      <c r="AN52" s="116">
        <f ca="1">RANK((SUM($C52:N52)),N$22:N$32,0)</f>
        <v>5</v>
      </c>
      <c r="AO52" s="116">
        <f ca="1">RANK((SUM($C52:O52)),O$22:O$32,0)</f>
        <v>5</v>
      </c>
      <c r="AP52" s="116">
        <f ca="1">RANK((SUM($C52:P52)),P$22:P$32,0)</f>
        <v>5</v>
      </c>
      <c r="AQ52" s="116">
        <f ca="1">RANK((SUM($C52:Q52)),Q$22:Q$32,0)</f>
        <v>5</v>
      </c>
      <c r="AR52" s="116">
        <f ca="1">RANK((SUM($C52:R52)),R$22:R$32,0)</f>
        <v>5</v>
      </c>
      <c r="AS52" s="116">
        <f ca="1">RANK((SUM($C52:S52)),S$22:S$32,0)</f>
        <v>4</v>
      </c>
      <c r="AT52" s="116">
        <f ca="1">RANK((SUM($C52:T52)),T$22:T$32,0)</f>
        <v>4</v>
      </c>
      <c r="AU52" s="116">
        <f ca="1">RANK((SUM($C52:U52)),U$22:U$32,0)</f>
        <v>3</v>
      </c>
      <c r="AV52" s="116">
        <f ca="1">RANK((SUM($C52:V52)),V$22:V$32,0)</f>
        <v>3</v>
      </c>
      <c r="AW52" s="116">
        <f ca="1">RANK((SUM($C52:W52)),W$22:W$32,0)</f>
        <v>3</v>
      </c>
      <c r="AX52" s="116">
        <f ca="1">RANK((SUM($C52:X52)),X$22:X$32,0)</f>
        <v>3</v>
      </c>
    </row>
    <row r="53" spans="1:57" ht="12" customHeight="1">
      <c r="A53" s="137">
        <v>4</v>
      </c>
      <c r="B53" s="138" t="str">
        <f t="shared" ca="1" si="164"/>
        <v>De Lange Man</v>
      </c>
      <c r="C53" s="132">
        <f t="shared" ca="1" si="165"/>
        <v>71</v>
      </c>
      <c r="D53" s="132">
        <f t="shared" ca="1" si="166"/>
        <v>126</v>
      </c>
      <c r="E53" s="132">
        <f t="shared" ca="1" si="167"/>
        <v>134</v>
      </c>
      <c r="F53" s="132">
        <f t="shared" ca="1" si="168"/>
        <v>197</v>
      </c>
      <c r="G53" s="132">
        <f t="shared" ca="1" si="169"/>
        <v>211</v>
      </c>
      <c r="H53" s="132">
        <f t="shared" ca="1" si="170"/>
        <v>167</v>
      </c>
      <c r="I53" s="132">
        <f t="shared" ca="1" si="171"/>
        <v>149</v>
      </c>
      <c r="J53" s="132">
        <f t="shared" ca="1" si="172"/>
        <v>125</v>
      </c>
      <c r="K53" s="132">
        <f t="shared" ca="1" si="173"/>
        <v>0.1</v>
      </c>
      <c r="L53" s="132">
        <f t="shared" ca="1" si="174"/>
        <v>113</v>
      </c>
      <c r="M53" s="132">
        <f t="shared" ca="1" si="175"/>
        <v>84</v>
      </c>
      <c r="N53" s="132">
        <f t="shared" ca="1" si="176"/>
        <v>147</v>
      </c>
      <c r="O53" s="132">
        <f t="shared" ca="1" si="177"/>
        <v>144</v>
      </c>
      <c r="P53" s="132">
        <f t="shared" ca="1" si="178"/>
        <v>84</v>
      </c>
      <c r="Q53" s="132">
        <f t="shared" ca="1" si="179"/>
        <v>193</v>
      </c>
      <c r="R53" s="132">
        <f t="shared" ca="1" si="180"/>
        <v>73</v>
      </c>
      <c r="S53" s="132">
        <f t="shared" ca="1" si="181"/>
        <v>29</v>
      </c>
      <c r="T53" s="132">
        <f t="shared" ca="1" si="182"/>
        <v>128</v>
      </c>
      <c r="U53" s="132">
        <f t="shared" ca="1" si="183"/>
        <v>111</v>
      </c>
      <c r="V53" s="132">
        <f t="shared" ca="1" si="184"/>
        <v>104</v>
      </c>
      <c r="W53" s="132">
        <f t="shared" ca="1" si="185"/>
        <v>170</v>
      </c>
      <c r="X53" s="166">
        <f t="shared" ca="1" si="187"/>
        <v>186</v>
      </c>
      <c r="Y53" s="123"/>
      <c r="Z53" s="187">
        <f ca="1">SUM(C53:Y53)</f>
        <v>2746.1</v>
      </c>
      <c r="AA53" s="123"/>
      <c r="AB53" s="139">
        <f ca="1">Z53/Score!$AG$18</f>
        <v>0.76880907025822787</v>
      </c>
      <c r="AC53" s="116">
        <f ca="1">RANK((SUM($C53:C53)),C$22:C$32,0)</f>
        <v>3</v>
      </c>
      <c r="AD53" s="116">
        <f ca="1">RANK((SUM($C53:D53)),D$22:D$32,0)</f>
        <v>4</v>
      </c>
      <c r="AE53" s="116">
        <f ca="1">RANK((SUM($C53:E53)),E$22:E$32,0)</f>
        <v>4</v>
      </c>
      <c r="AF53" s="116">
        <f ca="1">RANK((SUM($C53:F53)),F$22:F$32,0)</f>
        <v>3</v>
      </c>
      <c r="AG53" s="116">
        <f ca="1">RANK((SUM($C53:G53)),G$22:G$32,0)</f>
        <v>3</v>
      </c>
      <c r="AH53" s="116">
        <f ca="1">RANK((SUM($C53:H53)),H$22:H$32,0)</f>
        <v>3</v>
      </c>
      <c r="AI53" s="116">
        <f ca="1">RANK((SUM($C53:I53)),I$22:I$32,0)</f>
        <v>4</v>
      </c>
      <c r="AJ53" s="116">
        <f ca="1">RANK((SUM($C53:J53)),J$22:J$32,0)</f>
        <v>4</v>
      </c>
      <c r="AK53" s="116">
        <f ca="1">RANK((SUM($C53:K53)),K$22:K$32,0)</f>
        <v>4</v>
      </c>
      <c r="AL53" s="116">
        <f ca="1">RANK((SUM($C53:L53)),L$22:L$32,0)</f>
        <v>4</v>
      </c>
      <c r="AM53" s="116">
        <f ca="1">RANK((SUM($C53:M53)),M$22:M$32,0)</f>
        <v>4</v>
      </c>
      <c r="AN53" s="116">
        <f ca="1">RANK((SUM($C53:N53)),N$22:N$32,0)</f>
        <v>4</v>
      </c>
      <c r="AO53" s="116">
        <f ca="1">RANK((SUM($C53:O53)),O$22:O$32,0)</f>
        <v>4</v>
      </c>
      <c r="AP53" s="116">
        <f ca="1">RANK((SUM($C53:P53)),P$22:P$32,0)</f>
        <v>4</v>
      </c>
      <c r="AQ53" s="116">
        <f ca="1">RANK((SUM($C53:Q53)),Q$22:Q$32,0)</f>
        <v>4</v>
      </c>
      <c r="AR53" s="116">
        <f ca="1">RANK((SUM($C53:R53)),R$22:R$32,0)</f>
        <v>4</v>
      </c>
      <c r="AS53" s="116">
        <f ca="1">RANK((SUM($C53:S53)),S$22:S$32,0)</f>
        <v>5</v>
      </c>
      <c r="AT53" s="116">
        <f ca="1">RANK((SUM($C53:T53)),T$22:T$32,0)</f>
        <v>5</v>
      </c>
      <c r="AU53" s="116">
        <f ca="1">RANK((SUM($C53:U53)),U$22:U$32,0)</f>
        <v>5</v>
      </c>
      <c r="AV53" s="116">
        <f ca="1">RANK((SUM($C53:V53)),V$22:V$32,0)</f>
        <v>5</v>
      </c>
      <c r="AW53" s="116">
        <f ca="1">RANK((SUM($C53:W53)),W$22:W$32,0)</f>
        <v>5</v>
      </c>
      <c r="AX53" s="116">
        <f ca="1">RANK((SUM($C53:X53)),X$22:X$32,0)</f>
        <v>4</v>
      </c>
    </row>
    <row r="54" spans="1:57" ht="12" customHeight="1">
      <c r="A54" s="137">
        <v>5</v>
      </c>
      <c r="B54" s="138" t="str">
        <f t="shared" ca="1" si="164"/>
        <v>El Gran</v>
      </c>
      <c r="C54" s="132">
        <f t="shared" ca="1" si="165"/>
        <v>73</v>
      </c>
      <c r="D54" s="132">
        <f t="shared" ca="1" si="166"/>
        <v>190</v>
      </c>
      <c r="E54" s="132">
        <f t="shared" ca="1" si="167"/>
        <v>145</v>
      </c>
      <c r="F54" s="132">
        <f t="shared" ca="1" si="168"/>
        <v>209</v>
      </c>
      <c r="G54" s="132">
        <f t="shared" ca="1" si="169"/>
        <v>205</v>
      </c>
      <c r="H54" s="132">
        <f t="shared" ca="1" si="170"/>
        <v>165</v>
      </c>
      <c r="I54" s="132">
        <f t="shared" ca="1" si="171"/>
        <v>183</v>
      </c>
      <c r="J54" s="132">
        <f t="shared" ca="1" si="172"/>
        <v>137</v>
      </c>
      <c r="K54" s="132">
        <f t="shared" ca="1" si="173"/>
        <v>0.1</v>
      </c>
      <c r="L54" s="132">
        <f t="shared" ca="1" si="174"/>
        <v>91</v>
      </c>
      <c r="M54" s="132">
        <f t="shared" ca="1" si="175"/>
        <v>50</v>
      </c>
      <c r="N54" s="132">
        <f t="shared" ca="1" si="176"/>
        <v>129</v>
      </c>
      <c r="O54" s="132">
        <f t="shared" ca="1" si="177"/>
        <v>142</v>
      </c>
      <c r="P54" s="132">
        <f t="shared" ca="1" si="178"/>
        <v>157</v>
      </c>
      <c r="Q54" s="132">
        <f t="shared" ca="1" si="179"/>
        <v>144</v>
      </c>
      <c r="R54" s="132">
        <f t="shared" ca="1" si="180"/>
        <v>59</v>
      </c>
      <c r="S54" s="132">
        <f t="shared" ca="1" si="181"/>
        <v>69</v>
      </c>
      <c r="T54" s="132">
        <f t="shared" ca="1" si="182"/>
        <v>89</v>
      </c>
      <c r="U54" s="132">
        <f t="shared" ca="1" si="183"/>
        <v>96</v>
      </c>
      <c r="V54" s="132">
        <f t="shared" ca="1" si="184"/>
        <v>151</v>
      </c>
      <c r="W54" s="132">
        <f t="shared" ca="1" si="185"/>
        <v>141</v>
      </c>
      <c r="X54" s="166">
        <f t="shared" ca="1" si="187"/>
        <v>120</v>
      </c>
      <c r="Y54" s="123"/>
      <c r="Z54" s="187">
        <f t="shared" ca="1" si="186"/>
        <v>2745.1</v>
      </c>
      <c r="AA54" s="123"/>
      <c r="AB54" s="139">
        <f ca="1">Z54/Score!$AG$18</f>
        <v>0.76852910628377014</v>
      </c>
      <c r="AC54" s="116">
        <f ca="1">RANK((SUM($C54:C54)),C$22:C$32,0)</f>
        <v>2</v>
      </c>
      <c r="AD54" s="116">
        <f ca="1">RANK((SUM($C54:D54)),D$22:D$32,0)</f>
        <v>2</v>
      </c>
      <c r="AE54" s="116">
        <f ca="1">RANK((SUM($C54:E54)),E$22:E$32,0)</f>
        <v>2</v>
      </c>
      <c r="AF54" s="116">
        <f ca="1">RANK((SUM($C54:F54)),F$22:F$32,0)</f>
        <v>2</v>
      </c>
      <c r="AG54" s="116">
        <f ca="1">RANK((SUM($C54:G54)),G$22:G$32,0)</f>
        <v>2</v>
      </c>
      <c r="AH54" s="116">
        <f ca="1">RANK((SUM($C54:H54)),H$22:H$32,0)</f>
        <v>1</v>
      </c>
      <c r="AI54" s="116">
        <f ca="1">RANK((SUM($C54:I54)),I$22:I$32,0)</f>
        <v>1</v>
      </c>
      <c r="AJ54" s="116">
        <f ca="1">RANK((SUM($C54:J54)),J$22:J$32,0)</f>
        <v>1</v>
      </c>
      <c r="AK54" s="116">
        <f ca="1">RANK((SUM($C54:K54)),K$22:K$32,0)</f>
        <v>1</v>
      </c>
      <c r="AL54" s="116">
        <f ca="1">RANK((SUM($C54:L54)),L$22:L$32,0)</f>
        <v>1</v>
      </c>
      <c r="AM54" s="116">
        <f ca="1">RANK((SUM($C54:M54)),M$22:M$32,0)</f>
        <v>3</v>
      </c>
      <c r="AN54" s="116">
        <f ca="1">RANK((SUM($C54:N54)),N$22:N$32,0)</f>
        <v>3</v>
      </c>
      <c r="AO54" s="116">
        <f ca="1">RANK((SUM($C54:O54)),O$22:O$32,0)</f>
        <v>3</v>
      </c>
      <c r="AP54" s="116">
        <f ca="1">RANK((SUM($C54:P54)),P$22:P$32,0)</f>
        <v>2</v>
      </c>
      <c r="AQ54" s="116">
        <f ca="1">RANK((SUM($C54:Q54)),Q$22:Q$32,0)</f>
        <v>3</v>
      </c>
      <c r="AR54" s="116">
        <f ca="1">RANK((SUM($C54:R54)),R$22:R$32,0)</f>
        <v>3</v>
      </c>
      <c r="AS54" s="116">
        <f ca="1">RANK((SUM($C54:S54)),S$22:S$32,0)</f>
        <v>3</v>
      </c>
      <c r="AT54" s="116">
        <f ca="1">RANK((SUM($C54:T54)),T$22:T$32,0)</f>
        <v>3</v>
      </c>
      <c r="AU54" s="116">
        <f ca="1">RANK((SUM($C54:U54)),U$22:U$32,0)</f>
        <v>4</v>
      </c>
      <c r="AV54" s="116">
        <f ca="1">RANK((SUM($C54:V54)),V$22:V$32,0)</f>
        <v>4</v>
      </c>
      <c r="AW54" s="116">
        <f ca="1">RANK((SUM($C54:W54)),W$22:W$32,0)</f>
        <v>4</v>
      </c>
      <c r="AX54" s="116">
        <f ca="1">RANK((SUM($C54:X54)),X$22:X$32,0)</f>
        <v>5</v>
      </c>
    </row>
    <row r="55" spans="1:57" ht="12" customHeight="1">
      <c r="A55" s="137">
        <v>6</v>
      </c>
      <c r="B55" s="138" t="str">
        <f t="shared" ca="1" si="164"/>
        <v>Am Selfkant</v>
      </c>
      <c r="C55" s="132">
        <f t="shared" ca="1" si="165"/>
        <v>21</v>
      </c>
      <c r="D55" s="132">
        <f t="shared" ca="1" si="166"/>
        <v>101</v>
      </c>
      <c r="E55" s="132">
        <f t="shared" ca="1" si="167"/>
        <v>126</v>
      </c>
      <c r="F55" s="132">
        <f t="shared" ca="1" si="168"/>
        <v>130</v>
      </c>
      <c r="G55" s="132">
        <f t="shared" ca="1" si="169"/>
        <v>133</v>
      </c>
      <c r="H55" s="132">
        <f t="shared" ca="1" si="170"/>
        <v>129</v>
      </c>
      <c r="I55" s="132">
        <f t="shared" ca="1" si="171"/>
        <v>149</v>
      </c>
      <c r="J55" s="132">
        <f t="shared" ca="1" si="172"/>
        <v>149</v>
      </c>
      <c r="K55" s="132">
        <f t="shared" ca="1" si="173"/>
        <v>0.1</v>
      </c>
      <c r="L55" s="132">
        <f t="shared" ca="1" si="174"/>
        <v>95</v>
      </c>
      <c r="M55" s="132">
        <f t="shared" ca="1" si="175"/>
        <v>113</v>
      </c>
      <c r="N55" s="132">
        <f t="shared" ca="1" si="176"/>
        <v>147</v>
      </c>
      <c r="O55" s="132">
        <f t="shared" ca="1" si="177"/>
        <v>144</v>
      </c>
      <c r="P55" s="132">
        <f t="shared" ca="1" si="178"/>
        <v>108</v>
      </c>
      <c r="Q55" s="132">
        <f t="shared" ca="1" si="179"/>
        <v>128</v>
      </c>
      <c r="R55" s="132">
        <f t="shared" ca="1" si="180"/>
        <v>61</v>
      </c>
      <c r="S55" s="132">
        <f t="shared" ca="1" si="181"/>
        <v>90</v>
      </c>
      <c r="T55" s="132">
        <f t="shared" ca="1" si="182"/>
        <v>139</v>
      </c>
      <c r="U55" s="132">
        <f t="shared" ca="1" si="183"/>
        <v>135</v>
      </c>
      <c r="V55" s="132">
        <f t="shared" ca="1" si="184"/>
        <v>144</v>
      </c>
      <c r="W55" s="132">
        <f t="shared" ca="1" si="185"/>
        <v>127</v>
      </c>
      <c r="X55" s="166">
        <f t="shared" ca="1" si="187"/>
        <v>219</v>
      </c>
      <c r="Y55" s="123"/>
      <c r="Z55" s="187">
        <f t="shared" ca="1" si="186"/>
        <v>2588.1</v>
      </c>
      <c r="AA55" s="123"/>
      <c r="AB55" s="139">
        <f ca="1">Z55/Score!$AG$18</f>
        <v>0.72457476229391482</v>
      </c>
      <c r="AC55" s="116">
        <f ca="1">RANK((SUM($C55:C55)),C$22:C$32,0)</f>
        <v>10</v>
      </c>
      <c r="AD55" s="116">
        <f ca="1">RANK((SUM($C55:D55)),D$22:D$32,0)</f>
        <v>9</v>
      </c>
      <c r="AE55" s="116">
        <f ca="1">RANK((SUM($C55:E55)),E$22:E$32,0)</f>
        <v>6</v>
      </c>
      <c r="AF55" s="116">
        <f ca="1">RANK((SUM($C55:F55)),F$22:F$32,0)</f>
        <v>9</v>
      </c>
      <c r="AG55" s="116">
        <f ca="1">RANK((SUM($C55:G55)),G$22:G$32,0)</f>
        <v>9</v>
      </c>
      <c r="AH55" s="116">
        <f ca="1">RANK((SUM($C55:H55)),H$22:H$32,0)</f>
        <v>9</v>
      </c>
      <c r="AI55" s="116">
        <f ca="1">RANK((SUM($C55:I55)),I$22:I$32,0)</f>
        <v>9</v>
      </c>
      <c r="AJ55" s="116">
        <f ca="1">RANK((SUM($C55:J55)),J$22:J$32,0)</f>
        <v>8</v>
      </c>
      <c r="AK55" s="116">
        <f ca="1">RANK((SUM($C55:K55)),K$22:K$32,0)</f>
        <v>8</v>
      </c>
      <c r="AL55" s="116">
        <f ca="1">RANK((SUM($C55:L55)),L$22:L$32,0)</f>
        <v>9</v>
      </c>
      <c r="AM55" s="116">
        <f ca="1">RANK((SUM($C55:M55)),M$22:M$32,0)</f>
        <v>7</v>
      </c>
      <c r="AN55" s="116">
        <f ca="1">RANK((SUM($C55:N55)),N$22:N$32,0)</f>
        <v>8</v>
      </c>
      <c r="AO55" s="116">
        <f ca="1">RANK((SUM($C55:O55)),O$22:O$32,0)</f>
        <v>7</v>
      </c>
      <c r="AP55" s="116">
        <f ca="1">RANK((SUM($C55:P55)),P$22:P$32,0)</f>
        <v>8</v>
      </c>
      <c r="AQ55" s="116">
        <f ca="1">RANK((SUM($C55:Q55)),Q$22:Q$32,0)</f>
        <v>8</v>
      </c>
      <c r="AR55" s="116">
        <f ca="1">RANK((SUM($C55:R55)),R$22:R$32,0)</f>
        <v>8</v>
      </c>
      <c r="AS55" s="116">
        <f ca="1">RANK((SUM($C55:S55)),S$22:S$32,0)</f>
        <v>8</v>
      </c>
      <c r="AT55" s="116">
        <f ca="1">RANK((SUM($C55:T55)),T$22:T$32,0)</f>
        <v>7</v>
      </c>
      <c r="AU55" s="116">
        <f ca="1">RANK((SUM($C55:U55)),U$22:U$32,0)</f>
        <v>7</v>
      </c>
      <c r="AV55" s="116">
        <f ca="1">RANK((SUM($C55:V55)),V$22:V$32,0)</f>
        <v>6</v>
      </c>
      <c r="AW55" s="116">
        <f ca="1">RANK((SUM($C55:W55)),W$22:W$32,0)</f>
        <v>6</v>
      </c>
      <c r="AX55" s="116">
        <f ca="1">RANK((SUM($C55:X55)),X$22:X$32,0)</f>
        <v>6</v>
      </c>
    </row>
    <row r="56" spans="1:57" ht="12" customHeight="1">
      <c r="A56" s="137">
        <v>7</v>
      </c>
      <c r="B56" s="138" t="str">
        <f t="shared" ca="1" si="164"/>
        <v>wadaf*ckers</v>
      </c>
      <c r="C56" s="132">
        <f t="shared" ca="1" si="165"/>
        <v>52</v>
      </c>
      <c r="D56" s="132">
        <f t="shared" ca="1" si="166"/>
        <v>85</v>
      </c>
      <c r="E56" s="132">
        <f t="shared" ca="1" si="167"/>
        <v>110</v>
      </c>
      <c r="F56" s="132">
        <f t="shared" ca="1" si="168"/>
        <v>136</v>
      </c>
      <c r="G56" s="132">
        <f t="shared" ca="1" si="169"/>
        <v>165</v>
      </c>
      <c r="H56" s="132">
        <f t="shared" ca="1" si="170"/>
        <v>145</v>
      </c>
      <c r="I56" s="132">
        <f t="shared" ca="1" si="171"/>
        <v>189</v>
      </c>
      <c r="J56" s="132">
        <f t="shared" ca="1" si="172"/>
        <v>129</v>
      </c>
      <c r="K56" s="132">
        <f t="shared" ca="1" si="173"/>
        <v>0.1</v>
      </c>
      <c r="L56" s="132">
        <f t="shared" ca="1" si="174"/>
        <v>73</v>
      </c>
      <c r="M56" s="132">
        <f t="shared" ca="1" si="175"/>
        <v>83</v>
      </c>
      <c r="N56" s="132">
        <f t="shared" ca="1" si="176"/>
        <v>144</v>
      </c>
      <c r="O56" s="132">
        <f t="shared" ca="1" si="177"/>
        <v>134</v>
      </c>
      <c r="P56" s="132">
        <f t="shared" ca="1" si="178"/>
        <v>109</v>
      </c>
      <c r="Q56" s="132">
        <f t="shared" ca="1" si="179"/>
        <v>146</v>
      </c>
      <c r="R56" s="132">
        <f t="shared" ca="1" si="180"/>
        <v>62</v>
      </c>
      <c r="S56" s="132">
        <f t="shared" ca="1" si="181"/>
        <v>78</v>
      </c>
      <c r="T56" s="132">
        <f t="shared" ca="1" si="182"/>
        <v>95</v>
      </c>
      <c r="U56" s="132">
        <f t="shared" ca="1" si="183"/>
        <v>130</v>
      </c>
      <c r="V56" s="132">
        <f t="shared" ca="1" si="184"/>
        <v>132</v>
      </c>
      <c r="W56" s="132">
        <f t="shared" ca="1" si="185"/>
        <v>159</v>
      </c>
      <c r="X56" s="166">
        <f t="shared" ca="1" si="187"/>
        <v>201</v>
      </c>
      <c r="Y56" s="123"/>
      <c r="Z56" s="187">
        <f ca="1">SUM(C56:Y56)</f>
        <v>2557.1</v>
      </c>
      <c r="AA56" s="123"/>
      <c r="AB56" s="139">
        <f ca="1">Z56/Score!$AG$18</f>
        <v>0.71589587908572683</v>
      </c>
      <c r="AC56" s="116">
        <f ca="1">RANK((SUM($C56:C56)),C$22:C$32,0)</f>
        <v>6</v>
      </c>
      <c r="AD56" s="116">
        <f ca="1">RANK((SUM($C56:D56)),D$22:D$32,0)</f>
        <v>6</v>
      </c>
      <c r="AE56" s="116">
        <f ca="1">RANK((SUM($C56:E56)),E$22:E$32,0)</f>
        <v>7</v>
      </c>
      <c r="AF56" s="116">
        <f ca="1">RANK((SUM($C56:F56)),F$22:F$32,0)</f>
        <v>8</v>
      </c>
      <c r="AG56" s="116">
        <f ca="1">RANK((SUM($C56:G56)),G$22:G$32,0)</f>
        <v>7</v>
      </c>
      <c r="AH56" s="116">
        <f ca="1">RANK((SUM($C56:H56)),H$22:H$32,0)</f>
        <v>7</v>
      </c>
      <c r="AI56" s="116">
        <f ca="1">RANK((SUM($C56:I56)),I$22:I$32,0)</f>
        <v>6</v>
      </c>
      <c r="AJ56" s="116">
        <f ca="1">RANK((SUM($C56:J56)),J$22:J$32,0)</f>
        <v>6</v>
      </c>
      <c r="AK56" s="116">
        <f ca="1">RANK((SUM($C56:K56)),K$22:K$32,0)</f>
        <v>6</v>
      </c>
      <c r="AL56" s="116">
        <f ca="1">RANK((SUM($C56:L56)),L$22:L$32,0)</f>
        <v>6</v>
      </c>
      <c r="AM56" s="116">
        <f ca="1">RANK((SUM($C56:M56)),M$22:M$32,0)</f>
        <v>6</v>
      </c>
      <c r="AN56" s="116">
        <f ca="1">RANK((SUM($C56:N56)),N$22:N$32,0)</f>
        <v>6</v>
      </c>
      <c r="AO56" s="116">
        <f ca="1">RANK((SUM($C56:O56)),O$22:O$32,0)</f>
        <v>6</v>
      </c>
      <c r="AP56" s="116">
        <f ca="1">RANK((SUM($C56:P56)),P$22:P$32,0)</f>
        <v>7</v>
      </c>
      <c r="AQ56" s="116">
        <f ca="1">RANK((SUM($C56:Q56)),Q$22:Q$32,0)</f>
        <v>6</v>
      </c>
      <c r="AR56" s="116">
        <f ca="1">RANK((SUM($C56:R56)),R$22:R$32,0)</f>
        <v>6</v>
      </c>
      <c r="AS56" s="116">
        <f ca="1">RANK((SUM($C56:S56)),S$22:S$32,0)</f>
        <v>7</v>
      </c>
      <c r="AT56" s="116">
        <f ca="1">RANK((SUM($C56:T56)),T$22:T$32,0)</f>
        <v>8</v>
      </c>
      <c r="AU56" s="116">
        <f ca="1">RANK((SUM($C56:U56)),U$22:U$32,0)</f>
        <v>8</v>
      </c>
      <c r="AV56" s="116">
        <f ca="1">RANK((SUM($C56:V56)),V$22:V$32,0)</f>
        <v>8</v>
      </c>
      <c r="AW56" s="116">
        <f ca="1">RANK((SUM($C56:W56)),W$22:W$32,0)</f>
        <v>8</v>
      </c>
      <c r="AX56" s="116">
        <f ca="1">RANK((SUM($C56:X56)),X$22:X$32,0)</f>
        <v>7</v>
      </c>
    </row>
    <row r="57" spans="1:57" ht="12" customHeight="1">
      <c r="A57" s="137">
        <v>8</v>
      </c>
      <c r="B57" s="138" t="str">
        <f t="shared" ca="1" si="164"/>
        <v>Freaky naar de top</v>
      </c>
      <c r="C57" s="132">
        <f t="shared" ca="1" si="165"/>
        <v>30</v>
      </c>
      <c r="D57" s="132">
        <f t="shared" ca="1" si="166"/>
        <v>101</v>
      </c>
      <c r="E57" s="132">
        <f t="shared" ca="1" si="167"/>
        <v>109</v>
      </c>
      <c r="F57" s="132">
        <f t="shared" ca="1" si="168"/>
        <v>147</v>
      </c>
      <c r="G57" s="132">
        <f t="shared" ca="1" si="169"/>
        <v>137</v>
      </c>
      <c r="H57" s="132">
        <f t="shared" ca="1" si="170"/>
        <v>142</v>
      </c>
      <c r="I57" s="132">
        <f t="shared" ca="1" si="171"/>
        <v>144</v>
      </c>
      <c r="J57" s="132">
        <f t="shared" ca="1" si="172"/>
        <v>128</v>
      </c>
      <c r="K57" s="132">
        <f t="shared" ca="1" si="173"/>
        <v>0.1</v>
      </c>
      <c r="L57" s="132">
        <f t="shared" ca="1" si="174"/>
        <v>98</v>
      </c>
      <c r="M57" s="132">
        <f t="shared" ca="1" si="175"/>
        <v>105</v>
      </c>
      <c r="N57" s="132">
        <f t="shared" ca="1" si="176"/>
        <v>160</v>
      </c>
      <c r="O57" s="132">
        <f t="shared" ca="1" si="177"/>
        <v>129</v>
      </c>
      <c r="P57" s="132">
        <f t="shared" ca="1" si="178"/>
        <v>134</v>
      </c>
      <c r="Q57" s="132">
        <f t="shared" ca="1" si="179"/>
        <v>130</v>
      </c>
      <c r="R57" s="132">
        <f t="shared" ca="1" si="180"/>
        <v>62</v>
      </c>
      <c r="S57" s="132">
        <f t="shared" ca="1" si="181"/>
        <v>116</v>
      </c>
      <c r="T57" s="132">
        <f t="shared" ca="1" si="182"/>
        <v>93</v>
      </c>
      <c r="U57" s="132">
        <f t="shared" ca="1" si="183"/>
        <v>135</v>
      </c>
      <c r="V57" s="132">
        <f t="shared" ca="1" si="184"/>
        <v>135</v>
      </c>
      <c r="W57" s="132">
        <f t="shared" ca="1" si="185"/>
        <v>126</v>
      </c>
      <c r="X57" s="166">
        <f t="shared" ca="1" si="187"/>
        <v>163</v>
      </c>
      <c r="Y57" s="123"/>
      <c r="Z57" s="187">
        <f ca="1">SUM(C57:Y57)</f>
        <v>2524.1</v>
      </c>
      <c r="AA57" s="123"/>
      <c r="AB57" s="139">
        <f ca="1">Z57/Score!$AG$18</f>
        <v>0.70665706792862348</v>
      </c>
      <c r="AC57" s="116">
        <f ca="1">RANK((SUM($C57:C57)),C$22:C$32,0)</f>
        <v>9</v>
      </c>
      <c r="AD57" s="116">
        <f ca="1">RANK((SUM($C57:D57)),D$22:D$32,0)</f>
        <v>7</v>
      </c>
      <c r="AE57" s="116">
        <f ca="1">RANK((SUM($C57:E57)),E$22:E$32,0)</f>
        <v>8</v>
      </c>
      <c r="AF57" s="116">
        <f ca="1">RANK((SUM($C57:F57)),F$22:F$32,0)</f>
        <v>7</v>
      </c>
      <c r="AG57" s="116">
        <f ca="1">RANK((SUM($C57:G57)),G$22:G$32,0)</f>
        <v>8</v>
      </c>
      <c r="AH57" s="116">
        <f ca="1">RANK((SUM($C57:H57)),H$22:H$32,0)</f>
        <v>8</v>
      </c>
      <c r="AI57" s="116">
        <f ca="1">RANK((SUM($C57:I57)),I$22:I$32,0)</f>
        <v>8</v>
      </c>
      <c r="AJ57" s="116">
        <f ca="1">RANK((SUM($C57:J57)),J$22:J$32,0)</f>
        <v>8</v>
      </c>
      <c r="AK57" s="116">
        <f ca="1">RANK((SUM($C57:K57)),K$22:K$32,0)</f>
        <v>8</v>
      </c>
      <c r="AL57" s="116">
        <f ca="1">RANK((SUM($C57:L57)),L$22:L$32,0)</f>
        <v>8</v>
      </c>
      <c r="AM57" s="116">
        <f ca="1">RANK((SUM($C57:M57)),M$22:M$32,0)</f>
        <v>9</v>
      </c>
      <c r="AN57" s="116">
        <f ca="1">RANK((SUM($C57:N57)),N$22:N$32,0)</f>
        <v>7</v>
      </c>
      <c r="AO57" s="116">
        <f ca="1">RANK((SUM($C57:O57)),O$22:O$32,0)</f>
        <v>8</v>
      </c>
      <c r="AP57" s="116">
        <f ca="1">RANK((SUM($C57:P57)),P$22:P$32,0)</f>
        <v>6</v>
      </c>
      <c r="AQ57" s="116">
        <f ca="1">RANK((SUM($C57:Q57)),Q$22:Q$32,0)</f>
        <v>7</v>
      </c>
      <c r="AR57" s="116">
        <f ca="1">RANK((SUM($C57:R57)),R$22:R$32,0)</f>
        <v>7</v>
      </c>
      <c r="AS57" s="116">
        <f ca="1">RANK((SUM($C57:S57)),S$22:S$32,0)</f>
        <v>6</v>
      </c>
      <c r="AT57" s="116">
        <f ca="1">RANK((SUM($C57:T57)),T$22:T$32,0)</f>
        <v>6</v>
      </c>
      <c r="AU57" s="116">
        <f ca="1">RANK((SUM($C57:U57)),U$22:U$32,0)</f>
        <v>6</v>
      </c>
      <c r="AV57" s="116">
        <f ca="1">RANK((SUM($C57:V57)),V$22:V$32,0)</f>
        <v>7</v>
      </c>
      <c r="AW57" s="116">
        <f ca="1">RANK((SUM($C57:W57)),W$22:W$32,0)</f>
        <v>7</v>
      </c>
      <c r="AX57" s="116">
        <f ca="1">RANK((SUM($C57:X57)),X$22:X$32,0)</f>
        <v>8</v>
      </c>
    </row>
    <row r="58" spans="1:57" ht="12" customHeight="1">
      <c r="A58" s="137">
        <v>9</v>
      </c>
      <c r="B58" s="138" t="str">
        <f t="shared" ca="1" si="164"/>
        <v>Lothars Grand Depart</v>
      </c>
      <c r="C58" s="132">
        <f t="shared" ca="1" si="165"/>
        <v>67</v>
      </c>
      <c r="D58" s="132">
        <f t="shared" ca="1" si="166"/>
        <v>59</v>
      </c>
      <c r="E58" s="132">
        <f t="shared" ca="1" si="167"/>
        <v>104</v>
      </c>
      <c r="F58" s="132">
        <f t="shared" ca="1" si="168"/>
        <v>111</v>
      </c>
      <c r="G58" s="132">
        <f t="shared" ca="1" si="169"/>
        <v>141</v>
      </c>
      <c r="H58" s="132">
        <f t="shared" ca="1" si="170"/>
        <v>121</v>
      </c>
      <c r="I58" s="132">
        <f t="shared" ca="1" si="171"/>
        <v>69</v>
      </c>
      <c r="J58" s="132">
        <f t="shared" ca="1" si="172"/>
        <v>143</v>
      </c>
      <c r="K58" s="132">
        <f t="shared" ca="1" si="173"/>
        <v>0.1</v>
      </c>
      <c r="L58" s="132">
        <f t="shared" ca="1" si="174"/>
        <v>110</v>
      </c>
      <c r="M58" s="132">
        <f t="shared" ca="1" si="175"/>
        <v>131</v>
      </c>
      <c r="N58" s="132">
        <f t="shared" ca="1" si="176"/>
        <v>145</v>
      </c>
      <c r="O58" s="132">
        <f t="shared" ca="1" si="177"/>
        <v>120</v>
      </c>
      <c r="P58" s="132">
        <f t="shared" ca="1" si="178"/>
        <v>107</v>
      </c>
      <c r="Q58" s="132">
        <f t="shared" ca="1" si="179"/>
        <v>101</v>
      </c>
      <c r="R58" s="132">
        <f t="shared" ca="1" si="180"/>
        <v>67</v>
      </c>
      <c r="S58" s="132">
        <f t="shared" ca="1" si="181"/>
        <v>102</v>
      </c>
      <c r="T58" s="132">
        <f t="shared" ca="1" si="182"/>
        <v>143</v>
      </c>
      <c r="U58" s="132">
        <f t="shared" ca="1" si="183"/>
        <v>163</v>
      </c>
      <c r="V58" s="132">
        <f t="shared" ca="1" si="184"/>
        <v>117</v>
      </c>
      <c r="W58" s="132">
        <f t="shared" ca="1" si="185"/>
        <v>101</v>
      </c>
      <c r="X58" s="334">
        <f t="shared" ca="1" si="187"/>
        <v>268</v>
      </c>
      <c r="Y58" s="123"/>
      <c r="Z58" s="187">
        <f t="shared" ca="1" si="186"/>
        <v>2490.1</v>
      </c>
      <c r="AA58" s="123"/>
      <c r="AB58" s="139">
        <f ca="1">Z58/Score!$AG$18</f>
        <v>0.69713829279706241</v>
      </c>
      <c r="AC58" s="116">
        <f ca="1">RANK((SUM($C58:C58)),C$22:C$32,0)</f>
        <v>5</v>
      </c>
      <c r="AD58" s="116">
        <f ca="1">RANK((SUM($C58:D58)),D$22:D$32,0)</f>
        <v>8</v>
      </c>
      <c r="AE58" s="116">
        <f ca="1">RANK((SUM($C58:E58)),E$22:E$32,0)</f>
        <v>10</v>
      </c>
      <c r="AF58" s="116">
        <f ca="1">RANK((SUM($C58:F58)),F$22:F$32,0)</f>
        <v>10</v>
      </c>
      <c r="AG58" s="116">
        <f ca="1">RANK((SUM($C58:G58)),G$22:G$32,0)</f>
        <v>10</v>
      </c>
      <c r="AH58" s="116">
        <f ca="1">RANK((SUM($C58:H58)),H$22:H$32,0)</f>
        <v>10</v>
      </c>
      <c r="AI58" s="116">
        <f ca="1">RANK((SUM($C58:I58)),I$22:I$32,0)</f>
        <v>10</v>
      </c>
      <c r="AJ58" s="116">
        <f ca="1">RANK((SUM($C58:J58)),J$22:J$32,0)</f>
        <v>10</v>
      </c>
      <c r="AK58" s="116">
        <f ca="1">RANK((SUM($C58:K58)),K$22:K$32,0)</f>
        <v>10</v>
      </c>
      <c r="AL58" s="116">
        <f ca="1">RANK((SUM($C58:L58)),L$22:L$32,0)</f>
        <v>10</v>
      </c>
      <c r="AM58" s="116">
        <f ca="1">RANK((SUM($C58:M58)),M$22:M$32,0)</f>
        <v>10</v>
      </c>
      <c r="AN58" s="116">
        <f ca="1">RANK((SUM($C58:N58)),N$22:N$32,0)</f>
        <v>10</v>
      </c>
      <c r="AO58" s="116">
        <f ca="1">RANK((SUM($C58:O58)),O$22:O$32,0)</f>
        <v>10</v>
      </c>
      <c r="AP58" s="116">
        <f ca="1">RANK((SUM($C58:P58)),P$22:P$32,0)</f>
        <v>10</v>
      </c>
      <c r="AQ58" s="116">
        <f ca="1">RANK((SUM($C58:Q58)),Q$22:Q$32,0)</f>
        <v>10</v>
      </c>
      <c r="AR58" s="116">
        <f ca="1">RANK((SUM($C58:R58)),R$22:R$32,0)</f>
        <v>10</v>
      </c>
      <c r="AS58" s="116">
        <f ca="1">RANK((SUM($C58:S58)),S$22:S$32,0)</f>
        <v>10</v>
      </c>
      <c r="AT58" s="116">
        <f ca="1">RANK((SUM($C58:T58)),T$22:T$32,0)</f>
        <v>9</v>
      </c>
      <c r="AU58" s="116">
        <f ca="1">RANK((SUM($C58:U58)),U$22:U$32,0)</f>
        <v>9</v>
      </c>
      <c r="AV58" s="116">
        <f ca="1">RANK((SUM($C58:V58)),V$22:V$32,0)</f>
        <v>9</v>
      </c>
      <c r="AW58" s="116">
        <f ca="1">RANK((SUM($C58:W58)),W$22:W$32,0)</f>
        <v>9</v>
      </c>
      <c r="AX58" s="116">
        <f ca="1">RANK((SUM($C58:X58)),X$22:X$32,0)</f>
        <v>9</v>
      </c>
    </row>
    <row r="59" spans="1:57" ht="12" customHeight="1">
      <c r="A59" s="137">
        <v>10</v>
      </c>
      <c r="B59" s="138" t="str">
        <f t="shared" ca="1" si="164"/>
        <v>Equipe l'Ami</v>
      </c>
      <c r="C59" s="132">
        <f t="shared" ca="1" si="165"/>
        <v>49</v>
      </c>
      <c r="D59" s="132">
        <f t="shared" ca="1" si="166"/>
        <v>141</v>
      </c>
      <c r="E59" s="132">
        <f t="shared" ca="1" si="167"/>
        <v>84</v>
      </c>
      <c r="F59" s="132">
        <f t="shared" ca="1" si="168"/>
        <v>161</v>
      </c>
      <c r="G59" s="132">
        <f t="shared" ca="1" si="169"/>
        <v>168</v>
      </c>
      <c r="H59" s="132">
        <f t="shared" ca="1" si="170"/>
        <v>97</v>
      </c>
      <c r="I59" s="132">
        <f t="shared" ca="1" si="171"/>
        <v>169</v>
      </c>
      <c r="J59" s="132">
        <f t="shared" ca="1" si="172"/>
        <v>112</v>
      </c>
      <c r="K59" s="132">
        <f t="shared" ca="1" si="173"/>
        <v>0.1</v>
      </c>
      <c r="L59" s="132">
        <f t="shared" ca="1" si="174"/>
        <v>67</v>
      </c>
      <c r="M59" s="132">
        <f t="shared" ca="1" si="175"/>
        <v>96</v>
      </c>
      <c r="N59" s="132">
        <f t="shared" ca="1" si="176"/>
        <v>98</v>
      </c>
      <c r="O59" s="132">
        <f t="shared" ca="1" si="177"/>
        <v>97</v>
      </c>
      <c r="P59" s="132">
        <f t="shared" ca="1" si="178"/>
        <v>129</v>
      </c>
      <c r="Q59" s="132">
        <f t="shared" ca="1" si="179"/>
        <v>112</v>
      </c>
      <c r="R59" s="132">
        <f t="shared" ca="1" si="180"/>
        <v>57</v>
      </c>
      <c r="S59" s="132">
        <f t="shared" ca="1" si="181"/>
        <v>82</v>
      </c>
      <c r="T59" s="132">
        <f t="shared" ca="1" si="182"/>
        <v>72</v>
      </c>
      <c r="U59" s="132">
        <f t="shared" ca="1" si="183"/>
        <v>103</v>
      </c>
      <c r="V59" s="132">
        <f t="shared" ca="1" si="184"/>
        <v>102</v>
      </c>
      <c r="W59" s="132">
        <f t="shared" ca="1" si="185"/>
        <v>148</v>
      </c>
      <c r="X59" s="166">
        <f t="shared" ca="1" si="187"/>
        <v>134</v>
      </c>
      <c r="Y59" s="123"/>
      <c r="Z59" s="187">
        <f ca="1">SUM(C59:Y59)</f>
        <v>2278.1</v>
      </c>
      <c r="AA59" s="123"/>
      <c r="AB59" s="139">
        <f ca="1">Z59/Score!$AG$18</f>
        <v>0.63778593021203489</v>
      </c>
      <c r="AC59" s="116">
        <f ca="1">RANK((SUM($C59:C59)),C$22:C$32,0)</f>
        <v>7</v>
      </c>
      <c r="AD59" s="116">
        <f ca="1">RANK((SUM($C59:D59)),D$22:D$32,0)</f>
        <v>5</v>
      </c>
      <c r="AE59" s="116">
        <f ca="1">RANK((SUM($C59:E59)),E$22:E$32,0)</f>
        <v>5</v>
      </c>
      <c r="AF59" s="116">
        <f ca="1">RANK((SUM($C59:F59)),F$22:F$32,0)</f>
        <v>5</v>
      </c>
      <c r="AG59" s="116">
        <f ca="1">RANK((SUM($C59:G59)),G$22:G$32,0)</f>
        <v>5</v>
      </c>
      <c r="AH59" s="116">
        <f ca="1">RANK((SUM($C59:H59)),H$22:H$32,0)</f>
        <v>6</v>
      </c>
      <c r="AI59" s="116">
        <f ca="1">RANK((SUM($C59:I59)),I$22:I$32,0)</f>
        <v>7</v>
      </c>
      <c r="AJ59" s="116">
        <f ca="1">RANK((SUM($C59:J59)),J$22:J$32,0)</f>
        <v>7</v>
      </c>
      <c r="AK59" s="116">
        <f ca="1">RANK((SUM($C59:K59)),K$22:K$32,0)</f>
        <v>7</v>
      </c>
      <c r="AL59" s="116">
        <f ca="1">RANK((SUM($C59:L59)),L$22:L$32,0)</f>
        <v>7</v>
      </c>
      <c r="AM59" s="116">
        <f ca="1">RANK((SUM($C59:M59)),M$22:M$32,0)</f>
        <v>8</v>
      </c>
      <c r="AN59" s="116">
        <f ca="1">RANK((SUM($C59:N59)),N$22:N$32,0)</f>
        <v>9</v>
      </c>
      <c r="AO59" s="116">
        <f ca="1">RANK((SUM($C59:O59)),O$22:O$32,0)</f>
        <v>9</v>
      </c>
      <c r="AP59" s="116">
        <f ca="1">RANK((SUM($C59:P59)),P$22:P$32,0)</f>
        <v>9</v>
      </c>
      <c r="AQ59" s="116">
        <f ca="1">RANK((SUM($C59:Q59)),Q$22:Q$32,0)</f>
        <v>9</v>
      </c>
      <c r="AR59" s="116">
        <f ca="1">RANK((SUM($C59:R59)),R$22:R$32,0)</f>
        <v>9</v>
      </c>
      <c r="AS59" s="116">
        <f ca="1">RANK((SUM($C59:S59)),S$22:S$32,0)</f>
        <v>9</v>
      </c>
      <c r="AT59" s="116">
        <f ca="1">RANK((SUM($C59:T59)),T$22:T$32,0)</f>
        <v>10</v>
      </c>
      <c r="AU59" s="116">
        <f ca="1">RANK((SUM($C59:U59)),U$22:U$32,0)</f>
        <v>10</v>
      </c>
      <c r="AV59" s="116">
        <f ca="1">RANK((SUM($C59:V59)),V$22:V$32,0)</f>
        <v>10</v>
      </c>
      <c r="AW59" s="116">
        <f ca="1">RANK((SUM($C59:W59)),W$22:W$32,0)</f>
        <v>10</v>
      </c>
      <c r="AX59" s="116">
        <f ca="1">RANK((SUM($C59:X59)),X$22:X$32,0)</f>
        <v>10</v>
      </c>
    </row>
    <row r="60" spans="1:57" ht="12" customHeight="1">
      <c r="A60" s="137">
        <v>11</v>
      </c>
      <c r="B60" s="138" t="str">
        <f t="shared" ca="1" si="164"/>
        <v>IJffjes Boys</v>
      </c>
      <c r="C60" s="132">
        <f t="shared" ca="1" si="165"/>
        <v>45</v>
      </c>
      <c r="D60" s="132">
        <f t="shared" ca="1" si="166"/>
        <v>18</v>
      </c>
      <c r="E60" s="132">
        <f t="shared" ca="1" si="167"/>
        <v>144</v>
      </c>
      <c r="F60" s="132">
        <f t="shared" ca="1" si="168"/>
        <v>122</v>
      </c>
      <c r="G60" s="132">
        <f t="shared" ca="1" si="169"/>
        <v>42</v>
      </c>
      <c r="H60" s="132">
        <f t="shared" ca="1" si="170"/>
        <v>102</v>
      </c>
      <c r="I60" s="132">
        <f t="shared" ca="1" si="171"/>
        <v>45</v>
      </c>
      <c r="J60" s="132">
        <f t="shared" ca="1" si="172"/>
        <v>123</v>
      </c>
      <c r="K60" s="132">
        <f t="shared" ca="1" si="173"/>
        <v>0.1</v>
      </c>
      <c r="L60" s="132">
        <f t="shared" ca="1" si="174"/>
        <v>112</v>
      </c>
      <c r="M60" s="132">
        <f t="shared" ca="1" si="175"/>
        <v>133</v>
      </c>
      <c r="N60" s="132">
        <f t="shared" ca="1" si="176"/>
        <v>126</v>
      </c>
      <c r="O60" s="132">
        <f t="shared" ca="1" si="177"/>
        <v>120</v>
      </c>
      <c r="P60" s="132">
        <f t="shared" ca="1" si="178"/>
        <v>55</v>
      </c>
      <c r="Q60" s="132">
        <f t="shared" ca="1" si="179"/>
        <v>55</v>
      </c>
      <c r="R60" s="132">
        <f t="shared" ca="1" si="180"/>
        <v>26</v>
      </c>
      <c r="S60" s="132">
        <f t="shared" ca="1" si="181"/>
        <v>96</v>
      </c>
      <c r="T60" s="132">
        <f t="shared" ca="1" si="182"/>
        <v>91</v>
      </c>
      <c r="U60" s="132">
        <f t="shared" ca="1" si="183"/>
        <v>126</v>
      </c>
      <c r="V60" s="132">
        <f t="shared" ca="1" si="184"/>
        <v>127</v>
      </c>
      <c r="W60" s="132">
        <f t="shared" ca="1" si="185"/>
        <v>40</v>
      </c>
      <c r="X60" s="166">
        <f t="shared" ca="1" si="187"/>
        <v>217</v>
      </c>
      <c r="Y60" s="123"/>
      <c r="Z60" s="187">
        <f ca="1">SUM(C60:Y60)</f>
        <v>1965.1</v>
      </c>
      <c r="AA60" s="123"/>
      <c r="AB60" s="139">
        <f ca="1">Z60/Score!$AG$18</f>
        <v>0.55015720620678177</v>
      </c>
      <c r="AC60" s="116">
        <f ca="1">RANK((SUM($C60:C60)),C$22:C$32,0)</f>
        <v>8</v>
      </c>
      <c r="AD60" s="116">
        <f ca="1">RANK((SUM($C60:D60)),D$22:D$32,0)</f>
        <v>11</v>
      </c>
      <c r="AE60" s="116">
        <f ca="1">RANK((SUM($C60:E60)),E$22:E$32,0)</f>
        <v>11</v>
      </c>
      <c r="AF60" s="116">
        <f ca="1">RANK((SUM($C60:F60)),F$22:F$32,0)</f>
        <v>11</v>
      </c>
      <c r="AG60" s="116">
        <f ca="1">RANK((SUM($C60:G60)),G$22:G$32,0)</f>
        <v>11</v>
      </c>
      <c r="AH60" s="116">
        <f ca="1">RANK((SUM($C60:H60)),H$22:H$32,0)</f>
        <v>11</v>
      </c>
      <c r="AI60" s="116">
        <f ca="1">RANK((SUM($C60:I60)),I$22:I$32,0)</f>
        <v>11</v>
      </c>
      <c r="AJ60" s="116">
        <f ca="1">RANK((SUM($C60:J60)),J$22:J$32,0)</f>
        <v>11</v>
      </c>
      <c r="AK60" s="116">
        <f ca="1">RANK((SUM($C60:K60)),K$22:K$32,0)</f>
        <v>11</v>
      </c>
      <c r="AL60" s="116">
        <f ca="1">RANK((SUM($C60:L60)),L$22:L$32,0)</f>
        <v>11</v>
      </c>
      <c r="AM60" s="116">
        <f ca="1">RANK((SUM($C60:M60)),M$22:M$32,0)</f>
        <v>11</v>
      </c>
      <c r="AN60" s="116">
        <f ca="1">RANK((SUM($C60:N60)),N$22:N$32,0)</f>
        <v>11</v>
      </c>
      <c r="AO60" s="116">
        <f ca="1">RANK((SUM($C60:O60)),O$22:O$32,0)</f>
        <v>11</v>
      </c>
      <c r="AP60" s="116">
        <f ca="1">RANK((SUM($C60:P60)),P$22:P$32,0)</f>
        <v>11</v>
      </c>
      <c r="AQ60" s="116">
        <f ca="1">RANK((SUM($C60:Q60)),Q$22:Q$32,0)</f>
        <v>11</v>
      </c>
      <c r="AR60" s="116">
        <f ca="1">RANK((SUM($C60:R60)),R$22:R$32,0)</f>
        <v>11</v>
      </c>
      <c r="AS60" s="116">
        <f ca="1">RANK((SUM($C60:S60)),S$22:S$32,0)</f>
        <v>11</v>
      </c>
      <c r="AT60" s="116">
        <f ca="1">RANK((SUM($C60:T60)),T$22:T$32,0)</f>
        <v>11</v>
      </c>
      <c r="AU60" s="116">
        <f ca="1">RANK((SUM($C60:U60)),U$22:U$32,0)</f>
        <v>11</v>
      </c>
      <c r="AV60" s="116">
        <f ca="1">RANK((SUM($C60:V60)),V$22:V$32,0)</f>
        <v>11</v>
      </c>
      <c r="AW60" s="116">
        <f ca="1">RANK((SUM($C60:W60)),W$22:W$32,0)</f>
        <v>11</v>
      </c>
      <c r="AX60" s="116">
        <f ca="1">RANK((SUM($C60:X60)),X$22:X$32,0)</f>
        <v>11</v>
      </c>
    </row>
    <row r="61" spans="1:57" ht="12" customHeight="1">
      <c r="AA61" s="123"/>
    </row>
    <row r="62" spans="1:57" s="141" customFormat="1" ht="12" customHeight="1">
      <c r="B62" s="142" t="s">
        <v>4</v>
      </c>
      <c r="C62" s="143">
        <f t="shared" ref="C62:Z62" ca="1" si="188">AVERAGE(C50:C60)</f>
        <v>57</v>
      </c>
      <c r="D62" s="143">
        <f t="shared" ca="1" si="188"/>
        <v>114.63636363636364</v>
      </c>
      <c r="E62" s="143">
        <f t="shared" ca="1" si="188"/>
        <v>119.18181818181819</v>
      </c>
      <c r="F62" s="143">
        <f t="shared" ca="1" si="188"/>
        <v>159</v>
      </c>
      <c r="G62" s="143">
        <f t="shared" ca="1" si="188"/>
        <v>162.36363636363637</v>
      </c>
      <c r="H62" s="143">
        <f t="shared" ca="1" si="188"/>
        <v>141.09090909090909</v>
      </c>
      <c r="I62" s="143">
        <f t="shared" ca="1" si="188"/>
        <v>148.18181818181819</v>
      </c>
      <c r="J62" s="143">
        <f t="shared" ca="1" si="188"/>
        <v>132.63636363636363</v>
      </c>
      <c r="K62" s="143">
        <f t="shared" ca="1" si="188"/>
        <v>9.9999999999999992E-2</v>
      </c>
      <c r="L62" s="143">
        <f t="shared" ca="1" si="188"/>
        <v>97.454545454545453</v>
      </c>
      <c r="M62" s="143">
        <f t="shared" ca="1" si="188"/>
        <v>109.18181818181819</v>
      </c>
      <c r="N62" s="143">
        <f t="shared" ca="1" si="188"/>
        <v>144</v>
      </c>
      <c r="O62" s="143">
        <f t="shared" ca="1" si="188"/>
        <v>130.63636363636363</v>
      </c>
      <c r="P62" s="143">
        <f t="shared" ca="1" si="188"/>
        <v>108.90909090909091</v>
      </c>
      <c r="Q62" s="143">
        <f t="shared" ca="1" si="188"/>
        <v>137.27272727272728</v>
      </c>
      <c r="R62" s="143">
        <f t="shared" ca="1" si="188"/>
        <v>61.81818181818182</v>
      </c>
      <c r="S62" s="143">
        <f t="shared" ca="1" si="188"/>
        <v>84.272727272727266</v>
      </c>
      <c r="T62" s="143">
        <f t="shared" ca="1" si="188"/>
        <v>108.54545454545455</v>
      </c>
      <c r="U62" s="143">
        <f t="shared" ca="1" si="188"/>
        <v>127.90909090909091</v>
      </c>
      <c r="V62" s="143">
        <f t="shared" ca="1" si="188"/>
        <v>135</v>
      </c>
      <c r="W62" s="143">
        <f t="shared" ca="1" si="188"/>
        <v>144.72727272727272</v>
      </c>
      <c r="X62" s="143">
        <f t="shared" ca="1" si="188"/>
        <v>190.27272727272728</v>
      </c>
      <c r="Y62" s="143"/>
      <c r="Z62" s="143">
        <f t="shared" ca="1" si="188"/>
        <v>2614.1909090909085</v>
      </c>
      <c r="AA62" s="144"/>
    </row>
    <row r="63" spans="1:57" s="141" customFormat="1" ht="12" customHeight="1">
      <c r="B63" s="142" t="s">
        <v>59</v>
      </c>
      <c r="C63" s="143">
        <f ca="1">AVERAGE(C50:C59)</f>
        <v>58.2</v>
      </c>
      <c r="D63" s="143">
        <f t="shared" ref="D63:Z63" ca="1" si="189">AVERAGE(D50:D59)</f>
        <v>124.3</v>
      </c>
      <c r="E63" s="143">
        <f t="shared" ca="1" si="189"/>
        <v>116.7</v>
      </c>
      <c r="F63" s="143">
        <f t="shared" ca="1" si="189"/>
        <v>162.69999999999999</v>
      </c>
      <c r="G63" s="143">
        <f t="shared" ca="1" si="189"/>
        <v>174.4</v>
      </c>
      <c r="H63" s="143">
        <f t="shared" ca="1" si="189"/>
        <v>145</v>
      </c>
      <c r="I63" s="143">
        <f t="shared" ca="1" si="189"/>
        <v>158.5</v>
      </c>
      <c r="J63" s="143">
        <f t="shared" ca="1" si="189"/>
        <v>133.6</v>
      </c>
      <c r="K63" s="143">
        <f t="shared" ca="1" si="189"/>
        <v>9.9999999999999992E-2</v>
      </c>
      <c r="L63" s="143">
        <f t="shared" ca="1" si="189"/>
        <v>96</v>
      </c>
      <c r="M63" s="143">
        <f t="shared" ca="1" si="189"/>
        <v>106.8</v>
      </c>
      <c r="N63" s="143">
        <f t="shared" ca="1" si="189"/>
        <v>145.80000000000001</v>
      </c>
      <c r="O63" s="143">
        <f t="shared" ca="1" si="189"/>
        <v>131.69999999999999</v>
      </c>
      <c r="P63" s="143">
        <f t="shared" ca="1" si="189"/>
        <v>114.3</v>
      </c>
      <c r="Q63" s="143">
        <f t="shared" ca="1" si="189"/>
        <v>145.5</v>
      </c>
      <c r="R63" s="143">
        <f t="shared" ca="1" si="189"/>
        <v>65.400000000000006</v>
      </c>
      <c r="S63" s="143">
        <f t="shared" ca="1" si="189"/>
        <v>83.1</v>
      </c>
      <c r="T63" s="143">
        <f t="shared" ca="1" si="189"/>
        <v>110.3</v>
      </c>
      <c r="U63" s="143">
        <f t="shared" ca="1" si="189"/>
        <v>128.1</v>
      </c>
      <c r="V63" s="143">
        <f t="shared" ca="1" si="189"/>
        <v>135.80000000000001</v>
      </c>
      <c r="W63" s="143">
        <f t="shared" ca="1" si="189"/>
        <v>155.19999999999999</v>
      </c>
      <c r="X63" s="143">
        <f t="shared" ca="1" si="189"/>
        <v>187.6</v>
      </c>
      <c r="Y63" s="143"/>
      <c r="Z63" s="143">
        <f t="shared" ca="1" si="189"/>
        <v>2679.0999999999995</v>
      </c>
      <c r="AA63" s="144"/>
    </row>
    <row r="64" spans="1:57" s="141" customFormat="1" ht="12" customHeight="1">
      <c r="X64" s="165"/>
      <c r="AA64" s="144"/>
    </row>
    <row r="65" spans="1:60" s="141" customFormat="1" ht="12" customHeight="1">
      <c r="A65" s="145" t="s">
        <v>0</v>
      </c>
      <c r="B65" s="146"/>
      <c r="C65" s="190"/>
      <c r="X65" s="165"/>
      <c r="AA65" s="144"/>
    </row>
    <row r="66" spans="1:60" ht="12" customHeight="1">
      <c r="A66" s="150"/>
      <c r="B66" s="138" t="s">
        <v>100</v>
      </c>
      <c r="C66" s="117">
        <v>4.5</v>
      </c>
      <c r="E66" s="147"/>
      <c r="F66" s="148"/>
      <c r="G66" s="136"/>
      <c r="H66" s="136"/>
      <c r="Z66" s="150"/>
    </row>
    <row r="67" spans="1:60" ht="12" customHeight="1">
      <c r="A67" s="136"/>
      <c r="B67" s="138" t="s">
        <v>184</v>
      </c>
      <c r="C67" s="117">
        <v>4</v>
      </c>
      <c r="E67" s="147"/>
      <c r="F67" s="148"/>
      <c r="G67" s="136"/>
      <c r="H67" s="136"/>
      <c r="Z67" s="136"/>
      <c r="AB67" s="149"/>
    </row>
    <row r="68" spans="1:60" ht="12" customHeight="1">
      <c r="A68" s="117"/>
      <c r="B68" s="140" t="s">
        <v>158</v>
      </c>
      <c r="C68" s="117">
        <v>3</v>
      </c>
      <c r="D68" s="143"/>
      <c r="E68" s="143"/>
      <c r="F68" s="143"/>
      <c r="G68" s="143"/>
      <c r="H68" s="143"/>
      <c r="I68" s="143"/>
      <c r="J68" s="143"/>
      <c r="K68" s="143"/>
      <c r="L68" s="143"/>
      <c r="M68" s="143"/>
      <c r="N68" s="143"/>
      <c r="O68" s="143"/>
      <c r="P68" s="143"/>
      <c r="Q68" s="143"/>
      <c r="R68" s="143"/>
      <c r="S68" s="143"/>
      <c r="T68" s="143"/>
      <c r="U68" s="143"/>
      <c r="V68" s="143"/>
      <c r="W68" s="143"/>
      <c r="X68" s="167"/>
      <c r="Y68" s="144"/>
      <c r="Z68" s="143"/>
      <c r="AA68" s="144"/>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row>
    <row r="69" spans="1:60" ht="12" customHeight="1">
      <c r="A69" s="147"/>
      <c r="B69" s="140" t="s">
        <v>83</v>
      </c>
      <c r="C69" s="117">
        <v>3</v>
      </c>
      <c r="E69" s="147"/>
      <c r="F69" s="148"/>
      <c r="G69" s="136"/>
      <c r="H69" s="136"/>
      <c r="Z69" s="147"/>
    </row>
    <row r="70" spans="1:60" s="141" customFormat="1" ht="12" customHeight="1">
      <c r="A70" s="117"/>
      <c r="B70" s="138" t="s">
        <v>82</v>
      </c>
      <c r="C70" s="117">
        <v>2.5</v>
      </c>
      <c r="D70" s="143"/>
      <c r="E70" s="143"/>
      <c r="F70" s="143"/>
      <c r="G70" s="143"/>
      <c r="H70" s="143"/>
      <c r="I70" s="143"/>
      <c r="J70" s="143"/>
      <c r="K70" s="143"/>
      <c r="L70" s="143"/>
      <c r="M70" s="143"/>
      <c r="N70" s="143"/>
      <c r="O70" s="143"/>
      <c r="P70" s="143"/>
      <c r="Q70" s="143"/>
      <c r="R70" s="143"/>
      <c r="S70" s="143"/>
      <c r="T70" s="143"/>
      <c r="U70" s="143"/>
      <c r="V70" s="143"/>
      <c r="W70" s="143"/>
      <c r="X70" s="167"/>
      <c r="Y70" s="144"/>
      <c r="Z70" s="143"/>
      <c r="AA70" s="144"/>
    </row>
    <row r="71" spans="1:60" s="141" customFormat="1" ht="12" customHeight="1">
      <c r="A71" s="147"/>
      <c r="B71" s="138" t="s">
        <v>80</v>
      </c>
      <c r="C71" s="117">
        <v>1</v>
      </c>
      <c r="X71" s="165"/>
      <c r="AA71" s="144"/>
    </row>
    <row r="72" spans="1:60" s="141" customFormat="1" ht="12" customHeight="1">
      <c r="A72" s="120"/>
      <c r="B72" s="138" t="s">
        <v>142</v>
      </c>
      <c r="C72" s="117">
        <v>1</v>
      </c>
      <c r="D72" s="151"/>
      <c r="E72" s="152"/>
      <c r="F72" s="148"/>
      <c r="G72" s="136"/>
      <c r="H72" s="136"/>
      <c r="I72" s="117"/>
      <c r="J72" s="117"/>
      <c r="K72" s="116"/>
      <c r="L72" s="120"/>
      <c r="M72" s="116"/>
      <c r="N72" s="117"/>
      <c r="O72" s="116"/>
      <c r="P72" s="116"/>
      <c r="Q72" s="116"/>
      <c r="R72" s="116"/>
      <c r="S72" s="116"/>
      <c r="T72" s="116"/>
      <c r="U72" s="116"/>
      <c r="V72" s="116"/>
      <c r="W72" s="116"/>
      <c r="X72" s="165"/>
      <c r="Y72" s="116"/>
      <c r="Z72" s="116"/>
      <c r="AA72" s="116"/>
      <c r="AB72" s="116"/>
      <c r="AC72" s="116"/>
      <c r="AD72" s="116"/>
      <c r="AE72" s="116"/>
      <c r="AF72" s="116"/>
      <c r="AG72" s="116"/>
      <c r="AH72" s="116"/>
      <c r="AI72" s="116"/>
      <c r="AJ72" s="116"/>
      <c r="AK72" s="116"/>
      <c r="AL72" s="116"/>
      <c r="AM72" s="116"/>
      <c r="AN72" s="116"/>
      <c r="AO72" s="116"/>
      <c r="AP72" s="116"/>
      <c r="AQ72" s="116"/>
      <c r="AR72" s="116"/>
      <c r="AS72" s="116"/>
      <c r="AT72" s="116"/>
      <c r="AU72" s="116"/>
      <c r="AV72" s="116"/>
      <c r="AW72" s="116"/>
      <c r="AX72" s="116"/>
      <c r="AY72" s="116"/>
      <c r="AZ72" s="116"/>
      <c r="BA72" s="116"/>
      <c r="BB72" s="116"/>
      <c r="BC72" s="116"/>
      <c r="BD72" s="116"/>
      <c r="BE72" s="116"/>
      <c r="BF72" s="116"/>
      <c r="BG72" s="116"/>
      <c r="BH72" s="116"/>
    </row>
    <row r="73" spans="1:60" ht="12" customHeight="1">
      <c r="A73" s="117"/>
      <c r="B73" s="116" t="s">
        <v>137</v>
      </c>
      <c r="C73" s="117">
        <v>2</v>
      </c>
      <c r="E73" s="147"/>
      <c r="F73" s="148"/>
      <c r="G73" s="136"/>
      <c r="H73" s="136"/>
      <c r="Z73" s="147"/>
      <c r="AB73" s="138"/>
    </row>
    <row r="74" spans="1:60" ht="12" customHeight="1">
      <c r="A74" s="117"/>
      <c r="B74" s="140"/>
      <c r="E74" s="140"/>
      <c r="F74" s="117"/>
    </row>
    <row r="75" spans="1:60" ht="12" customHeight="1">
      <c r="A75" s="117"/>
      <c r="E75" s="147"/>
      <c r="F75" s="148"/>
      <c r="G75" s="136"/>
      <c r="H75" s="136"/>
      <c r="P75" s="116" t="s">
        <v>14</v>
      </c>
      <c r="Z75" s="117"/>
      <c r="AB75" s="140"/>
    </row>
    <row r="76" spans="1:60" ht="12" customHeight="1">
      <c r="A76" s="117"/>
      <c r="E76" s="147"/>
      <c r="F76" s="148"/>
      <c r="G76" s="136"/>
      <c r="H76" s="136"/>
      <c r="Z76" s="117"/>
    </row>
    <row r="77" spans="1:60" ht="12" customHeight="1">
      <c r="A77" s="120"/>
      <c r="B77" s="134"/>
      <c r="C77" s="136"/>
      <c r="D77" s="136"/>
      <c r="E77" s="147"/>
      <c r="F77" s="148"/>
      <c r="G77" s="136"/>
      <c r="H77" s="136"/>
      <c r="P77" s="116" t="s">
        <v>14</v>
      </c>
    </row>
    <row r="78" spans="1:60" ht="12" customHeight="1">
      <c r="B78" s="149"/>
      <c r="C78" s="147"/>
      <c r="D78" s="147"/>
      <c r="E78" s="147"/>
      <c r="F78" s="148"/>
      <c r="G78" s="136"/>
      <c r="H78" s="136"/>
      <c r="P78" s="116" t="s">
        <v>15</v>
      </c>
    </row>
    <row r="79" spans="1:60" ht="12" customHeight="1">
      <c r="A79" s="120"/>
      <c r="B79" s="149"/>
      <c r="C79" s="153"/>
      <c r="D79" s="153"/>
      <c r="E79" s="147"/>
      <c r="F79" s="148"/>
      <c r="G79" s="136"/>
      <c r="H79" s="136"/>
    </row>
    <row r="80" spans="1:60" ht="12" customHeight="1">
      <c r="A80" s="120"/>
      <c r="B80" s="134"/>
      <c r="C80" s="147"/>
      <c r="D80" s="147"/>
      <c r="E80" s="147"/>
      <c r="F80" s="148"/>
      <c r="G80" s="136"/>
      <c r="H80" s="136"/>
    </row>
    <row r="81" spans="2:8" ht="12" customHeight="1">
      <c r="C81" s="147"/>
      <c r="D81" s="147"/>
      <c r="E81" s="147"/>
      <c r="F81" s="148"/>
      <c r="G81" s="136"/>
      <c r="H81" s="136"/>
    </row>
    <row r="82" spans="2:8" ht="12" customHeight="1">
      <c r="B82" s="134"/>
      <c r="C82" s="136"/>
      <c r="D82" s="136"/>
      <c r="E82" s="136"/>
      <c r="F82" s="148"/>
      <c r="G82" s="136"/>
      <c r="H82" s="136"/>
    </row>
    <row r="83" spans="2:8" ht="12" customHeight="1">
      <c r="B83" s="149"/>
      <c r="C83" s="136"/>
      <c r="D83" s="136"/>
      <c r="E83" s="136"/>
      <c r="F83" s="148"/>
      <c r="G83" s="136"/>
      <c r="H83" s="136"/>
    </row>
    <row r="84" spans="2:8" ht="12" customHeight="1">
      <c r="B84" s="134"/>
      <c r="C84" s="136"/>
      <c r="D84" s="136"/>
      <c r="E84" s="136"/>
      <c r="F84" s="148"/>
      <c r="G84" s="136"/>
      <c r="H84" s="136"/>
    </row>
    <row r="85" spans="2:8" ht="12" customHeight="1">
      <c r="B85" s="134"/>
      <c r="E85" s="136"/>
      <c r="F85" s="148"/>
      <c r="G85" s="136"/>
      <c r="H85" s="136"/>
    </row>
    <row r="86" spans="2:8" ht="12" customHeight="1">
      <c r="B86" s="134"/>
      <c r="C86" s="147"/>
      <c r="D86" s="147"/>
      <c r="E86" s="136"/>
      <c r="F86" s="148"/>
      <c r="G86" s="136"/>
      <c r="H86" s="136"/>
    </row>
    <row r="87" spans="2:8" ht="12" customHeight="1">
      <c r="C87" s="136"/>
      <c r="D87" s="136"/>
      <c r="E87" s="136"/>
      <c r="F87" s="148"/>
      <c r="G87" s="136"/>
      <c r="H87" s="136"/>
    </row>
    <row r="90" spans="2:8" ht="12" customHeight="1">
      <c r="B90" s="120"/>
    </row>
    <row r="91" spans="2:8" ht="12" customHeight="1">
      <c r="B91" s="120"/>
    </row>
    <row r="92" spans="2:8" ht="12" customHeight="1">
      <c r="B92" s="120"/>
    </row>
    <row r="93" spans="2:8" ht="12" customHeight="1">
      <c r="B93" s="120"/>
    </row>
    <row r="94" spans="2:8" ht="12" customHeight="1">
      <c r="B94" s="120"/>
      <c r="C94" s="121"/>
      <c r="D94" s="121"/>
    </row>
    <row r="95" spans="2:8" ht="12" customHeight="1">
      <c r="B95" s="120"/>
    </row>
    <row r="96" spans="2:8" ht="12" customHeight="1">
      <c r="B96" s="120"/>
      <c r="C96" s="116"/>
      <c r="D96" s="116"/>
    </row>
    <row r="97" spans="2:4" ht="12" customHeight="1">
      <c r="B97" s="120"/>
      <c r="C97" s="121"/>
      <c r="D97" s="121"/>
    </row>
    <row r="98" spans="2:4" ht="12" customHeight="1">
      <c r="B98" s="154"/>
      <c r="C98" s="116"/>
      <c r="D98" s="116"/>
    </row>
    <row r="99" spans="2:4" ht="12" customHeight="1">
      <c r="B99" s="155"/>
    </row>
    <row r="100" spans="2:4" ht="12" customHeight="1">
      <c r="B100" s="155"/>
      <c r="C100" s="121"/>
      <c r="D100" s="121"/>
    </row>
    <row r="101" spans="2:4" ht="12" customHeight="1">
      <c r="B101" s="129"/>
    </row>
    <row r="102" spans="2:4" ht="12" customHeight="1">
      <c r="B102" s="155"/>
    </row>
    <row r="103" spans="2:4" ht="12" customHeight="1">
      <c r="B103" s="155"/>
      <c r="C103" s="121"/>
      <c r="D103" s="121"/>
    </row>
    <row r="104" spans="2:4" ht="12" customHeight="1">
      <c r="B104" s="129"/>
    </row>
    <row r="105" spans="2:4" ht="12" customHeight="1">
      <c r="B105" s="156"/>
      <c r="C105" s="116"/>
      <c r="D105" s="116"/>
    </row>
    <row r="106" spans="2:4" ht="12" customHeight="1">
      <c r="B106" s="156"/>
      <c r="C106" s="121"/>
      <c r="D106" s="121"/>
    </row>
    <row r="107" spans="2:4" ht="12" customHeight="1">
      <c r="B107" s="129"/>
      <c r="C107" s="116"/>
      <c r="D107" s="116"/>
    </row>
    <row r="108" spans="2:4" ht="12" customHeight="1">
      <c r="B108" s="156"/>
      <c r="C108" s="116"/>
      <c r="D108" s="116"/>
    </row>
    <row r="109" spans="2:4" ht="12" customHeight="1">
      <c r="B109" s="156"/>
    </row>
    <row r="110" spans="2:4" ht="12" customHeight="1">
      <c r="B110" s="129"/>
      <c r="C110" s="116"/>
      <c r="D110" s="116"/>
    </row>
    <row r="111" spans="2:4" ht="12" customHeight="1">
      <c r="B111" s="129"/>
      <c r="C111" s="116"/>
      <c r="D111" s="116"/>
    </row>
    <row r="112" spans="2:4" ht="12" customHeight="1">
      <c r="B112" s="156"/>
      <c r="C112" s="116"/>
      <c r="D112" s="116"/>
    </row>
    <row r="113" spans="2:4" ht="12" customHeight="1">
      <c r="B113" s="129"/>
      <c r="C113" s="116"/>
      <c r="D113" s="116"/>
    </row>
    <row r="114" spans="2:4" ht="12" customHeight="1">
      <c r="B114" s="129"/>
      <c r="C114" s="116"/>
      <c r="D114" s="116"/>
    </row>
    <row r="115" spans="2:4" ht="12" customHeight="1">
      <c r="B115" s="129"/>
      <c r="C115" s="116"/>
      <c r="D115" s="116"/>
    </row>
    <row r="116" spans="2:4" ht="12" customHeight="1">
      <c r="B116" s="129"/>
      <c r="C116" s="116"/>
      <c r="D116" s="116"/>
    </row>
    <row r="117" spans="2:4" ht="12" customHeight="1">
      <c r="B117" s="129"/>
      <c r="C117" s="116"/>
      <c r="D117" s="116"/>
    </row>
    <row r="118" spans="2:4" ht="12" customHeight="1">
      <c r="B118" s="129"/>
      <c r="C118" s="116"/>
      <c r="D118" s="116"/>
    </row>
    <row r="119" spans="2:4" ht="12" customHeight="1">
      <c r="B119" s="129"/>
      <c r="C119" s="116"/>
      <c r="D119" s="116"/>
    </row>
    <row r="120" spans="2:4" ht="12" customHeight="1">
      <c r="B120" s="129"/>
      <c r="C120" s="116"/>
      <c r="D120" s="116"/>
    </row>
    <row r="121" spans="2:4" ht="12" customHeight="1">
      <c r="B121" s="129"/>
      <c r="C121" s="116"/>
      <c r="D121" s="116"/>
    </row>
    <row r="122" spans="2:4" ht="12" customHeight="1">
      <c r="B122" s="129"/>
      <c r="C122" s="116"/>
      <c r="D122" s="116"/>
    </row>
    <row r="123" spans="2:4" ht="12" customHeight="1">
      <c r="B123" s="129"/>
      <c r="C123" s="116"/>
      <c r="D123" s="116"/>
    </row>
    <row r="124" spans="2:4" ht="12" customHeight="1">
      <c r="B124" s="129"/>
      <c r="C124" s="116"/>
      <c r="D124" s="116"/>
    </row>
    <row r="125" spans="2:4" ht="12" customHeight="1">
      <c r="B125" s="129"/>
      <c r="C125" s="116"/>
      <c r="D125" s="116"/>
    </row>
    <row r="126" spans="2:4" ht="12" customHeight="1">
      <c r="B126" s="129"/>
      <c r="C126" s="116"/>
      <c r="D126" s="116"/>
    </row>
    <row r="127" spans="2:4" ht="12" customHeight="1">
      <c r="B127" s="129"/>
      <c r="C127" s="116"/>
      <c r="D127" s="116"/>
    </row>
    <row r="128" spans="2:4" ht="12" customHeight="1">
      <c r="B128" s="129"/>
      <c r="C128" s="116"/>
      <c r="D128" s="116"/>
    </row>
    <row r="129" spans="2:4" ht="12" customHeight="1">
      <c r="B129" s="129"/>
      <c r="C129" s="116"/>
      <c r="D129" s="116"/>
    </row>
    <row r="130" spans="2:4" ht="12" customHeight="1">
      <c r="B130" s="129"/>
      <c r="C130" s="116"/>
      <c r="D130" s="116"/>
    </row>
    <row r="131" spans="2:4" ht="12" customHeight="1">
      <c r="B131" s="129"/>
      <c r="C131" s="116"/>
      <c r="D131" s="116"/>
    </row>
    <row r="132" spans="2:4" ht="12" customHeight="1">
      <c r="B132" s="129"/>
      <c r="C132" s="116"/>
      <c r="D132" s="116"/>
    </row>
    <row r="133" spans="2:4" ht="12" customHeight="1">
      <c r="B133" s="129"/>
      <c r="C133" s="116"/>
      <c r="D133" s="116"/>
    </row>
    <row r="134" spans="2:4" ht="12" customHeight="1">
      <c r="B134" s="129"/>
      <c r="C134" s="116"/>
      <c r="D134" s="116"/>
    </row>
    <row r="135" spans="2:4" ht="12" customHeight="1">
      <c r="B135" s="129"/>
      <c r="C135" s="116"/>
      <c r="D135" s="116"/>
    </row>
    <row r="136" spans="2:4" ht="12" customHeight="1">
      <c r="B136" s="129"/>
      <c r="C136" s="116"/>
      <c r="D136" s="116"/>
    </row>
    <row r="137" spans="2:4" ht="12" customHeight="1">
      <c r="B137" s="129"/>
      <c r="C137" s="116"/>
      <c r="D137" s="116"/>
    </row>
    <row r="138" spans="2:4" ht="12" customHeight="1">
      <c r="B138" s="129"/>
      <c r="C138" s="116"/>
      <c r="D138" s="116"/>
    </row>
    <row r="139" spans="2:4" ht="12" customHeight="1">
      <c r="B139" s="129"/>
      <c r="C139" s="116"/>
      <c r="D139" s="116"/>
    </row>
    <row r="140" spans="2:4" ht="12" customHeight="1">
      <c r="B140" s="129"/>
      <c r="C140" s="116"/>
      <c r="D140" s="116"/>
    </row>
    <row r="141" spans="2:4" ht="12" customHeight="1">
      <c r="B141" s="129"/>
      <c r="C141" s="116"/>
      <c r="D141" s="116"/>
    </row>
    <row r="142" spans="2:4" ht="12" customHeight="1">
      <c r="B142" s="129"/>
      <c r="C142" s="116"/>
      <c r="D142" s="116"/>
    </row>
    <row r="143" spans="2:4" ht="12" customHeight="1">
      <c r="B143" s="129"/>
      <c r="C143" s="116"/>
      <c r="D143" s="116"/>
    </row>
    <row r="144" spans="2:4" ht="12" customHeight="1">
      <c r="B144" s="129"/>
      <c r="C144" s="116"/>
      <c r="D144" s="116"/>
    </row>
    <row r="145" spans="2:4" ht="12" customHeight="1">
      <c r="B145" s="129"/>
      <c r="C145" s="116"/>
      <c r="D145" s="116"/>
    </row>
    <row r="146" spans="2:4" ht="12" customHeight="1">
      <c r="B146" s="129"/>
      <c r="C146" s="116"/>
      <c r="D146" s="116"/>
    </row>
    <row r="147" spans="2:4" ht="12" customHeight="1">
      <c r="B147" s="129"/>
      <c r="C147" s="116"/>
      <c r="D147" s="116"/>
    </row>
    <row r="148" spans="2:4" ht="12" customHeight="1">
      <c r="B148" s="129"/>
      <c r="C148" s="116"/>
      <c r="D148" s="116"/>
    </row>
    <row r="149" spans="2:4" ht="12" customHeight="1">
      <c r="B149" s="129"/>
      <c r="C149" s="116"/>
      <c r="D149" s="116"/>
    </row>
    <row r="150" spans="2:4" ht="12" customHeight="1">
      <c r="B150" s="129"/>
      <c r="C150" s="116"/>
      <c r="D150" s="116"/>
    </row>
    <row r="151" spans="2:4" ht="12" customHeight="1">
      <c r="B151" s="129"/>
      <c r="C151" s="116"/>
      <c r="D151" s="116"/>
    </row>
    <row r="152" spans="2:4" ht="12" customHeight="1">
      <c r="B152" s="129"/>
      <c r="C152" s="116"/>
      <c r="D152" s="116"/>
    </row>
    <row r="153" spans="2:4" ht="12" customHeight="1">
      <c r="B153" s="129"/>
      <c r="C153" s="116"/>
      <c r="D153" s="116"/>
    </row>
    <row r="154" spans="2:4" ht="12" customHeight="1">
      <c r="B154" s="129"/>
      <c r="C154" s="116"/>
      <c r="D154" s="116"/>
    </row>
    <row r="155" spans="2:4" ht="12" customHeight="1">
      <c r="B155" s="129"/>
      <c r="C155" s="116"/>
      <c r="D155" s="116"/>
    </row>
    <row r="156" spans="2:4" ht="12" customHeight="1">
      <c r="B156" s="129"/>
      <c r="C156" s="116"/>
      <c r="D156" s="116"/>
    </row>
    <row r="157" spans="2:4" ht="12" customHeight="1">
      <c r="B157" s="129"/>
      <c r="C157" s="116"/>
      <c r="D157" s="116"/>
    </row>
    <row r="158" spans="2:4" ht="12" customHeight="1">
      <c r="B158" s="129"/>
      <c r="C158" s="116"/>
      <c r="D158" s="116"/>
    </row>
    <row r="159" spans="2:4" ht="12" customHeight="1">
      <c r="B159" s="129"/>
      <c r="C159" s="116"/>
      <c r="D159" s="116"/>
    </row>
    <row r="160" spans="2:4" ht="12" customHeight="1">
      <c r="B160" s="129"/>
      <c r="C160" s="116"/>
      <c r="D160" s="116"/>
    </row>
    <row r="161" spans="2:4" ht="12" customHeight="1">
      <c r="B161" s="129"/>
      <c r="C161" s="116"/>
      <c r="D161" s="116"/>
    </row>
    <row r="162" spans="2:4" ht="12" customHeight="1">
      <c r="B162" s="129"/>
      <c r="C162" s="116"/>
      <c r="D162" s="116"/>
    </row>
    <row r="163" spans="2:4" ht="12" customHeight="1">
      <c r="B163" s="129"/>
      <c r="C163" s="116"/>
      <c r="D163" s="116"/>
    </row>
    <row r="164" spans="2:4" ht="12" customHeight="1">
      <c r="B164" s="129"/>
      <c r="C164" s="116"/>
      <c r="D164" s="116"/>
    </row>
    <row r="165" spans="2:4" ht="12" customHeight="1">
      <c r="B165" s="129"/>
      <c r="C165" s="116"/>
      <c r="D165" s="116"/>
    </row>
    <row r="166" spans="2:4" ht="12" customHeight="1">
      <c r="B166" s="129"/>
      <c r="C166" s="116"/>
      <c r="D166" s="116"/>
    </row>
    <row r="167" spans="2:4" ht="12" customHeight="1">
      <c r="B167" s="129"/>
      <c r="C167" s="116"/>
      <c r="D167" s="116"/>
    </row>
    <row r="168" spans="2:4" ht="12" customHeight="1">
      <c r="B168" s="129"/>
      <c r="C168" s="116"/>
      <c r="D168" s="116"/>
    </row>
    <row r="169" spans="2:4" ht="12" customHeight="1">
      <c r="B169" s="129"/>
      <c r="C169" s="116"/>
      <c r="D169" s="116"/>
    </row>
    <row r="170" spans="2:4" ht="12" customHeight="1">
      <c r="B170" s="129"/>
      <c r="C170" s="116"/>
      <c r="D170" s="116"/>
    </row>
    <row r="171" spans="2:4" ht="12" customHeight="1">
      <c r="B171" s="129"/>
      <c r="C171" s="116"/>
      <c r="D171" s="116"/>
    </row>
    <row r="172" spans="2:4" ht="12" customHeight="1">
      <c r="B172" s="129"/>
      <c r="C172" s="116"/>
      <c r="D172" s="116"/>
    </row>
    <row r="173" spans="2:4" ht="12" customHeight="1">
      <c r="B173" s="129"/>
      <c r="C173" s="116"/>
      <c r="D173" s="116"/>
    </row>
    <row r="174" spans="2:4" ht="12" customHeight="1">
      <c r="B174" s="129"/>
      <c r="C174" s="116"/>
      <c r="D174" s="116"/>
    </row>
    <row r="175" spans="2:4" ht="12" customHeight="1">
      <c r="B175" s="129"/>
      <c r="C175" s="116"/>
      <c r="D175" s="116"/>
    </row>
    <row r="176" spans="2:4" ht="12" customHeight="1">
      <c r="B176" s="129"/>
      <c r="C176" s="116"/>
      <c r="D176" s="116"/>
    </row>
    <row r="177" spans="2:4" ht="12" customHeight="1">
      <c r="B177" s="129"/>
      <c r="C177" s="116"/>
      <c r="D177" s="116"/>
    </row>
    <row r="178" spans="2:4" ht="12" customHeight="1">
      <c r="B178" s="129"/>
      <c r="C178" s="116"/>
      <c r="D178" s="116"/>
    </row>
    <row r="179" spans="2:4" ht="12" customHeight="1">
      <c r="B179" s="129"/>
      <c r="C179" s="116"/>
      <c r="D179" s="116"/>
    </row>
    <row r="180" spans="2:4" ht="12" customHeight="1">
      <c r="B180" s="129"/>
      <c r="C180" s="116"/>
      <c r="D180" s="116"/>
    </row>
    <row r="181" spans="2:4" ht="12" customHeight="1">
      <c r="B181" s="129"/>
      <c r="C181" s="116"/>
      <c r="D181" s="116"/>
    </row>
    <row r="182" spans="2:4" ht="12" customHeight="1">
      <c r="B182" s="129"/>
      <c r="C182" s="116"/>
      <c r="D182" s="116"/>
    </row>
    <row r="183" spans="2:4" ht="12" customHeight="1">
      <c r="B183" s="129"/>
      <c r="C183" s="116"/>
      <c r="D183" s="116"/>
    </row>
    <row r="184" spans="2:4" ht="12" customHeight="1">
      <c r="B184" s="129"/>
      <c r="C184" s="116"/>
      <c r="D184" s="116"/>
    </row>
    <row r="185" spans="2:4" ht="12" customHeight="1">
      <c r="B185" s="129"/>
      <c r="C185" s="116"/>
      <c r="D185" s="116"/>
    </row>
    <row r="186" spans="2:4" ht="12" customHeight="1">
      <c r="B186" s="129"/>
      <c r="C186" s="116"/>
      <c r="D186" s="116"/>
    </row>
    <row r="187" spans="2:4" ht="12" customHeight="1">
      <c r="B187" s="129"/>
      <c r="C187" s="116"/>
      <c r="D187" s="116"/>
    </row>
    <row r="188" spans="2:4" ht="12" customHeight="1">
      <c r="B188" s="129"/>
      <c r="C188" s="116"/>
      <c r="D188" s="116"/>
    </row>
    <row r="189" spans="2:4" ht="12" customHeight="1">
      <c r="B189" s="129"/>
      <c r="C189" s="116"/>
      <c r="D189" s="116"/>
    </row>
    <row r="190" spans="2:4" ht="12" customHeight="1">
      <c r="B190" s="129"/>
      <c r="C190" s="116"/>
      <c r="D190" s="116"/>
    </row>
    <row r="191" spans="2:4" ht="12" customHeight="1">
      <c r="B191" s="129"/>
      <c r="C191" s="116"/>
      <c r="D191" s="116"/>
    </row>
    <row r="192" spans="2:4" ht="12" customHeight="1">
      <c r="B192" s="129"/>
      <c r="C192" s="116"/>
      <c r="D192" s="116"/>
    </row>
    <row r="193" spans="2:4" ht="12" customHeight="1">
      <c r="B193" s="129"/>
      <c r="C193" s="116"/>
      <c r="D193" s="116"/>
    </row>
    <row r="194" spans="2:4" ht="12" customHeight="1">
      <c r="B194" s="129"/>
      <c r="C194" s="116"/>
      <c r="D194" s="116"/>
    </row>
    <row r="195" spans="2:4" ht="12" customHeight="1">
      <c r="B195" s="129"/>
      <c r="C195" s="116"/>
      <c r="D195" s="116"/>
    </row>
    <row r="196" spans="2:4" ht="12" customHeight="1">
      <c r="B196" s="129"/>
      <c r="C196" s="116"/>
      <c r="D196" s="116"/>
    </row>
    <row r="197" spans="2:4" ht="12" customHeight="1">
      <c r="B197" s="129"/>
      <c r="C197" s="116"/>
      <c r="D197" s="116"/>
    </row>
    <row r="198" spans="2:4" ht="12" customHeight="1">
      <c r="B198" s="129"/>
      <c r="C198" s="116"/>
      <c r="D198" s="116"/>
    </row>
    <row r="199" spans="2:4" ht="12" customHeight="1">
      <c r="B199" s="129"/>
      <c r="C199" s="116"/>
      <c r="D199" s="116"/>
    </row>
    <row r="200" spans="2:4" ht="12" customHeight="1">
      <c r="B200" s="129"/>
      <c r="C200" s="116"/>
      <c r="D200" s="116"/>
    </row>
    <row r="201" spans="2:4" ht="12" customHeight="1">
      <c r="B201" s="129"/>
      <c r="C201" s="116"/>
      <c r="D201" s="116"/>
    </row>
    <row r="202" spans="2:4" ht="12" customHeight="1">
      <c r="B202" s="129"/>
      <c r="C202" s="116"/>
      <c r="D202" s="116"/>
    </row>
    <row r="203" spans="2:4" ht="12" customHeight="1">
      <c r="B203" s="129"/>
      <c r="C203" s="116"/>
      <c r="D203" s="116"/>
    </row>
    <row r="204" spans="2:4" ht="12" customHeight="1">
      <c r="B204" s="129"/>
      <c r="C204" s="116"/>
      <c r="D204" s="116"/>
    </row>
    <row r="205" spans="2:4" ht="12" customHeight="1">
      <c r="B205" s="129"/>
      <c r="C205" s="116"/>
      <c r="D205" s="116"/>
    </row>
    <row r="206" spans="2:4" ht="12" customHeight="1">
      <c r="B206" s="129"/>
      <c r="C206" s="116"/>
      <c r="D206" s="116"/>
    </row>
    <row r="207" spans="2:4" ht="12" customHeight="1">
      <c r="B207" s="129"/>
      <c r="C207" s="116"/>
      <c r="D207" s="116"/>
    </row>
    <row r="208" spans="2:4" ht="12" customHeight="1">
      <c r="B208" s="129"/>
      <c r="C208" s="116"/>
      <c r="D208" s="116"/>
    </row>
    <row r="209" spans="2:4" ht="12" customHeight="1">
      <c r="B209" s="129"/>
      <c r="C209" s="116"/>
      <c r="D209" s="116"/>
    </row>
    <row r="210" spans="2:4" ht="12" customHeight="1">
      <c r="B210" s="129"/>
      <c r="C210" s="116"/>
      <c r="D210" s="116"/>
    </row>
    <row r="211" spans="2:4" ht="12" customHeight="1">
      <c r="B211" s="129"/>
      <c r="C211" s="116"/>
      <c r="D211" s="116"/>
    </row>
    <row r="212" spans="2:4" ht="12" customHeight="1">
      <c r="B212" s="129"/>
      <c r="C212" s="116"/>
      <c r="D212" s="116"/>
    </row>
    <row r="213" spans="2:4" ht="12" customHeight="1">
      <c r="B213" s="129"/>
      <c r="C213" s="116"/>
      <c r="D213" s="116"/>
    </row>
    <row r="214" spans="2:4" ht="12" customHeight="1">
      <c r="B214" s="129"/>
      <c r="C214" s="116"/>
      <c r="D214" s="116"/>
    </row>
    <row r="215" spans="2:4" ht="12" customHeight="1">
      <c r="B215" s="129"/>
      <c r="C215" s="116"/>
      <c r="D215" s="116"/>
    </row>
    <row r="216" spans="2:4" ht="12" customHeight="1">
      <c r="B216" s="129"/>
      <c r="C216" s="116"/>
      <c r="D216" s="116"/>
    </row>
    <row r="217" spans="2:4" ht="12" customHeight="1">
      <c r="B217" s="129"/>
      <c r="C217" s="116"/>
      <c r="D217" s="116"/>
    </row>
    <row r="218" spans="2:4" ht="12" customHeight="1">
      <c r="B218" s="129"/>
      <c r="C218" s="116"/>
      <c r="D218" s="116"/>
    </row>
    <row r="219" spans="2:4" ht="12" customHeight="1">
      <c r="B219" s="129"/>
      <c r="C219" s="116"/>
      <c r="D219" s="116"/>
    </row>
    <row r="220" spans="2:4" ht="12" customHeight="1">
      <c r="B220" s="129"/>
      <c r="C220" s="116"/>
      <c r="D220" s="116"/>
    </row>
    <row r="221" spans="2:4" ht="12" customHeight="1">
      <c r="B221" s="129"/>
      <c r="C221" s="116"/>
      <c r="D221" s="116"/>
    </row>
    <row r="222" spans="2:4" ht="12" customHeight="1">
      <c r="B222" s="129"/>
      <c r="C222" s="116"/>
      <c r="D222" s="116"/>
    </row>
    <row r="223" spans="2:4" ht="12" customHeight="1">
      <c r="B223" s="129"/>
      <c r="C223" s="116"/>
      <c r="D223" s="116"/>
    </row>
    <row r="224" spans="2:4" ht="12" customHeight="1">
      <c r="B224" s="129"/>
      <c r="C224" s="116"/>
      <c r="D224" s="116"/>
    </row>
    <row r="225" spans="2:4" ht="12" customHeight="1">
      <c r="B225" s="129"/>
      <c r="C225" s="116"/>
      <c r="D225" s="116"/>
    </row>
    <row r="226" spans="2:4" ht="12" customHeight="1">
      <c r="B226" s="129"/>
      <c r="C226" s="116"/>
      <c r="D226" s="116"/>
    </row>
    <row r="227" spans="2:4" ht="12" customHeight="1">
      <c r="B227" s="129"/>
      <c r="C227" s="116"/>
      <c r="D227" s="116"/>
    </row>
    <row r="228" spans="2:4" ht="12" customHeight="1">
      <c r="B228" s="129"/>
      <c r="C228" s="116"/>
      <c r="D228" s="116"/>
    </row>
    <row r="229" spans="2:4" ht="12" customHeight="1">
      <c r="B229" s="129"/>
      <c r="C229" s="116"/>
      <c r="D229" s="116"/>
    </row>
    <row r="230" spans="2:4" ht="12" customHeight="1">
      <c r="B230" s="129"/>
      <c r="C230" s="116"/>
      <c r="D230" s="116"/>
    </row>
    <row r="231" spans="2:4" ht="12" customHeight="1">
      <c r="B231" s="129"/>
      <c r="C231" s="116"/>
      <c r="D231" s="116"/>
    </row>
    <row r="232" spans="2:4" ht="12" customHeight="1">
      <c r="B232" s="129"/>
      <c r="C232" s="116"/>
      <c r="D232" s="116"/>
    </row>
    <row r="233" spans="2:4" ht="12" customHeight="1">
      <c r="B233" s="129"/>
      <c r="C233" s="116"/>
      <c r="D233" s="116"/>
    </row>
    <row r="234" spans="2:4" ht="12" customHeight="1">
      <c r="B234" s="129"/>
      <c r="C234" s="116"/>
      <c r="D234" s="116"/>
    </row>
    <row r="235" spans="2:4" ht="12" customHeight="1">
      <c r="B235" s="129"/>
      <c r="C235" s="116"/>
      <c r="D235" s="116"/>
    </row>
    <row r="236" spans="2:4" ht="12" customHeight="1">
      <c r="B236" s="129"/>
      <c r="C236" s="116"/>
      <c r="D236" s="116"/>
    </row>
    <row r="237" spans="2:4" ht="12" customHeight="1">
      <c r="B237" s="129"/>
      <c r="C237" s="116"/>
      <c r="D237" s="116"/>
    </row>
    <row r="238" spans="2:4" ht="12" customHeight="1">
      <c r="B238" s="129"/>
      <c r="C238" s="116"/>
      <c r="D238" s="116"/>
    </row>
    <row r="239" spans="2:4" ht="12" customHeight="1">
      <c r="B239" s="129"/>
      <c r="C239" s="116"/>
      <c r="D239" s="116"/>
    </row>
    <row r="240" spans="2:4" ht="12" customHeight="1">
      <c r="B240" s="129"/>
      <c r="C240" s="116"/>
      <c r="D240" s="116"/>
    </row>
    <row r="241" spans="2:4" ht="12" customHeight="1">
      <c r="B241" s="129"/>
      <c r="C241" s="116"/>
      <c r="D241" s="116"/>
    </row>
    <row r="242" spans="2:4" ht="12" customHeight="1">
      <c r="B242" s="129"/>
      <c r="C242" s="116"/>
      <c r="D242" s="116"/>
    </row>
    <row r="243" spans="2:4" ht="12" customHeight="1">
      <c r="B243" s="129"/>
      <c r="C243" s="116"/>
      <c r="D243" s="116"/>
    </row>
    <row r="244" spans="2:4" ht="12" customHeight="1">
      <c r="B244" s="129"/>
      <c r="C244" s="116"/>
      <c r="D244" s="116"/>
    </row>
    <row r="245" spans="2:4" ht="12" customHeight="1">
      <c r="B245" s="129"/>
      <c r="C245" s="116"/>
      <c r="D245" s="116"/>
    </row>
    <row r="246" spans="2:4" ht="12" customHeight="1">
      <c r="B246" s="129"/>
      <c r="C246" s="116"/>
      <c r="D246" s="116"/>
    </row>
    <row r="247" spans="2:4" ht="12" customHeight="1">
      <c r="B247" s="129"/>
      <c r="C247" s="116"/>
      <c r="D247" s="116"/>
    </row>
    <row r="248" spans="2:4" ht="12" customHeight="1">
      <c r="B248" s="129"/>
      <c r="C248" s="116"/>
      <c r="D248" s="116"/>
    </row>
    <row r="249" spans="2:4" ht="12" customHeight="1">
      <c r="B249" s="129"/>
      <c r="C249" s="116"/>
      <c r="D249" s="116"/>
    </row>
    <row r="250" spans="2:4" ht="12" customHeight="1">
      <c r="B250" s="129"/>
      <c r="C250" s="116"/>
      <c r="D250" s="116"/>
    </row>
    <row r="251" spans="2:4" ht="12" customHeight="1">
      <c r="B251" s="129"/>
      <c r="C251" s="116"/>
      <c r="D251" s="116"/>
    </row>
    <row r="252" spans="2:4" ht="12" customHeight="1">
      <c r="B252" s="129"/>
      <c r="C252" s="116"/>
      <c r="D252" s="116"/>
    </row>
    <row r="253" spans="2:4" ht="12" customHeight="1">
      <c r="B253" s="129"/>
      <c r="C253" s="116"/>
      <c r="D253" s="116"/>
    </row>
    <row r="254" spans="2:4" ht="12" customHeight="1">
      <c r="B254" s="129"/>
      <c r="C254" s="116"/>
      <c r="D254" s="116"/>
    </row>
    <row r="255" spans="2:4" ht="12" customHeight="1">
      <c r="B255" s="129"/>
      <c r="C255" s="116"/>
      <c r="D255" s="116"/>
    </row>
    <row r="256" spans="2:4" ht="12" customHeight="1">
      <c r="B256" s="129"/>
      <c r="C256" s="116"/>
      <c r="D256" s="116"/>
    </row>
    <row r="257" spans="2:4" ht="12" customHeight="1">
      <c r="B257" s="129"/>
      <c r="C257" s="116"/>
      <c r="D257" s="116"/>
    </row>
    <row r="258" spans="2:4" ht="12" customHeight="1">
      <c r="B258" s="129"/>
      <c r="C258" s="116"/>
      <c r="D258" s="116"/>
    </row>
    <row r="259" spans="2:4" ht="12" customHeight="1">
      <c r="B259" s="129"/>
      <c r="C259" s="116"/>
      <c r="D259" s="116"/>
    </row>
    <row r="260" spans="2:4" ht="12" customHeight="1">
      <c r="B260" s="129"/>
      <c r="C260" s="116"/>
      <c r="D260" s="116"/>
    </row>
    <row r="261" spans="2:4" ht="12" customHeight="1">
      <c r="B261" s="129"/>
      <c r="C261" s="116"/>
      <c r="D261" s="116"/>
    </row>
    <row r="262" spans="2:4" ht="12" customHeight="1">
      <c r="B262" s="129"/>
      <c r="C262" s="116"/>
      <c r="D262" s="116"/>
    </row>
    <row r="263" spans="2:4" ht="12" customHeight="1">
      <c r="B263" s="129"/>
      <c r="C263" s="116"/>
      <c r="D263" s="116"/>
    </row>
    <row r="264" spans="2:4" ht="12" customHeight="1">
      <c r="B264" s="129"/>
      <c r="C264" s="116"/>
      <c r="D264" s="116"/>
    </row>
    <row r="265" spans="2:4" ht="12" customHeight="1">
      <c r="B265" s="129"/>
      <c r="C265" s="116"/>
      <c r="D265" s="116"/>
    </row>
    <row r="266" spans="2:4" ht="12" customHeight="1">
      <c r="B266" s="129"/>
      <c r="C266" s="116"/>
      <c r="D266" s="116"/>
    </row>
    <row r="267" spans="2:4" ht="12" customHeight="1">
      <c r="B267" s="129"/>
      <c r="C267" s="116"/>
      <c r="D267" s="116"/>
    </row>
    <row r="268" spans="2:4" ht="12" customHeight="1">
      <c r="B268" s="129"/>
      <c r="C268" s="116"/>
      <c r="D268" s="116"/>
    </row>
    <row r="269" spans="2:4" ht="12" customHeight="1">
      <c r="B269" s="129"/>
      <c r="C269" s="116"/>
      <c r="D269" s="116"/>
    </row>
    <row r="270" spans="2:4" ht="12" customHeight="1">
      <c r="B270" s="129"/>
      <c r="C270" s="116"/>
      <c r="D270" s="116"/>
    </row>
    <row r="271" spans="2:4" ht="12" customHeight="1">
      <c r="B271" s="129"/>
      <c r="C271" s="116"/>
      <c r="D271" s="116"/>
    </row>
    <row r="272" spans="2:4" ht="12" customHeight="1">
      <c r="B272" s="129"/>
      <c r="C272" s="116"/>
      <c r="D272" s="116"/>
    </row>
    <row r="273" spans="2:4" ht="12" customHeight="1">
      <c r="B273" s="129"/>
      <c r="C273" s="116"/>
      <c r="D273" s="116"/>
    </row>
    <row r="274" spans="2:4" ht="12" customHeight="1">
      <c r="B274" s="129"/>
      <c r="C274" s="116"/>
      <c r="D274" s="116"/>
    </row>
    <row r="275" spans="2:4" ht="12" customHeight="1">
      <c r="B275" s="129"/>
      <c r="C275" s="116"/>
      <c r="D275" s="116"/>
    </row>
    <row r="276" spans="2:4" ht="12" customHeight="1">
      <c r="B276" s="129"/>
      <c r="C276" s="116"/>
      <c r="D276" s="116"/>
    </row>
    <row r="277" spans="2:4" ht="12" customHeight="1">
      <c r="B277" s="129"/>
      <c r="C277" s="116"/>
      <c r="D277" s="116"/>
    </row>
    <row r="278" spans="2:4" ht="12" customHeight="1">
      <c r="B278" s="129"/>
      <c r="C278" s="116"/>
      <c r="D278" s="116"/>
    </row>
    <row r="279" spans="2:4" ht="12" customHeight="1">
      <c r="B279" s="129"/>
      <c r="C279" s="116"/>
      <c r="D279" s="116"/>
    </row>
    <row r="280" spans="2:4" ht="12" customHeight="1">
      <c r="B280" s="129"/>
      <c r="C280" s="116"/>
      <c r="D280" s="116"/>
    </row>
    <row r="281" spans="2:4" ht="12" customHeight="1">
      <c r="B281" s="129"/>
      <c r="C281" s="116"/>
      <c r="D281" s="116"/>
    </row>
    <row r="282" spans="2:4" ht="12" customHeight="1">
      <c r="B282" s="129"/>
      <c r="C282" s="116"/>
      <c r="D282" s="116"/>
    </row>
    <row r="283" spans="2:4" ht="12" customHeight="1">
      <c r="B283" s="129"/>
      <c r="C283" s="116"/>
      <c r="D283" s="116"/>
    </row>
    <row r="284" spans="2:4" ht="12" customHeight="1">
      <c r="B284" s="129"/>
      <c r="C284" s="116"/>
      <c r="D284" s="116"/>
    </row>
    <row r="285" spans="2:4" ht="12" customHeight="1">
      <c r="B285" s="129"/>
      <c r="C285" s="116"/>
      <c r="D285" s="116"/>
    </row>
    <row r="286" spans="2:4" ht="12" customHeight="1">
      <c r="B286" s="129"/>
      <c r="C286" s="116"/>
      <c r="D286" s="116"/>
    </row>
    <row r="287" spans="2:4" ht="12" customHeight="1">
      <c r="B287" s="129"/>
      <c r="C287" s="116"/>
      <c r="D287" s="116"/>
    </row>
    <row r="288" spans="2:4" ht="12" customHeight="1">
      <c r="B288" s="129"/>
      <c r="C288" s="116"/>
      <c r="D288" s="116"/>
    </row>
    <row r="289" spans="2:4" ht="12" customHeight="1">
      <c r="B289" s="129"/>
      <c r="C289" s="116"/>
      <c r="D289" s="116"/>
    </row>
    <row r="290" spans="2:4" ht="12" customHeight="1">
      <c r="B290" s="129"/>
      <c r="C290" s="116"/>
      <c r="D290" s="116"/>
    </row>
    <row r="291" spans="2:4" ht="12" customHeight="1">
      <c r="B291" s="129"/>
      <c r="C291" s="116"/>
      <c r="D291" s="116"/>
    </row>
    <row r="292" spans="2:4" ht="12" customHeight="1">
      <c r="B292" s="129"/>
      <c r="C292" s="116"/>
      <c r="D292" s="116"/>
    </row>
    <row r="293" spans="2:4" ht="12" customHeight="1">
      <c r="B293" s="129"/>
      <c r="C293" s="116"/>
      <c r="D293" s="116"/>
    </row>
    <row r="294" spans="2:4" ht="12" customHeight="1">
      <c r="B294" s="129"/>
      <c r="C294" s="116"/>
      <c r="D294" s="116"/>
    </row>
    <row r="295" spans="2:4" ht="12" customHeight="1">
      <c r="B295" s="129"/>
      <c r="C295" s="116"/>
      <c r="D295" s="116"/>
    </row>
    <row r="296" spans="2:4" ht="12" customHeight="1">
      <c r="B296" s="129"/>
      <c r="C296" s="116"/>
      <c r="D296" s="116"/>
    </row>
    <row r="297" spans="2:4" ht="12" customHeight="1">
      <c r="B297" s="129"/>
      <c r="C297" s="116"/>
      <c r="D297" s="116"/>
    </row>
    <row r="298" spans="2:4" ht="12" customHeight="1">
      <c r="B298" s="129"/>
      <c r="C298" s="116"/>
      <c r="D298" s="116"/>
    </row>
    <row r="299" spans="2:4" ht="12" customHeight="1">
      <c r="B299" s="129"/>
      <c r="C299" s="116"/>
      <c r="D299" s="116"/>
    </row>
    <row r="300" spans="2:4" ht="12" customHeight="1">
      <c r="B300" s="129"/>
      <c r="C300" s="116"/>
      <c r="D300" s="116"/>
    </row>
    <row r="301" spans="2:4" ht="12" customHeight="1">
      <c r="B301" s="129"/>
      <c r="C301" s="116"/>
      <c r="D301" s="116"/>
    </row>
    <row r="302" spans="2:4" ht="12" customHeight="1">
      <c r="B302" s="129"/>
      <c r="C302" s="116"/>
      <c r="D302" s="116"/>
    </row>
    <row r="303" spans="2:4" ht="12" customHeight="1">
      <c r="B303" s="129"/>
      <c r="C303" s="116"/>
      <c r="D303" s="116"/>
    </row>
    <row r="304" spans="2:4" ht="12" customHeight="1">
      <c r="B304" s="129"/>
      <c r="C304" s="116"/>
      <c r="D304" s="116"/>
    </row>
    <row r="305" spans="2:4" ht="12" customHeight="1">
      <c r="B305" s="129"/>
      <c r="C305" s="116"/>
      <c r="D305" s="116"/>
    </row>
    <row r="306" spans="2:4" ht="12" customHeight="1">
      <c r="B306" s="129"/>
      <c r="C306" s="116"/>
      <c r="D306" s="116"/>
    </row>
    <row r="307" spans="2:4" ht="12" customHeight="1">
      <c r="B307" s="129"/>
      <c r="C307" s="116"/>
      <c r="D307" s="116"/>
    </row>
    <row r="308" spans="2:4" ht="12" customHeight="1">
      <c r="B308" s="129"/>
      <c r="C308" s="116"/>
      <c r="D308" s="116"/>
    </row>
    <row r="309" spans="2:4" ht="12" customHeight="1">
      <c r="B309" s="129"/>
      <c r="C309" s="116"/>
      <c r="D309" s="116"/>
    </row>
    <row r="310" spans="2:4" ht="12" customHeight="1">
      <c r="B310" s="129"/>
      <c r="C310" s="116"/>
      <c r="D310" s="116"/>
    </row>
    <row r="311" spans="2:4" ht="12" customHeight="1">
      <c r="B311" s="129"/>
      <c r="C311" s="116"/>
      <c r="D311" s="116"/>
    </row>
    <row r="312" spans="2:4" ht="12" customHeight="1">
      <c r="B312" s="129"/>
      <c r="C312" s="116"/>
      <c r="D312" s="116"/>
    </row>
    <row r="313" spans="2:4" ht="12" customHeight="1">
      <c r="B313" s="129"/>
      <c r="C313" s="116"/>
      <c r="D313" s="116"/>
    </row>
    <row r="314" spans="2:4" ht="12" customHeight="1">
      <c r="B314" s="129"/>
      <c r="C314" s="116"/>
      <c r="D314" s="116"/>
    </row>
    <row r="315" spans="2:4" ht="12" customHeight="1">
      <c r="B315" s="129"/>
      <c r="C315" s="116"/>
      <c r="D315" s="116"/>
    </row>
    <row r="316" spans="2:4" ht="12" customHeight="1">
      <c r="B316" s="129"/>
      <c r="C316" s="116"/>
      <c r="D316" s="116"/>
    </row>
    <row r="317" spans="2:4" ht="12" customHeight="1">
      <c r="B317" s="129"/>
      <c r="C317" s="116"/>
      <c r="D317" s="116"/>
    </row>
    <row r="318" spans="2:4" ht="12" customHeight="1">
      <c r="B318" s="129"/>
      <c r="C318" s="116"/>
      <c r="D318" s="116"/>
    </row>
    <row r="319" spans="2:4" ht="12" customHeight="1">
      <c r="B319" s="129"/>
      <c r="C319" s="116"/>
      <c r="D319" s="116"/>
    </row>
    <row r="320" spans="2:4" ht="12" customHeight="1">
      <c r="B320" s="129"/>
      <c r="C320" s="116"/>
      <c r="D320" s="116"/>
    </row>
    <row r="321" spans="2:4" ht="12" customHeight="1">
      <c r="B321" s="129"/>
      <c r="C321" s="116"/>
      <c r="D321" s="116"/>
    </row>
    <row r="322" spans="2:4" ht="12" customHeight="1">
      <c r="B322" s="129"/>
      <c r="C322" s="116"/>
      <c r="D322" s="116"/>
    </row>
    <row r="323" spans="2:4" ht="12" customHeight="1">
      <c r="B323" s="129"/>
      <c r="C323" s="116"/>
      <c r="D323" s="116"/>
    </row>
    <row r="324" spans="2:4" ht="12" customHeight="1">
      <c r="B324" s="129"/>
      <c r="C324" s="116"/>
      <c r="D324" s="116"/>
    </row>
    <row r="325" spans="2:4" ht="12" customHeight="1">
      <c r="B325" s="129"/>
      <c r="C325" s="116"/>
      <c r="D325" s="116"/>
    </row>
    <row r="326" spans="2:4" ht="12" customHeight="1">
      <c r="B326" s="129"/>
      <c r="C326" s="116"/>
      <c r="D326" s="116"/>
    </row>
    <row r="327" spans="2:4" ht="12" customHeight="1">
      <c r="B327" s="129"/>
      <c r="C327" s="116"/>
      <c r="D327" s="116"/>
    </row>
    <row r="328" spans="2:4" ht="12" customHeight="1">
      <c r="B328" s="129"/>
      <c r="C328" s="116"/>
      <c r="D328" s="116"/>
    </row>
    <row r="329" spans="2:4" ht="12" customHeight="1">
      <c r="B329" s="129"/>
      <c r="C329" s="116"/>
      <c r="D329" s="116"/>
    </row>
    <row r="330" spans="2:4" ht="12" customHeight="1">
      <c r="B330" s="129"/>
      <c r="C330" s="116"/>
      <c r="D330" s="116"/>
    </row>
    <row r="331" spans="2:4" ht="12" customHeight="1">
      <c r="B331" s="129"/>
      <c r="C331" s="116"/>
      <c r="D331" s="116"/>
    </row>
    <row r="332" spans="2:4" ht="12" customHeight="1">
      <c r="B332" s="129"/>
      <c r="C332" s="116"/>
      <c r="D332" s="116"/>
    </row>
    <row r="333" spans="2:4" ht="12" customHeight="1">
      <c r="B333" s="129"/>
      <c r="C333" s="116"/>
      <c r="D333" s="116"/>
    </row>
    <row r="334" spans="2:4" ht="12" customHeight="1">
      <c r="B334" s="129"/>
      <c r="C334" s="116"/>
      <c r="D334" s="116"/>
    </row>
    <row r="335" spans="2:4" ht="12" customHeight="1">
      <c r="B335" s="129"/>
      <c r="C335" s="116"/>
      <c r="D335" s="116"/>
    </row>
    <row r="336" spans="2:4" ht="12" customHeight="1">
      <c r="B336" s="129"/>
      <c r="C336" s="116"/>
      <c r="D336" s="116"/>
    </row>
    <row r="337" spans="2:4" ht="12" customHeight="1">
      <c r="B337" s="129"/>
      <c r="C337" s="116"/>
      <c r="D337" s="116"/>
    </row>
    <row r="338" spans="2:4" ht="12" customHeight="1">
      <c r="B338" s="129"/>
      <c r="C338" s="116"/>
      <c r="D338" s="116"/>
    </row>
  </sheetData>
  <sortState ref="AZ3:BA13">
    <sortCondition ref="BA3:BA13"/>
  </sortState>
  <phoneticPr fontId="0" type="noConversion"/>
  <conditionalFormatting sqref="F50:F60">
    <cfRule type="top10" dxfId="68" priority="54" rank="1"/>
    <cfRule type="top10" dxfId="67" priority="79" rank="1"/>
  </conditionalFormatting>
  <conditionalFormatting sqref="C50:C60">
    <cfRule type="top10" dxfId="66" priority="80" rank="1"/>
  </conditionalFormatting>
  <conditionalFormatting sqref="D50:D60">
    <cfRule type="top10" dxfId="65" priority="81" rank="1"/>
  </conditionalFormatting>
  <conditionalFormatting sqref="E50:E60">
    <cfRule type="top10" dxfId="64" priority="82" rank="1"/>
  </conditionalFormatting>
  <conditionalFormatting sqref="H50:H60">
    <cfRule type="top10" dxfId="63" priority="83" rank="1"/>
  </conditionalFormatting>
  <conditionalFormatting sqref="I50:I60">
    <cfRule type="top10" dxfId="62" priority="89" rank="1"/>
  </conditionalFormatting>
  <conditionalFormatting sqref="J50:J60">
    <cfRule type="top10" dxfId="61" priority="84" rank="1"/>
  </conditionalFormatting>
  <conditionalFormatting sqref="K50:K60">
    <cfRule type="top10" dxfId="60" priority="85" rank="1"/>
  </conditionalFormatting>
  <conditionalFormatting sqref="L50:L60">
    <cfRule type="top10" dxfId="59" priority="86" rank="1"/>
  </conditionalFormatting>
  <conditionalFormatting sqref="M50:M60">
    <cfRule type="top10" dxfId="58" priority="87" rank="1"/>
  </conditionalFormatting>
  <conditionalFormatting sqref="N50:N60">
    <cfRule type="top10" dxfId="57" priority="88" rank="1"/>
  </conditionalFormatting>
  <conditionalFormatting sqref="G50:G60">
    <cfRule type="top10" dxfId="56" priority="98" rank="1"/>
  </conditionalFormatting>
  <conditionalFormatting sqref="O50:O60">
    <cfRule type="top10" dxfId="55" priority="90" rank="1"/>
  </conditionalFormatting>
  <conditionalFormatting sqref="P50:P60">
    <cfRule type="top10" dxfId="54" priority="91" rank="1"/>
  </conditionalFormatting>
  <conditionalFormatting sqref="Q50:Q60">
    <cfRule type="top10" dxfId="53" priority="92" rank="1"/>
  </conditionalFormatting>
  <conditionalFormatting sqref="R50:R60">
    <cfRule type="top10" dxfId="52" priority="93" rank="1"/>
  </conditionalFormatting>
  <conditionalFormatting sqref="S50:S60">
    <cfRule type="top10" dxfId="51" priority="94" rank="1"/>
  </conditionalFormatting>
  <conditionalFormatting sqref="T50:T60">
    <cfRule type="top10" dxfId="50" priority="95" rank="1"/>
  </conditionalFormatting>
  <conditionalFormatting sqref="U50:U60">
    <cfRule type="top10" dxfId="49" priority="96" rank="1"/>
  </conditionalFormatting>
  <conditionalFormatting sqref="V50:V60">
    <cfRule type="top10" dxfId="48" priority="97" rank="1"/>
  </conditionalFormatting>
  <conditionalFormatting sqref="W50:W60">
    <cfRule type="top10" dxfId="47" priority="98" rank="1"/>
  </conditionalFormatting>
  <conditionalFormatting sqref="C50:X60 C22:X32">
    <cfRule type="cellIs" dxfId="46" priority="27" stopIfTrue="1" operator="equal">
      <formula>0</formula>
    </cfRule>
  </conditionalFormatting>
  <conditionalFormatting sqref="G22:G32">
    <cfRule type="top10" dxfId="45" priority="53" rank="1"/>
  </conditionalFormatting>
  <conditionalFormatting sqref="F22:F32">
    <cfRule type="top10" dxfId="44" priority="50" rank="1"/>
  </conditionalFormatting>
  <conditionalFormatting sqref="E22:E32">
    <cfRule type="top10" dxfId="43" priority="48" rank="1"/>
  </conditionalFormatting>
  <conditionalFormatting sqref="C22:C32">
    <cfRule type="top10" dxfId="42" priority="46" rank="1"/>
  </conditionalFormatting>
  <conditionalFormatting sqref="D22:D32">
    <cfRule type="top10" dxfId="41" priority="45" rank="1"/>
  </conditionalFormatting>
  <conditionalFormatting sqref="H22:H32">
    <cfRule type="top10" dxfId="40" priority="44" rank="1"/>
  </conditionalFormatting>
  <conditionalFormatting sqref="I22:I32">
    <cfRule type="top10" dxfId="39" priority="43" rank="1"/>
  </conditionalFormatting>
  <conditionalFormatting sqref="J22:J32">
    <cfRule type="top10" dxfId="38" priority="42" rank="1"/>
  </conditionalFormatting>
  <conditionalFormatting sqref="K22:K32">
    <cfRule type="top10" dxfId="37" priority="41" rank="1"/>
  </conditionalFormatting>
  <conditionalFormatting sqref="L22:L32">
    <cfRule type="top10" dxfId="36" priority="40" rank="1"/>
  </conditionalFormatting>
  <conditionalFormatting sqref="M22:M32">
    <cfRule type="top10" dxfId="35" priority="39" rank="1"/>
  </conditionalFormatting>
  <conditionalFormatting sqref="N22:N32">
    <cfRule type="top10" dxfId="34" priority="38" rank="1"/>
  </conditionalFormatting>
  <conditionalFormatting sqref="O22:O32">
    <cfRule type="top10" dxfId="33" priority="37" rank="1"/>
  </conditionalFormatting>
  <conditionalFormatting sqref="P22:P32">
    <cfRule type="top10" dxfId="32" priority="36" rank="1"/>
  </conditionalFormatting>
  <conditionalFormatting sqref="Q22:Q32">
    <cfRule type="top10" dxfId="31" priority="35" rank="1"/>
  </conditionalFormatting>
  <conditionalFormatting sqref="R22:R32">
    <cfRule type="top10" dxfId="30" priority="34" rank="1"/>
  </conditionalFormatting>
  <conditionalFormatting sqref="S22:S32">
    <cfRule type="top10" dxfId="29" priority="33" rank="1"/>
  </conditionalFormatting>
  <conditionalFormatting sqref="T22:T32">
    <cfRule type="top10" dxfId="28" priority="32" rank="1"/>
  </conditionalFormatting>
  <conditionalFormatting sqref="U22:U32">
    <cfRule type="top10" dxfId="27" priority="31" rank="1"/>
  </conditionalFormatting>
  <conditionalFormatting sqref="V22:V32">
    <cfRule type="top10" dxfId="26" priority="30" rank="1"/>
  </conditionalFormatting>
  <conditionalFormatting sqref="W22:W32">
    <cfRule type="top10" dxfId="25" priority="29" rank="1"/>
  </conditionalFormatting>
  <conditionalFormatting sqref="X22:X32">
    <cfRule type="top10" dxfId="24" priority="28" rank="1"/>
  </conditionalFormatting>
  <conditionalFormatting sqref="C37:C47">
    <cfRule type="top10" dxfId="23" priority="25" rank="1"/>
  </conditionalFormatting>
  <conditionalFormatting sqref="D37:D47">
    <cfRule type="top10" dxfId="22" priority="24" rank="1"/>
  </conditionalFormatting>
  <conditionalFormatting sqref="E37:E47">
    <cfRule type="top10" dxfId="21" priority="23" rank="1"/>
  </conditionalFormatting>
  <conditionalFormatting sqref="F37:F47">
    <cfRule type="top10" dxfId="20" priority="21" rank="1"/>
    <cfRule type="top10" dxfId="19" priority="22" rank="1"/>
  </conditionalFormatting>
  <conditionalFormatting sqref="G37:G47">
    <cfRule type="top10" dxfId="18" priority="20" rank="1"/>
  </conditionalFormatting>
  <conditionalFormatting sqref="H37:H47">
    <cfRule type="top10" dxfId="17" priority="19" rank="1"/>
  </conditionalFormatting>
  <conditionalFormatting sqref="I37:I47">
    <cfRule type="top10" dxfId="16" priority="18" rank="1"/>
  </conditionalFormatting>
  <conditionalFormatting sqref="J37:J47">
    <cfRule type="top10" dxfId="15" priority="17" rank="1"/>
  </conditionalFormatting>
  <conditionalFormatting sqref="K37:K47">
    <cfRule type="top10" dxfId="14" priority="16" rank="1"/>
  </conditionalFormatting>
  <conditionalFormatting sqref="L37:L47">
    <cfRule type="top10" dxfId="13" priority="15" rank="1"/>
  </conditionalFormatting>
  <conditionalFormatting sqref="M37:M47">
    <cfRule type="top10" dxfId="12" priority="14" rank="1"/>
  </conditionalFormatting>
  <conditionalFormatting sqref="N37:N47">
    <cfRule type="top10" dxfId="11" priority="13" rank="1"/>
  </conditionalFormatting>
  <conditionalFormatting sqref="O37:O47">
    <cfRule type="top10" dxfId="10" priority="12" rank="1"/>
  </conditionalFormatting>
  <conditionalFormatting sqref="P37:P47">
    <cfRule type="top10" dxfId="9" priority="11" rank="1"/>
  </conditionalFormatting>
  <conditionalFormatting sqref="Q37:Q47">
    <cfRule type="top10" dxfId="8" priority="10" rank="1"/>
  </conditionalFormatting>
  <conditionalFormatting sqref="R37:R47">
    <cfRule type="top10" dxfId="7" priority="9" rank="1"/>
  </conditionalFormatting>
  <conditionalFormatting sqref="S37:S47">
    <cfRule type="top10" dxfId="6" priority="8" rank="1"/>
  </conditionalFormatting>
  <conditionalFormatting sqref="T37:T47">
    <cfRule type="top10" dxfId="5" priority="7" rank="1"/>
  </conditionalFormatting>
  <conditionalFormatting sqref="U37:U47">
    <cfRule type="top10" dxfId="4" priority="6" rank="1"/>
  </conditionalFormatting>
  <conditionalFormatting sqref="V37:V47">
    <cfRule type="top10" dxfId="3" priority="5" rank="1"/>
  </conditionalFormatting>
  <conditionalFormatting sqref="W37:W47">
    <cfRule type="top10" dxfId="2" priority="4" rank="1"/>
  </conditionalFormatting>
  <conditionalFormatting sqref="X37:X47">
    <cfRule type="top10" dxfId="1" priority="3" rank="1"/>
  </conditionalFormatting>
  <conditionalFormatting sqref="C37:X47">
    <cfRule type="cellIs" priority="2" stopIfTrue="1" operator="equal">
      <formula>0</formula>
    </cfRule>
  </conditionalFormatting>
  <conditionalFormatting sqref="AC50:AY60">
    <cfRule type="cellIs" dxfId="0" priority="1" operator="equal">
      <formula>1</formula>
    </cfRule>
  </conditionalFormatting>
  <pageMargins left="0.22" right="0.66" top="0.22" bottom="0.24" header="0.17" footer="0.16"/>
  <pageSetup paperSize="9" scale="83" orientation="landscape" horizontalDpi="4294967293" verticalDpi="300" r:id="rId1"/>
  <headerFooter alignWithMargins="0"/>
  <legacyDrawing r:id="rId2"/>
</worksheet>
</file>

<file path=xl/worksheets/sheet10.xml><?xml version="1.0" encoding="utf-8"?>
<worksheet xmlns="http://schemas.openxmlformats.org/spreadsheetml/2006/main" xmlns:r="http://schemas.openxmlformats.org/officeDocument/2006/relationships">
  <sheetPr codeName="Blad17" enableFormatConditionsCalculation="0">
    <tabColor indexed="12"/>
  </sheetPr>
  <dimension ref="C1:AB71"/>
  <sheetViews>
    <sheetView showZeros="0" workbookViewId="0">
      <selection activeCell="Y31" sqref="Y31"/>
    </sheetView>
  </sheetViews>
  <sheetFormatPr defaultRowHeight="12.75"/>
  <cols>
    <col min="1" max="1" width="2.7109375" customWidth="1"/>
    <col min="2" max="2" width="3.42578125" customWidth="1"/>
    <col min="3" max="4" width="12.28515625" style="48" customWidth="1"/>
    <col min="5" max="6" width="5.28515625" style="2" customWidth="1"/>
    <col min="7" max="7" width="5.42578125" style="5" customWidth="1"/>
    <col min="8" max="15" width="5.42578125" style="3" customWidth="1"/>
    <col min="16" max="16" width="5.42578125" style="4" customWidth="1"/>
    <col min="17" max="26" width="5.42578125" customWidth="1"/>
    <col min="27" max="27" width="6.28515625" style="1" customWidth="1"/>
    <col min="28" max="28" width="15" customWidth="1"/>
  </cols>
  <sheetData>
    <row r="1" spans="3:28">
      <c r="C1" s="17" t="s">
        <v>43</v>
      </c>
      <c r="D1" s="17"/>
    </row>
    <row r="2" spans="3:28">
      <c r="C2" s="1"/>
      <c r="D2" s="1"/>
      <c r="G2" s="3"/>
    </row>
    <row r="3" spans="3:28" s="4" customFormat="1" ht="13.5" thickBot="1">
      <c r="C3" s="31"/>
      <c r="D3" s="36"/>
      <c r="E3" s="9">
        <f>Score!C1</f>
        <v>1</v>
      </c>
      <c r="F3" s="9">
        <f>Score!E1</f>
        <v>3</v>
      </c>
      <c r="G3" s="9">
        <f>Score!F1</f>
        <v>4</v>
      </c>
      <c r="H3" s="9">
        <f>Score!G1</f>
        <v>5</v>
      </c>
      <c r="I3" s="9">
        <f>Score!H1</f>
        <v>6</v>
      </c>
      <c r="J3" s="9">
        <f>Score!I1</f>
        <v>7</v>
      </c>
      <c r="K3" s="9">
        <f>Score!J1</f>
        <v>8</v>
      </c>
      <c r="L3" s="9">
        <f>Score!K1</f>
        <v>9</v>
      </c>
      <c r="M3" s="9">
        <f>Score!L1</f>
        <v>10</v>
      </c>
      <c r="N3" s="9">
        <f>Score!M1</f>
        <v>11</v>
      </c>
      <c r="O3" s="9">
        <f>Score!N1</f>
        <v>12</v>
      </c>
      <c r="P3" s="9">
        <f>Score!O1</f>
        <v>13</v>
      </c>
      <c r="Q3" s="9">
        <f>Score!P1</f>
        <v>14</v>
      </c>
      <c r="R3" s="9">
        <f>Score!Q1</f>
        <v>15</v>
      </c>
      <c r="S3" s="9">
        <f>Score!R1</f>
        <v>16</v>
      </c>
      <c r="T3" s="9">
        <f>Score!S1</f>
        <v>17</v>
      </c>
      <c r="U3" s="9">
        <f>Score!T1</f>
        <v>18</v>
      </c>
      <c r="V3" s="9">
        <f>Score!U1</f>
        <v>19</v>
      </c>
      <c r="W3" s="9">
        <f>Score!V1</f>
        <v>20</v>
      </c>
      <c r="X3" s="9">
        <f>Score!W1</f>
        <v>21</v>
      </c>
      <c r="Y3" s="9" t="e">
        <f>Score!#REF!</f>
        <v>#REF!</v>
      </c>
      <c r="Z3" s="9" t="s">
        <v>2</v>
      </c>
      <c r="AA3" s="7"/>
    </row>
    <row r="4" spans="3:28">
      <c r="C4"/>
      <c r="D4"/>
      <c r="E4" s="2" t="e">
        <f>VLOOKUP($C4,Score!$B$2:$X$77,2,0)</f>
        <v>#N/A</v>
      </c>
      <c r="F4" s="2" t="e">
        <f>VLOOKUP($C4,Score!$B$2:$X$77,3,0)</f>
        <v>#N/A</v>
      </c>
      <c r="G4" s="2" t="e">
        <f>VLOOKUP($C4,Score!$B$2:$X$77,4,0)</f>
        <v>#N/A</v>
      </c>
      <c r="H4" s="2" t="e">
        <f>VLOOKUP($C4,Score!$B$2:$X$77,5,0)</f>
        <v>#N/A</v>
      </c>
      <c r="I4" s="2" t="e">
        <f>VLOOKUP($C4,Score!$B$2:$X$77,6,0)</f>
        <v>#N/A</v>
      </c>
      <c r="J4" s="2" t="e">
        <f>VLOOKUP($C4,Score!$B$2:$X$77,7,0)</f>
        <v>#N/A</v>
      </c>
      <c r="K4" s="2" t="e">
        <f>VLOOKUP($C4,Score!$B$2:$X$77,8,0)</f>
        <v>#N/A</v>
      </c>
      <c r="L4" s="2" t="e">
        <f>VLOOKUP($C4,Score!$B$2:$X$77,9,0)</f>
        <v>#N/A</v>
      </c>
      <c r="M4" s="2" t="e">
        <f>VLOOKUP($C4,Score!$B$2:$X$77,10,0)</f>
        <v>#N/A</v>
      </c>
      <c r="N4" s="2" t="e">
        <f>VLOOKUP($C4,Score!$B$2:$X$77,11,0)</f>
        <v>#N/A</v>
      </c>
      <c r="O4" s="2" t="e">
        <f>VLOOKUP($C4,Score!$B$2:$X$77,12,0)</f>
        <v>#N/A</v>
      </c>
      <c r="P4" s="2" t="e">
        <f>VLOOKUP($C4,Score!$B$2:$X$77,13,0)</f>
        <v>#N/A</v>
      </c>
      <c r="Q4" s="2" t="e">
        <f>VLOOKUP($C4,Score!$B$2:$X$77,14,0)</f>
        <v>#N/A</v>
      </c>
      <c r="R4" s="2" t="e">
        <f>VLOOKUP($C4,Score!$B$2:$X$77,15,0)</f>
        <v>#N/A</v>
      </c>
      <c r="S4" s="2" t="e">
        <f>VLOOKUP($C4,Score!$B$2:$X$77,16,0)</f>
        <v>#N/A</v>
      </c>
      <c r="T4" s="2" t="e">
        <f>VLOOKUP($C4,Score!$B$2:$X$77,17,0)</f>
        <v>#N/A</v>
      </c>
      <c r="U4" s="2" t="e">
        <f>VLOOKUP($C4,Score!$B$2:$X$77,18,0)</f>
        <v>#N/A</v>
      </c>
      <c r="V4" s="2" t="e">
        <f>VLOOKUP($C4,Score!$B$2:$X$77,19,0)</f>
        <v>#N/A</v>
      </c>
      <c r="W4" s="2" t="e">
        <f>VLOOKUP($C4,Score!$B$2:$X$77,20,0)</f>
        <v>#N/A</v>
      </c>
      <c r="X4" s="2" t="e">
        <f>VLOOKUP($C4,Score!$B$2:$Z$76,21,0)</f>
        <v>#N/A</v>
      </c>
      <c r="Y4" s="2" t="e">
        <f>VLOOKUP($C4,Score!$B$2:$Z$76,22,0)</f>
        <v>#N/A</v>
      </c>
      <c r="Z4" s="2" t="e">
        <f>VLOOKUP($C4,Score!$B$2:$Z$76,24,0)</f>
        <v>#N/A</v>
      </c>
      <c r="AA4" s="6" t="e">
        <f t="shared" ref="AA4:AA20" si="0">SUM(E4:Z4)</f>
        <v>#N/A</v>
      </c>
      <c r="AB4">
        <f t="shared" ref="AB4:AB20" si="1">C4</f>
        <v>0</v>
      </c>
    </row>
    <row r="5" spans="3:28">
      <c r="C5"/>
      <c r="D5"/>
      <c r="E5" s="2" t="e">
        <f>VLOOKUP($C5,Score!$B$2:$X$77,2,0)</f>
        <v>#N/A</v>
      </c>
      <c r="F5" s="2" t="e">
        <f>VLOOKUP($C5,Score!$B$2:$X$77,3,0)</f>
        <v>#N/A</v>
      </c>
      <c r="G5" s="2" t="e">
        <f>VLOOKUP($C5,Score!$B$2:$X$77,4,0)</f>
        <v>#N/A</v>
      </c>
      <c r="H5" s="2" t="e">
        <f>VLOOKUP($C5,Score!$B$2:$X$77,5,0)</f>
        <v>#N/A</v>
      </c>
      <c r="I5" s="2" t="e">
        <f>VLOOKUP($C5,Score!$B$2:$X$77,6,0)</f>
        <v>#N/A</v>
      </c>
      <c r="J5" s="2" t="e">
        <f>VLOOKUP($C5,Score!$B$2:$X$77,7,0)</f>
        <v>#N/A</v>
      </c>
      <c r="K5" s="2" t="e">
        <f>VLOOKUP($C5,Score!$B$2:$X$77,8,0)</f>
        <v>#N/A</v>
      </c>
      <c r="L5" s="2" t="e">
        <f>VLOOKUP($C5,Score!$B$2:$X$77,9,0)</f>
        <v>#N/A</v>
      </c>
      <c r="M5" s="2" t="e">
        <f>VLOOKUP($C5,Score!$B$2:$X$77,10,0)</f>
        <v>#N/A</v>
      </c>
      <c r="N5" s="2" t="e">
        <f>VLOOKUP($C5,Score!$B$2:$X$77,11,0)</f>
        <v>#N/A</v>
      </c>
      <c r="O5" s="2" t="e">
        <f>VLOOKUP($C5,Score!$B$2:$X$77,12,0)</f>
        <v>#N/A</v>
      </c>
      <c r="P5" s="2" t="e">
        <f>VLOOKUP($C5,Score!$B$2:$X$77,13,0)</f>
        <v>#N/A</v>
      </c>
      <c r="Q5" s="2" t="e">
        <f>VLOOKUP($C5,Score!$B$2:$X$77,14,0)</f>
        <v>#N/A</v>
      </c>
      <c r="R5" s="2" t="e">
        <f>VLOOKUP($C5,Score!$B$2:$X$77,15,0)</f>
        <v>#N/A</v>
      </c>
      <c r="S5" s="2" t="e">
        <f>VLOOKUP($C5,Score!$B$2:$X$77,16,0)</f>
        <v>#N/A</v>
      </c>
      <c r="T5" s="2" t="e">
        <f>VLOOKUP($C5,Score!$B$2:$X$77,17,0)</f>
        <v>#N/A</v>
      </c>
      <c r="U5" s="2" t="e">
        <f>VLOOKUP($C5,Score!$B$2:$X$77,18,0)</f>
        <v>#N/A</v>
      </c>
      <c r="V5" s="2" t="e">
        <f>VLOOKUP($C5,Score!$B$2:$X$77,19,0)</f>
        <v>#N/A</v>
      </c>
      <c r="W5" s="2" t="e">
        <f>VLOOKUP($C5,Score!$B$2:$X$77,20,0)</f>
        <v>#N/A</v>
      </c>
      <c r="X5" s="2" t="e">
        <f>VLOOKUP($C5,Score!$B$2:$Z$76,21,0)</f>
        <v>#N/A</v>
      </c>
      <c r="Y5" s="2" t="e">
        <f>VLOOKUP($C5,Score!$B$2:$Z$76,22,0)</f>
        <v>#N/A</v>
      </c>
      <c r="Z5" s="2" t="e">
        <f>VLOOKUP($C5,Score!$B$2:$Z$76,24,0)</f>
        <v>#N/A</v>
      </c>
      <c r="AA5" s="6" t="e">
        <f t="shared" si="0"/>
        <v>#N/A</v>
      </c>
      <c r="AB5">
        <f t="shared" si="1"/>
        <v>0</v>
      </c>
    </row>
    <row r="6" spans="3:28">
      <c r="C6"/>
      <c r="D6"/>
      <c r="E6" s="2" t="e">
        <f>VLOOKUP($C6,Score!$B$2:$X$77,2,0)</f>
        <v>#N/A</v>
      </c>
      <c r="F6" s="2" t="e">
        <f>VLOOKUP($C6,Score!$B$2:$X$77,3,0)</f>
        <v>#N/A</v>
      </c>
      <c r="G6" s="2" t="e">
        <f>VLOOKUP($C6,Score!$B$2:$X$77,4,0)</f>
        <v>#N/A</v>
      </c>
      <c r="H6" s="2" t="e">
        <f>VLOOKUP($C6,Score!$B$2:$X$77,5,0)</f>
        <v>#N/A</v>
      </c>
      <c r="I6" s="2" t="e">
        <f>VLOOKUP($C6,Score!$B$2:$X$77,6,0)</f>
        <v>#N/A</v>
      </c>
      <c r="J6" s="2" t="e">
        <f>VLOOKUP($C6,Score!$B$2:$X$77,7,0)</f>
        <v>#N/A</v>
      </c>
      <c r="K6" s="2" t="e">
        <f>VLOOKUP($C6,Score!$B$2:$X$77,8,0)</f>
        <v>#N/A</v>
      </c>
      <c r="L6" s="2" t="e">
        <f>VLOOKUP($C6,Score!$B$2:$X$77,9,0)</f>
        <v>#N/A</v>
      </c>
      <c r="M6" s="2" t="e">
        <f>VLOOKUP($C6,Score!$B$2:$X$77,10,0)</f>
        <v>#N/A</v>
      </c>
      <c r="N6" s="2" t="e">
        <f>VLOOKUP($C6,Score!$B$2:$X$77,11,0)</f>
        <v>#N/A</v>
      </c>
      <c r="O6" s="2" t="e">
        <f>VLOOKUP($C6,Score!$B$2:$X$77,12,0)</f>
        <v>#N/A</v>
      </c>
      <c r="P6" s="2" t="e">
        <f>VLOOKUP($C6,Score!$B$2:$X$77,13,0)</f>
        <v>#N/A</v>
      </c>
      <c r="Q6" s="2" t="e">
        <f>VLOOKUP($C6,Score!$B$2:$X$77,14,0)</f>
        <v>#N/A</v>
      </c>
      <c r="R6" s="2" t="e">
        <f>VLOOKUP($C6,Score!$B$2:$X$77,15,0)</f>
        <v>#N/A</v>
      </c>
      <c r="S6" s="2" t="e">
        <f>VLOOKUP($C6,Score!$B$2:$X$77,16,0)</f>
        <v>#N/A</v>
      </c>
      <c r="T6" s="2" t="e">
        <f>VLOOKUP($C6,Score!$B$2:$X$77,17,0)</f>
        <v>#N/A</v>
      </c>
      <c r="U6" s="2" t="e">
        <f>VLOOKUP($C6,Score!$B$2:$X$77,18,0)</f>
        <v>#N/A</v>
      </c>
      <c r="V6" s="2" t="e">
        <f>VLOOKUP($C6,Score!$B$2:$X$77,19,0)</f>
        <v>#N/A</v>
      </c>
      <c r="W6" s="2" t="e">
        <f>VLOOKUP($C6,Score!$B$2:$X$77,20,0)</f>
        <v>#N/A</v>
      </c>
      <c r="X6" s="2" t="e">
        <f>VLOOKUP($C6,Score!$B$2:$Z$76,21,0)</f>
        <v>#N/A</v>
      </c>
      <c r="Y6" s="2" t="e">
        <f>VLOOKUP($C6,Score!$B$2:$Z$76,22,0)</f>
        <v>#N/A</v>
      </c>
      <c r="Z6" s="2" t="e">
        <f>VLOOKUP($C6,Score!$B$2:$Z$76,24,0)</f>
        <v>#N/A</v>
      </c>
      <c r="AA6" s="6" t="e">
        <f t="shared" si="0"/>
        <v>#N/A</v>
      </c>
      <c r="AB6">
        <f t="shared" si="1"/>
        <v>0</v>
      </c>
    </row>
    <row r="7" spans="3:28">
      <c r="C7"/>
      <c r="D7"/>
      <c r="E7" s="2" t="e">
        <f>VLOOKUP($C7,Score!$B$2:$X$77,2,0)</f>
        <v>#N/A</v>
      </c>
      <c r="F7" s="2" t="e">
        <f>VLOOKUP($C7,Score!$B$2:$X$77,3,0)</f>
        <v>#N/A</v>
      </c>
      <c r="G7" s="2" t="e">
        <f>VLOOKUP($C7,Score!$B$2:$X$77,4,0)</f>
        <v>#N/A</v>
      </c>
      <c r="H7" s="2" t="e">
        <f>VLOOKUP($C7,Score!$B$2:$X$77,5,0)</f>
        <v>#N/A</v>
      </c>
      <c r="I7" s="2" t="e">
        <f>VLOOKUP($C7,Score!$B$2:$X$77,6,0)</f>
        <v>#N/A</v>
      </c>
      <c r="J7" s="2" t="e">
        <f>VLOOKUP($C7,Score!$B$2:$X$77,7,0)</f>
        <v>#N/A</v>
      </c>
      <c r="K7" s="2" t="e">
        <f>VLOOKUP($C7,Score!$B$2:$X$77,8,0)</f>
        <v>#N/A</v>
      </c>
      <c r="L7" s="2" t="e">
        <f>VLOOKUP($C7,Score!$B$2:$X$77,9,0)</f>
        <v>#N/A</v>
      </c>
      <c r="M7" s="2" t="e">
        <f>VLOOKUP($C7,Score!$B$2:$X$77,10,0)</f>
        <v>#N/A</v>
      </c>
      <c r="N7" s="2" t="e">
        <f>VLOOKUP($C7,Score!$B$2:$X$77,11,0)</f>
        <v>#N/A</v>
      </c>
      <c r="O7" s="2" t="e">
        <f>VLOOKUP($C7,Score!$B$2:$X$77,12,0)</f>
        <v>#N/A</v>
      </c>
      <c r="P7" s="2" t="e">
        <f>VLOOKUP($C7,Score!$B$2:$X$77,13,0)</f>
        <v>#N/A</v>
      </c>
      <c r="Q7" s="2" t="e">
        <f>VLOOKUP($C7,Score!$B$2:$X$77,14,0)</f>
        <v>#N/A</v>
      </c>
      <c r="R7" s="2" t="e">
        <f>VLOOKUP($C7,Score!$B$2:$X$77,15,0)</f>
        <v>#N/A</v>
      </c>
      <c r="S7" s="2" t="e">
        <f>VLOOKUP($C7,Score!$B$2:$X$77,16,0)</f>
        <v>#N/A</v>
      </c>
      <c r="T7" s="2" t="e">
        <f>VLOOKUP($C7,Score!$B$2:$X$77,17,0)</f>
        <v>#N/A</v>
      </c>
      <c r="U7" s="2" t="e">
        <f>VLOOKUP($C7,Score!$B$2:$X$77,18,0)</f>
        <v>#N/A</v>
      </c>
      <c r="V7" s="2" t="e">
        <f>VLOOKUP($C7,Score!$B$2:$X$77,19,0)</f>
        <v>#N/A</v>
      </c>
      <c r="W7" s="2" t="e">
        <f>VLOOKUP($C7,Score!$B$2:$X$77,20,0)</f>
        <v>#N/A</v>
      </c>
      <c r="X7" s="2" t="e">
        <f>VLOOKUP($C7,Score!$B$2:$Z$76,21,0)</f>
        <v>#N/A</v>
      </c>
      <c r="Y7" s="2" t="e">
        <f>VLOOKUP($C7,Score!$B$2:$Z$76,22,0)</f>
        <v>#N/A</v>
      </c>
      <c r="Z7" s="2" t="e">
        <f>VLOOKUP($C7,Score!$B$2:$Z$76,24,0)</f>
        <v>#N/A</v>
      </c>
      <c r="AA7" s="6" t="e">
        <f t="shared" si="0"/>
        <v>#N/A</v>
      </c>
      <c r="AB7">
        <f t="shared" si="1"/>
        <v>0</v>
      </c>
    </row>
    <row r="8" spans="3:28">
      <c r="C8"/>
      <c r="D8"/>
      <c r="E8" s="2" t="e">
        <f>VLOOKUP($C8,Score!$B$2:$X$77,2,0)</f>
        <v>#N/A</v>
      </c>
      <c r="F8" s="2" t="e">
        <f>VLOOKUP($C8,Score!$B$2:$X$77,3,0)</f>
        <v>#N/A</v>
      </c>
      <c r="G8" s="2" t="e">
        <f>VLOOKUP($C8,Score!$B$2:$X$77,4,0)</f>
        <v>#N/A</v>
      </c>
      <c r="H8" s="2" t="e">
        <f>VLOOKUP($C8,Score!$B$2:$X$77,5,0)</f>
        <v>#N/A</v>
      </c>
      <c r="I8" s="2" t="e">
        <f>VLOOKUP($C8,Score!$B$2:$X$77,6,0)</f>
        <v>#N/A</v>
      </c>
      <c r="J8" s="2" t="e">
        <f>VLOOKUP($C8,Score!$B$2:$X$77,7,0)</f>
        <v>#N/A</v>
      </c>
      <c r="K8" s="2" t="e">
        <f>VLOOKUP($C8,Score!$B$2:$X$77,8,0)</f>
        <v>#N/A</v>
      </c>
      <c r="L8" s="2" t="e">
        <f>VLOOKUP($C8,Score!$B$2:$X$77,9,0)</f>
        <v>#N/A</v>
      </c>
      <c r="M8" s="2" t="e">
        <f>VLOOKUP($C8,Score!$B$2:$X$77,10,0)</f>
        <v>#N/A</v>
      </c>
      <c r="N8" s="2" t="e">
        <f>VLOOKUP($C8,Score!$B$2:$X$77,11,0)</f>
        <v>#N/A</v>
      </c>
      <c r="O8" s="2" t="e">
        <f>VLOOKUP($C8,Score!$B$2:$X$77,12,0)</f>
        <v>#N/A</v>
      </c>
      <c r="P8" s="2" t="e">
        <f>VLOOKUP($C8,Score!$B$2:$X$77,13,0)</f>
        <v>#N/A</v>
      </c>
      <c r="Q8" s="2" t="e">
        <f>VLOOKUP($C8,Score!$B$2:$X$77,14,0)</f>
        <v>#N/A</v>
      </c>
      <c r="R8" s="2" t="e">
        <f>VLOOKUP($C8,Score!$B$2:$X$77,15,0)</f>
        <v>#N/A</v>
      </c>
      <c r="S8" s="2" t="e">
        <f>VLOOKUP($C8,Score!$B$2:$X$77,16,0)</f>
        <v>#N/A</v>
      </c>
      <c r="T8" s="2" t="e">
        <f>VLOOKUP($C8,Score!$B$2:$X$77,17,0)</f>
        <v>#N/A</v>
      </c>
      <c r="U8" s="2" t="e">
        <f>VLOOKUP($C8,Score!$B$2:$X$77,18,0)</f>
        <v>#N/A</v>
      </c>
      <c r="V8" s="2" t="e">
        <f>VLOOKUP($C8,Score!$B$2:$X$77,19,0)</f>
        <v>#N/A</v>
      </c>
      <c r="W8" s="2" t="e">
        <f>VLOOKUP($C8,Score!$B$2:$X$77,20,0)</f>
        <v>#N/A</v>
      </c>
      <c r="X8" s="2" t="e">
        <f>VLOOKUP($C8,Score!$B$2:$Z$76,21,0)</f>
        <v>#N/A</v>
      </c>
      <c r="Y8" s="2" t="e">
        <f>VLOOKUP($C8,Score!$B$2:$Z$76,22,0)</f>
        <v>#N/A</v>
      </c>
      <c r="Z8" s="2" t="e">
        <f>VLOOKUP($C8,Score!$B$2:$Z$76,24,0)</f>
        <v>#N/A</v>
      </c>
      <c r="AA8" s="6" t="e">
        <f t="shared" si="0"/>
        <v>#N/A</v>
      </c>
      <c r="AB8">
        <f t="shared" si="1"/>
        <v>0</v>
      </c>
    </row>
    <row r="9" spans="3:28">
      <c r="C9"/>
      <c r="D9"/>
      <c r="E9" s="2" t="e">
        <f>VLOOKUP($C9,Score!$B$2:$X$77,2,0)</f>
        <v>#N/A</v>
      </c>
      <c r="F9" s="2" t="e">
        <f>VLOOKUP($C9,Score!$B$2:$X$77,3,0)</f>
        <v>#N/A</v>
      </c>
      <c r="G9" s="2" t="e">
        <f>VLOOKUP($C9,Score!$B$2:$X$77,4,0)</f>
        <v>#N/A</v>
      </c>
      <c r="H9" s="2" t="e">
        <f>VLOOKUP($C9,Score!$B$2:$X$77,5,0)</f>
        <v>#N/A</v>
      </c>
      <c r="I9" s="2" t="e">
        <f>VLOOKUP($C9,Score!$B$2:$X$77,6,0)</f>
        <v>#N/A</v>
      </c>
      <c r="J9" s="2" t="e">
        <f>VLOOKUP($C9,Score!$B$2:$X$77,7,0)</f>
        <v>#N/A</v>
      </c>
      <c r="K9" s="2" t="e">
        <f>VLOOKUP($C9,Score!$B$2:$X$77,8,0)</f>
        <v>#N/A</v>
      </c>
      <c r="L9" s="2" t="e">
        <f>VLOOKUP($C9,Score!$B$2:$X$77,9,0)</f>
        <v>#N/A</v>
      </c>
      <c r="M9" s="2" t="e">
        <f>VLOOKUP($C9,Score!$B$2:$X$77,10,0)</f>
        <v>#N/A</v>
      </c>
      <c r="N9" s="2" t="e">
        <f>VLOOKUP($C9,Score!$B$2:$X$77,11,0)</f>
        <v>#N/A</v>
      </c>
      <c r="O9" s="2" t="e">
        <f>VLOOKUP($C9,Score!$B$2:$X$77,12,0)</f>
        <v>#N/A</v>
      </c>
      <c r="P9" s="2" t="e">
        <f>VLOOKUP($C9,Score!$B$2:$X$77,13,0)</f>
        <v>#N/A</v>
      </c>
      <c r="Q9" s="2" t="e">
        <f>VLOOKUP($C9,Score!$B$2:$X$77,14,0)</f>
        <v>#N/A</v>
      </c>
      <c r="R9" s="2" t="e">
        <f>VLOOKUP($C9,Score!$B$2:$X$77,15,0)</f>
        <v>#N/A</v>
      </c>
      <c r="S9" s="2" t="e">
        <f>VLOOKUP($C9,Score!$B$2:$X$77,16,0)</f>
        <v>#N/A</v>
      </c>
      <c r="T9" s="2" t="e">
        <f>VLOOKUP($C9,Score!$B$2:$X$77,17,0)</f>
        <v>#N/A</v>
      </c>
      <c r="U9" s="2" t="e">
        <f>VLOOKUP($C9,Score!$B$2:$X$77,18,0)</f>
        <v>#N/A</v>
      </c>
      <c r="V9" s="2" t="e">
        <f>VLOOKUP($C9,Score!$B$2:$X$77,19,0)</f>
        <v>#N/A</v>
      </c>
      <c r="W9" s="2" t="e">
        <f>VLOOKUP($C9,Score!$B$2:$X$77,20,0)</f>
        <v>#N/A</v>
      </c>
      <c r="X9" s="2" t="e">
        <f>VLOOKUP($C9,Score!$B$2:$Z$76,21,0)</f>
        <v>#N/A</v>
      </c>
      <c r="Y9" s="2" t="e">
        <f>VLOOKUP($C9,Score!$B$2:$Z$76,22,0)</f>
        <v>#N/A</v>
      </c>
      <c r="Z9" s="2" t="e">
        <f>VLOOKUP($C9,Score!$B$2:$Z$76,24,0)</f>
        <v>#N/A</v>
      </c>
      <c r="AA9" s="6" t="e">
        <f t="shared" si="0"/>
        <v>#N/A</v>
      </c>
      <c r="AB9">
        <f t="shared" si="1"/>
        <v>0</v>
      </c>
    </row>
    <row r="10" spans="3:28">
      <c r="C10"/>
      <c r="D10"/>
      <c r="E10" s="2" t="e">
        <f>VLOOKUP($C10,Score!$B$2:$X$77,2,0)</f>
        <v>#N/A</v>
      </c>
      <c r="F10" s="2" t="e">
        <f>VLOOKUP($C10,Score!$B$2:$X$77,3,0)</f>
        <v>#N/A</v>
      </c>
      <c r="G10" s="2" t="e">
        <f>VLOOKUP($C10,Score!$B$2:$X$77,4,0)</f>
        <v>#N/A</v>
      </c>
      <c r="H10" s="2" t="e">
        <f>VLOOKUP($C10,Score!$B$2:$X$77,5,0)</f>
        <v>#N/A</v>
      </c>
      <c r="I10" s="2" t="e">
        <f>VLOOKUP($C10,Score!$B$2:$X$77,6,0)</f>
        <v>#N/A</v>
      </c>
      <c r="J10" s="2" t="e">
        <f>VLOOKUP($C10,Score!$B$2:$X$77,7,0)</f>
        <v>#N/A</v>
      </c>
      <c r="K10" s="2" t="e">
        <f>VLOOKUP($C10,Score!$B$2:$X$77,8,0)</f>
        <v>#N/A</v>
      </c>
      <c r="L10" s="2" t="e">
        <f>VLOOKUP($C10,Score!$B$2:$X$77,9,0)</f>
        <v>#N/A</v>
      </c>
      <c r="M10" s="2" t="e">
        <f>VLOOKUP($C10,Score!$B$2:$X$77,10,0)</f>
        <v>#N/A</v>
      </c>
      <c r="N10" s="2" t="e">
        <f>VLOOKUP($C10,Score!$B$2:$X$77,11,0)</f>
        <v>#N/A</v>
      </c>
      <c r="O10" s="2" t="e">
        <f>VLOOKUP($C10,Score!$B$2:$X$77,12,0)</f>
        <v>#N/A</v>
      </c>
      <c r="P10" s="2" t="e">
        <f>VLOOKUP($C10,Score!$B$2:$X$77,13,0)</f>
        <v>#N/A</v>
      </c>
      <c r="Q10" s="2" t="e">
        <f>VLOOKUP($C10,Score!$B$2:$X$77,14,0)</f>
        <v>#N/A</v>
      </c>
      <c r="R10" s="2" t="e">
        <f>VLOOKUP($C10,Score!$B$2:$X$77,15,0)</f>
        <v>#N/A</v>
      </c>
      <c r="S10" s="2" t="e">
        <f>VLOOKUP($C10,Score!$B$2:$X$77,16,0)</f>
        <v>#N/A</v>
      </c>
      <c r="T10" s="2" t="e">
        <f>VLOOKUP($C10,Score!$B$2:$X$77,17,0)</f>
        <v>#N/A</v>
      </c>
      <c r="U10" s="2" t="e">
        <f>VLOOKUP($C10,Score!$B$2:$X$77,18,0)</f>
        <v>#N/A</v>
      </c>
      <c r="V10" s="2" t="e">
        <f>VLOOKUP($C10,Score!$B$2:$X$77,19,0)</f>
        <v>#N/A</v>
      </c>
      <c r="W10" s="2" t="e">
        <f>VLOOKUP($C10,Score!$B$2:$X$77,20,0)</f>
        <v>#N/A</v>
      </c>
      <c r="X10" s="2" t="e">
        <f>VLOOKUP($C10,Score!$B$2:$Z$76,21,0)</f>
        <v>#N/A</v>
      </c>
      <c r="Y10" s="2" t="e">
        <f>VLOOKUP($C10,Score!$B$2:$Z$76,22,0)</f>
        <v>#N/A</v>
      </c>
      <c r="Z10" s="2" t="e">
        <f>VLOOKUP($C10,Score!$B$2:$Z$76,24,0)</f>
        <v>#N/A</v>
      </c>
      <c r="AA10" s="6" t="e">
        <f t="shared" si="0"/>
        <v>#N/A</v>
      </c>
      <c r="AB10">
        <f t="shared" si="1"/>
        <v>0</v>
      </c>
    </row>
    <row r="11" spans="3:28">
      <c r="C11"/>
      <c r="D11"/>
      <c r="E11" s="2" t="e">
        <f>VLOOKUP($C11,Score!$B$2:$X$77,2,0)</f>
        <v>#N/A</v>
      </c>
      <c r="F11" s="2" t="e">
        <f>VLOOKUP($C11,Score!$B$2:$X$77,3,0)</f>
        <v>#N/A</v>
      </c>
      <c r="G11" s="2" t="e">
        <f>VLOOKUP($C11,Score!$B$2:$X$77,4,0)</f>
        <v>#N/A</v>
      </c>
      <c r="H11" s="2" t="e">
        <f>VLOOKUP($C11,Score!$B$2:$X$77,5,0)</f>
        <v>#N/A</v>
      </c>
      <c r="I11" s="2" t="e">
        <f>VLOOKUP($C11,Score!$B$2:$X$77,6,0)</f>
        <v>#N/A</v>
      </c>
      <c r="J11" s="2" t="e">
        <f>VLOOKUP($C11,Score!$B$2:$X$77,7,0)</f>
        <v>#N/A</v>
      </c>
      <c r="K11" s="2" t="e">
        <f>VLOOKUP($C11,Score!$B$2:$X$77,8,0)</f>
        <v>#N/A</v>
      </c>
      <c r="L11" s="2" t="e">
        <f>VLOOKUP($C11,Score!$B$2:$X$77,9,0)</f>
        <v>#N/A</v>
      </c>
      <c r="M11" s="2" t="e">
        <f>VLOOKUP($C11,Score!$B$2:$X$77,10,0)</f>
        <v>#N/A</v>
      </c>
      <c r="N11" s="2" t="e">
        <f>VLOOKUP($C11,Score!$B$2:$X$77,11,0)</f>
        <v>#N/A</v>
      </c>
      <c r="O11" s="2" t="e">
        <f>VLOOKUP($C11,Score!$B$2:$X$77,12,0)</f>
        <v>#N/A</v>
      </c>
      <c r="P11" s="2" t="e">
        <f>VLOOKUP($C11,Score!$B$2:$X$77,13,0)</f>
        <v>#N/A</v>
      </c>
      <c r="Q11" s="2" t="e">
        <f>VLOOKUP($C11,Score!$B$2:$X$77,14,0)</f>
        <v>#N/A</v>
      </c>
      <c r="R11" s="2" t="e">
        <f>VLOOKUP($C11,Score!$B$2:$X$77,15,0)</f>
        <v>#N/A</v>
      </c>
      <c r="S11" s="2" t="e">
        <f>VLOOKUP($C11,Score!$B$2:$X$77,16,0)</f>
        <v>#N/A</v>
      </c>
      <c r="T11" s="2" t="e">
        <f>VLOOKUP($C11,Score!$B$2:$X$77,17,0)</f>
        <v>#N/A</v>
      </c>
      <c r="U11" s="2" t="e">
        <f>VLOOKUP($C11,Score!$B$2:$X$77,18,0)</f>
        <v>#N/A</v>
      </c>
      <c r="V11" s="2" t="e">
        <f>VLOOKUP($C11,Score!$B$2:$X$77,19,0)</f>
        <v>#N/A</v>
      </c>
      <c r="W11" s="2" t="e">
        <f>VLOOKUP($C11,Score!$B$2:$X$77,20,0)</f>
        <v>#N/A</v>
      </c>
      <c r="X11" s="2" t="e">
        <f>VLOOKUP($C11,Score!$B$2:$Z$76,21,0)</f>
        <v>#N/A</v>
      </c>
      <c r="Y11" s="2" t="e">
        <f>VLOOKUP($C11,Score!$B$2:$Z$76,22,0)</f>
        <v>#N/A</v>
      </c>
      <c r="Z11" s="2" t="e">
        <f>VLOOKUP($C11,Score!$B$2:$Z$76,24,0)</f>
        <v>#N/A</v>
      </c>
      <c r="AA11" s="6" t="e">
        <f t="shared" si="0"/>
        <v>#N/A</v>
      </c>
      <c r="AB11">
        <f t="shared" si="1"/>
        <v>0</v>
      </c>
    </row>
    <row r="12" spans="3:28">
      <c r="C12"/>
      <c r="D12"/>
      <c r="E12" s="2" t="e">
        <f>VLOOKUP($C12,Score!$B$2:$X$77,2,0)</f>
        <v>#N/A</v>
      </c>
      <c r="F12" s="2" t="e">
        <f>VLOOKUP($C12,Score!$B$2:$X$77,3,0)</f>
        <v>#N/A</v>
      </c>
      <c r="G12" s="2" t="e">
        <f>VLOOKUP($C12,Score!$B$2:$X$77,4,0)</f>
        <v>#N/A</v>
      </c>
      <c r="H12" s="2" t="e">
        <f>VLOOKUP($C12,Score!$B$2:$X$77,5,0)</f>
        <v>#N/A</v>
      </c>
      <c r="I12" s="2" t="e">
        <f>VLOOKUP($C12,Score!$B$2:$X$77,6,0)</f>
        <v>#N/A</v>
      </c>
      <c r="J12" s="2" t="e">
        <f>VLOOKUP($C12,Score!$B$2:$X$77,7,0)</f>
        <v>#N/A</v>
      </c>
      <c r="K12" s="2" t="e">
        <f>VLOOKUP($C12,Score!$B$2:$X$77,8,0)</f>
        <v>#N/A</v>
      </c>
      <c r="L12" s="2" t="e">
        <f>VLOOKUP($C12,Score!$B$2:$X$77,9,0)</f>
        <v>#N/A</v>
      </c>
      <c r="M12" s="2" t="e">
        <f>VLOOKUP($C12,Score!$B$2:$X$77,10,0)</f>
        <v>#N/A</v>
      </c>
      <c r="N12" s="2" t="e">
        <f>VLOOKUP($C12,Score!$B$2:$X$77,11,0)</f>
        <v>#N/A</v>
      </c>
      <c r="O12" s="2" t="e">
        <f>VLOOKUP($C12,Score!$B$2:$X$77,12,0)</f>
        <v>#N/A</v>
      </c>
      <c r="P12" s="2" t="e">
        <f>VLOOKUP($C12,Score!$B$2:$X$77,13,0)</f>
        <v>#N/A</v>
      </c>
      <c r="Q12" s="2" t="e">
        <f>VLOOKUP($C12,Score!$B$2:$X$77,14,0)</f>
        <v>#N/A</v>
      </c>
      <c r="R12" s="2" t="e">
        <f>VLOOKUP($C12,Score!$B$2:$X$77,15,0)</f>
        <v>#N/A</v>
      </c>
      <c r="S12" s="2" t="e">
        <f>VLOOKUP($C12,Score!$B$2:$X$77,16,0)</f>
        <v>#N/A</v>
      </c>
      <c r="T12" s="2" t="e">
        <f>VLOOKUP($C12,Score!$B$2:$X$77,17,0)</f>
        <v>#N/A</v>
      </c>
      <c r="U12" s="2" t="e">
        <f>VLOOKUP($C12,Score!$B$2:$X$77,18,0)</f>
        <v>#N/A</v>
      </c>
      <c r="V12" s="2" t="e">
        <f>VLOOKUP($C12,Score!$B$2:$X$77,19,0)</f>
        <v>#N/A</v>
      </c>
      <c r="W12" s="2" t="e">
        <f>VLOOKUP($C12,Score!$B$2:$X$77,20,0)</f>
        <v>#N/A</v>
      </c>
      <c r="X12" s="2" t="e">
        <f>VLOOKUP($C12,Score!$B$2:$Z$76,21,0)</f>
        <v>#N/A</v>
      </c>
      <c r="Y12" s="2" t="e">
        <f>VLOOKUP($C12,Score!$B$2:$Z$76,22,0)</f>
        <v>#N/A</v>
      </c>
      <c r="Z12" s="2" t="e">
        <f>VLOOKUP($C12,Score!$B$2:$Z$76,24,0)</f>
        <v>#N/A</v>
      </c>
      <c r="AA12" s="6" t="e">
        <f t="shared" si="0"/>
        <v>#N/A</v>
      </c>
      <c r="AB12">
        <f t="shared" si="1"/>
        <v>0</v>
      </c>
    </row>
    <row r="13" spans="3:28">
      <c r="C13"/>
      <c r="D13"/>
      <c r="E13" s="2" t="e">
        <f>VLOOKUP($C13,Score!$B$2:$X$77,2,0)</f>
        <v>#N/A</v>
      </c>
      <c r="F13" s="2" t="e">
        <f>VLOOKUP($C13,Score!$B$2:$X$77,3,0)</f>
        <v>#N/A</v>
      </c>
      <c r="G13" s="2" t="e">
        <f>VLOOKUP($C13,Score!$B$2:$X$77,4,0)</f>
        <v>#N/A</v>
      </c>
      <c r="H13" s="2" t="e">
        <f>VLOOKUP($C13,Score!$B$2:$X$77,5,0)</f>
        <v>#N/A</v>
      </c>
      <c r="I13" s="2" t="e">
        <f>VLOOKUP($C13,Score!$B$2:$X$77,6,0)</f>
        <v>#N/A</v>
      </c>
      <c r="J13" s="2" t="e">
        <f>VLOOKUP($C13,Score!$B$2:$X$77,7,0)</f>
        <v>#N/A</v>
      </c>
      <c r="K13" s="2" t="e">
        <f>VLOOKUP($C13,Score!$B$2:$X$77,8,0)</f>
        <v>#N/A</v>
      </c>
      <c r="L13" s="2" t="e">
        <f>VLOOKUP($C13,Score!$B$2:$X$77,9,0)</f>
        <v>#N/A</v>
      </c>
      <c r="M13" s="2" t="e">
        <f>VLOOKUP($C13,Score!$B$2:$X$77,10,0)</f>
        <v>#N/A</v>
      </c>
      <c r="N13" s="2" t="e">
        <f>VLOOKUP($C13,Score!$B$2:$X$77,11,0)</f>
        <v>#N/A</v>
      </c>
      <c r="O13" s="2" t="e">
        <f>VLOOKUP($C13,Score!$B$2:$X$77,12,0)</f>
        <v>#N/A</v>
      </c>
      <c r="P13" s="2" t="e">
        <f>VLOOKUP($C13,Score!$B$2:$X$77,13,0)</f>
        <v>#N/A</v>
      </c>
      <c r="Q13" s="2" t="e">
        <f>VLOOKUP($C13,Score!$B$2:$X$77,14,0)</f>
        <v>#N/A</v>
      </c>
      <c r="R13" s="2" t="e">
        <f>VLOOKUP($C13,Score!$B$2:$X$77,15,0)</f>
        <v>#N/A</v>
      </c>
      <c r="S13" s="2" t="e">
        <f>VLOOKUP($C13,Score!$B$2:$X$77,16,0)</f>
        <v>#N/A</v>
      </c>
      <c r="T13" s="2" t="e">
        <f>VLOOKUP($C13,Score!$B$2:$X$77,17,0)</f>
        <v>#N/A</v>
      </c>
      <c r="U13" s="2" t="e">
        <f>VLOOKUP($C13,Score!$B$2:$X$77,18,0)</f>
        <v>#N/A</v>
      </c>
      <c r="V13" s="2" t="e">
        <f>VLOOKUP($C13,Score!$B$2:$X$77,19,0)</f>
        <v>#N/A</v>
      </c>
      <c r="W13" s="2" t="e">
        <f>VLOOKUP($C13,Score!$B$2:$X$77,20,0)</f>
        <v>#N/A</v>
      </c>
      <c r="X13" s="2" t="e">
        <f>VLOOKUP($C13,Score!$B$2:$Z$76,21,0)</f>
        <v>#N/A</v>
      </c>
      <c r="Y13" s="2" t="e">
        <f>VLOOKUP($C13,Score!$B$2:$Z$76,22,0)</f>
        <v>#N/A</v>
      </c>
      <c r="Z13" s="2" t="e">
        <f>VLOOKUP($C13,Score!$B$2:$Z$76,24,0)</f>
        <v>#N/A</v>
      </c>
      <c r="AA13" s="6" t="e">
        <f t="shared" si="0"/>
        <v>#N/A</v>
      </c>
      <c r="AB13">
        <f t="shared" si="1"/>
        <v>0</v>
      </c>
    </row>
    <row r="14" spans="3:28">
      <c r="C14"/>
      <c r="D14"/>
      <c r="E14" s="2" t="e">
        <f>VLOOKUP($C14,Score!$B$2:$X$77,2,0)</f>
        <v>#N/A</v>
      </c>
      <c r="F14" s="2" t="e">
        <f>VLOOKUP($C14,Score!$B$2:$X$77,3,0)</f>
        <v>#N/A</v>
      </c>
      <c r="G14" s="2" t="e">
        <f>VLOOKUP($C14,Score!$B$2:$X$77,4,0)</f>
        <v>#N/A</v>
      </c>
      <c r="H14" s="2" t="e">
        <f>VLOOKUP($C14,Score!$B$2:$X$77,5,0)</f>
        <v>#N/A</v>
      </c>
      <c r="I14" s="2" t="e">
        <f>VLOOKUP($C14,Score!$B$2:$X$77,6,0)</f>
        <v>#N/A</v>
      </c>
      <c r="J14" s="2" t="e">
        <f>VLOOKUP($C14,Score!$B$2:$X$77,7,0)</f>
        <v>#N/A</v>
      </c>
      <c r="K14" s="2" t="e">
        <f>VLOOKUP($C14,Score!$B$2:$X$77,8,0)</f>
        <v>#N/A</v>
      </c>
      <c r="L14" s="2" t="e">
        <f>VLOOKUP($C14,Score!$B$2:$X$77,9,0)</f>
        <v>#N/A</v>
      </c>
      <c r="M14" s="2" t="e">
        <f>VLOOKUP($C14,Score!$B$2:$X$77,10,0)</f>
        <v>#N/A</v>
      </c>
      <c r="N14" s="2" t="e">
        <f>VLOOKUP($C14,Score!$B$2:$X$77,11,0)</f>
        <v>#N/A</v>
      </c>
      <c r="O14" s="2" t="e">
        <f>VLOOKUP($C14,Score!$B$2:$X$77,12,0)</f>
        <v>#N/A</v>
      </c>
      <c r="P14" s="2" t="e">
        <f>VLOOKUP($C14,Score!$B$2:$X$77,13,0)</f>
        <v>#N/A</v>
      </c>
      <c r="Q14" s="2" t="e">
        <f>VLOOKUP($C14,Score!$B$2:$X$77,14,0)</f>
        <v>#N/A</v>
      </c>
      <c r="R14" s="2" t="e">
        <f>VLOOKUP($C14,Score!$B$2:$X$77,15,0)</f>
        <v>#N/A</v>
      </c>
      <c r="S14" s="2" t="e">
        <f>VLOOKUP($C14,Score!$B$2:$X$77,16,0)</f>
        <v>#N/A</v>
      </c>
      <c r="T14" s="2" t="e">
        <f>VLOOKUP($C14,Score!$B$2:$X$77,17,0)</f>
        <v>#N/A</v>
      </c>
      <c r="U14" s="2" t="e">
        <f>VLOOKUP($C14,Score!$B$2:$X$77,18,0)</f>
        <v>#N/A</v>
      </c>
      <c r="V14" s="2" t="e">
        <f>VLOOKUP($C14,Score!$B$2:$X$77,19,0)</f>
        <v>#N/A</v>
      </c>
      <c r="W14" s="2" t="e">
        <f>VLOOKUP($C14,Score!$B$2:$X$77,20,0)</f>
        <v>#N/A</v>
      </c>
      <c r="X14" s="2" t="e">
        <f>VLOOKUP($C14,Score!$B$2:$Z$76,21,0)</f>
        <v>#N/A</v>
      </c>
      <c r="Y14" s="2" t="e">
        <f>VLOOKUP($C14,Score!$B$2:$Z$76,22,0)</f>
        <v>#N/A</v>
      </c>
      <c r="Z14" s="2" t="e">
        <f>VLOOKUP($C14,Score!$B$2:$Z$76,24,0)</f>
        <v>#N/A</v>
      </c>
      <c r="AA14" s="6" t="e">
        <f t="shared" si="0"/>
        <v>#N/A</v>
      </c>
      <c r="AB14">
        <f t="shared" si="1"/>
        <v>0</v>
      </c>
    </row>
    <row r="15" spans="3:28">
      <c r="C15"/>
      <c r="D15"/>
      <c r="E15" s="2" t="e">
        <f>VLOOKUP($C15,Score!$B$2:$X$77,2,0)</f>
        <v>#N/A</v>
      </c>
      <c r="F15" s="2" t="e">
        <f>VLOOKUP($C15,Score!$B$2:$X$77,3,0)</f>
        <v>#N/A</v>
      </c>
      <c r="G15" s="2" t="e">
        <f>VLOOKUP($C15,Score!$B$2:$X$77,4,0)</f>
        <v>#N/A</v>
      </c>
      <c r="H15" s="2" t="e">
        <f>VLOOKUP($C15,Score!$B$2:$X$77,5,0)</f>
        <v>#N/A</v>
      </c>
      <c r="I15" s="2" t="e">
        <f>VLOOKUP($C15,Score!$B$2:$X$77,6,0)</f>
        <v>#N/A</v>
      </c>
      <c r="J15" s="2" t="e">
        <f>VLOOKUP($C15,Score!$B$2:$X$77,7,0)</f>
        <v>#N/A</v>
      </c>
      <c r="K15" s="2" t="e">
        <f>VLOOKUP($C15,Score!$B$2:$X$77,8,0)</f>
        <v>#N/A</v>
      </c>
      <c r="L15" s="2" t="e">
        <f>VLOOKUP($C15,Score!$B$2:$X$77,9,0)</f>
        <v>#N/A</v>
      </c>
      <c r="M15" s="2" t="e">
        <f>VLOOKUP($C15,Score!$B$2:$X$77,10,0)</f>
        <v>#N/A</v>
      </c>
      <c r="N15" s="2" t="e">
        <f>VLOOKUP($C15,Score!$B$2:$X$77,11,0)</f>
        <v>#N/A</v>
      </c>
      <c r="O15" s="2" t="e">
        <f>VLOOKUP($C15,Score!$B$2:$X$77,12,0)</f>
        <v>#N/A</v>
      </c>
      <c r="P15" s="2" t="e">
        <f>VLOOKUP($C15,Score!$B$2:$X$77,13,0)</f>
        <v>#N/A</v>
      </c>
      <c r="Q15" s="2" t="e">
        <f>VLOOKUP($C15,Score!$B$2:$X$77,14,0)</f>
        <v>#N/A</v>
      </c>
      <c r="R15" s="2" t="e">
        <f>VLOOKUP($C15,Score!$B$2:$X$77,15,0)</f>
        <v>#N/A</v>
      </c>
      <c r="S15" s="2" t="e">
        <f>VLOOKUP($C15,Score!$B$2:$X$77,16,0)</f>
        <v>#N/A</v>
      </c>
      <c r="T15" s="2" t="e">
        <f>VLOOKUP($C15,Score!$B$2:$X$77,17,0)</f>
        <v>#N/A</v>
      </c>
      <c r="U15" s="2" t="e">
        <f>VLOOKUP($C15,Score!$B$2:$X$77,18,0)</f>
        <v>#N/A</v>
      </c>
      <c r="V15" s="2" t="e">
        <f>VLOOKUP($C15,Score!$B$2:$X$77,19,0)</f>
        <v>#N/A</v>
      </c>
      <c r="W15" s="2" t="e">
        <f>VLOOKUP($C15,Score!$B$2:$X$77,20,0)</f>
        <v>#N/A</v>
      </c>
      <c r="X15" s="2" t="e">
        <f>VLOOKUP($C15,Score!$B$2:$Z$76,21,0)</f>
        <v>#N/A</v>
      </c>
      <c r="Y15" s="2" t="e">
        <f>VLOOKUP($C15,Score!$B$2:$Z$76,22,0)</f>
        <v>#N/A</v>
      </c>
      <c r="Z15" s="2" t="e">
        <f>VLOOKUP($C15,Score!$B$2:$Z$76,24,0)</f>
        <v>#N/A</v>
      </c>
      <c r="AA15" s="6" t="e">
        <f t="shared" si="0"/>
        <v>#N/A</v>
      </c>
      <c r="AB15">
        <f t="shared" si="1"/>
        <v>0</v>
      </c>
    </row>
    <row r="16" spans="3:28">
      <c r="C16"/>
      <c r="D16"/>
      <c r="E16" s="2" t="e">
        <f>VLOOKUP($C16,Score!$B$2:$X$77,2,0)</f>
        <v>#N/A</v>
      </c>
      <c r="F16" s="2" t="e">
        <f>VLOOKUP($C16,Score!$B$2:$X$77,3,0)</f>
        <v>#N/A</v>
      </c>
      <c r="G16" s="2" t="e">
        <f>VLOOKUP($C16,Score!$B$2:$X$77,4,0)</f>
        <v>#N/A</v>
      </c>
      <c r="H16" s="2" t="e">
        <f>VLOOKUP($C16,Score!$B$2:$X$77,5,0)</f>
        <v>#N/A</v>
      </c>
      <c r="I16" s="2" t="e">
        <f>VLOOKUP($C16,Score!$B$2:$X$77,6,0)</f>
        <v>#N/A</v>
      </c>
      <c r="J16" s="2" t="e">
        <f>VLOOKUP($C16,Score!$B$2:$X$77,7,0)</f>
        <v>#N/A</v>
      </c>
      <c r="K16" s="2" t="e">
        <f>VLOOKUP($C16,Score!$B$2:$X$77,8,0)</f>
        <v>#N/A</v>
      </c>
      <c r="L16" s="2" t="e">
        <f>VLOOKUP($C16,Score!$B$2:$X$77,9,0)</f>
        <v>#N/A</v>
      </c>
      <c r="M16" s="2" t="e">
        <f>VLOOKUP($C16,Score!$B$2:$X$77,10,0)</f>
        <v>#N/A</v>
      </c>
      <c r="N16" s="2" t="e">
        <f>VLOOKUP($C16,Score!$B$2:$X$77,11,0)</f>
        <v>#N/A</v>
      </c>
      <c r="O16" s="2" t="e">
        <f>VLOOKUP($C16,Score!$B$2:$X$77,12,0)</f>
        <v>#N/A</v>
      </c>
      <c r="P16" s="2" t="e">
        <f>VLOOKUP($C16,Score!$B$2:$X$77,13,0)</f>
        <v>#N/A</v>
      </c>
      <c r="Q16" s="2" t="e">
        <f>VLOOKUP($C16,Score!$B$2:$X$77,14,0)</f>
        <v>#N/A</v>
      </c>
      <c r="R16" s="2" t="e">
        <f>VLOOKUP($C16,Score!$B$2:$X$77,15,0)</f>
        <v>#N/A</v>
      </c>
      <c r="S16" s="2" t="e">
        <f>VLOOKUP($C16,Score!$B$2:$X$77,16,0)</f>
        <v>#N/A</v>
      </c>
      <c r="T16" s="2" t="e">
        <f>VLOOKUP($C16,Score!$B$2:$X$77,17,0)</f>
        <v>#N/A</v>
      </c>
      <c r="U16" s="2" t="e">
        <f>VLOOKUP($C16,Score!$B$2:$X$77,18,0)</f>
        <v>#N/A</v>
      </c>
      <c r="V16" s="2" t="e">
        <f>VLOOKUP($C16,Score!$B$2:$X$77,19,0)</f>
        <v>#N/A</v>
      </c>
      <c r="W16" s="2" t="e">
        <f>VLOOKUP($C16,Score!$B$2:$X$77,20,0)</f>
        <v>#N/A</v>
      </c>
      <c r="X16" s="2" t="e">
        <f>VLOOKUP($C16,Score!$B$2:$Z$76,21,0)</f>
        <v>#N/A</v>
      </c>
      <c r="Y16" s="2" t="e">
        <f>VLOOKUP($C16,Score!$B$2:$Z$76,22,0)</f>
        <v>#N/A</v>
      </c>
      <c r="Z16" s="2" t="e">
        <f>VLOOKUP($C16,Score!$B$2:$Z$76,24,0)</f>
        <v>#N/A</v>
      </c>
      <c r="AA16" s="6" t="e">
        <f t="shared" si="0"/>
        <v>#N/A</v>
      </c>
      <c r="AB16">
        <f t="shared" si="1"/>
        <v>0</v>
      </c>
    </row>
    <row r="17" spans="3:28">
      <c r="C17"/>
      <c r="D17"/>
      <c r="E17" s="2" t="e">
        <f>VLOOKUP($C17,Score!$B$2:$X$77,2,0)</f>
        <v>#N/A</v>
      </c>
      <c r="F17" s="2" t="e">
        <f>VLOOKUP($C17,Score!$B$2:$X$77,3,0)</f>
        <v>#N/A</v>
      </c>
      <c r="G17" s="2" t="e">
        <f>VLOOKUP($C17,Score!$B$2:$X$77,4,0)</f>
        <v>#N/A</v>
      </c>
      <c r="H17" s="2" t="e">
        <f>VLOOKUP($C17,Score!$B$2:$X$77,5,0)</f>
        <v>#N/A</v>
      </c>
      <c r="I17" s="2" t="e">
        <f>VLOOKUP($C17,Score!$B$2:$X$77,6,0)</f>
        <v>#N/A</v>
      </c>
      <c r="J17" s="2" t="e">
        <f>VLOOKUP($C17,Score!$B$2:$X$77,7,0)</f>
        <v>#N/A</v>
      </c>
      <c r="K17" s="2" t="e">
        <f>VLOOKUP($C17,Score!$B$2:$X$77,8,0)</f>
        <v>#N/A</v>
      </c>
      <c r="L17" s="2" t="e">
        <f>VLOOKUP($C17,Score!$B$2:$X$77,9,0)</f>
        <v>#N/A</v>
      </c>
      <c r="M17" s="2" t="e">
        <f>VLOOKUP($C17,Score!$B$2:$X$77,10,0)</f>
        <v>#N/A</v>
      </c>
      <c r="N17" s="2" t="e">
        <f>VLOOKUP($C17,Score!$B$2:$X$77,11,0)</f>
        <v>#N/A</v>
      </c>
      <c r="O17" s="2" t="e">
        <f>VLOOKUP($C17,Score!$B$2:$X$77,12,0)</f>
        <v>#N/A</v>
      </c>
      <c r="P17" s="2" t="e">
        <f>VLOOKUP($C17,Score!$B$2:$X$77,13,0)</f>
        <v>#N/A</v>
      </c>
      <c r="Q17" s="2" t="e">
        <f>VLOOKUP($C17,Score!$B$2:$X$77,14,0)</f>
        <v>#N/A</v>
      </c>
      <c r="R17" s="2" t="e">
        <f>VLOOKUP($C17,Score!$B$2:$X$77,15,0)</f>
        <v>#N/A</v>
      </c>
      <c r="S17" s="2" t="e">
        <f>VLOOKUP($C17,Score!$B$2:$X$77,16,0)</f>
        <v>#N/A</v>
      </c>
      <c r="T17" s="2" t="e">
        <f>VLOOKUP($C17,Score!$B$2:$X$77,17,0)</f>
        <v>#N/A</v>
      </c>
      <c r="U17" s="2" t="e">
        <f>VLOOKUP($C17,Score!$B$2:$X$77,18,0)</f>
        <v>#N/A</v>
      </c>
      <c r="V17" s="2" t="e">
        <f>VLOOKUP($C17,Score!$B$2:$X$77,19,0)</f>
        <v>#N/A</v>
      </c>
      <c r="W17" s="2" t="e">
        <f>VLOOKUP($C17,Score!$B$2:$X$77,20,0)</f>
        <v>#N/A</v>
      </c>
      <c r="X17" s="2" t="e">
        <f>VLOOKUP($C17,Score!$B$2:$Z$76,21,0)</f>
        <v>#N/A</v>
      </c>
      <c r="Y17" s="2" t="e">
        <f>VLOOKUP($C17,Score!$B$2:$Z$76,22,0)</f>
        <v>#N/A</v>
      </c>
      <c r="Z17" s="2" t="e">
        <f>VLOOKUP($C17,Score!$B$2:$Z$76,24,0)</f>
        <v>#N/A</v>
      </c>
      <c r="AA17" s="6" t="e">
        <f t="shared" si="0"/>
        <v>#N/A</v>
      </c>
      <c r="AB17">
        <f t="shared" si="1"/>
        <v>0</v>
      </c>
    </row>
    <row r="18" spans="3:28">
      <c r="C18"/>
      <c r="D18"/>
      <c r="E18" s="2" t="e">
        <f>VLOOKUP($C18,Score!$B$2:$X$77,2,0)</f>
        <v>#N/A</v>
      </c>
      <c r="F18" s="2" t="e">
        <f>VLOOKUP($C18,Score!$B$2:$X$77,3,0)</f>
        <v>#N/A</v>
      </c>
      <c r="G18" s="2" t="e">
        <f>VLOOKUP($C18,Score!$B$2:$X$77,4,0)</f>
        <v>#N/A</v>
      </c>
      <c r="H18" s="2" t="e">
        <f>VLOOKUP($C18,Score!$B$2:$X$77,5,0)</f>
        <v>#N/A</v>
      </c>
      <c r="I18" s="2" t="e">
        <f>VLOOKUP($C18,Score!$B$2:$X$77,6,0)</f>
        <v>#N/A</v>
      </c>
      <c r="J18" s="2" t="e">
        <f>VLOOKUP($C18,Score!$B$2:$X$77,7,0)</f>
        <v>#N/A</v>
      </c>
      <c r="K18" s="2" t="e">
        <f>VLOOKUP($C18,Score!$B$2:$X$77,8,0)</f>
        <v>#N/A</v>
      </c>
      <c r="L18" s="2" t="e">
        <f>VLOOKUP($C18,Score!$B$2:$X$77,9,0)</f>
        <v>#N/A</v>
      </c>
      <c r="M18" s="2" t="e">
        <f>VLOOKUP($C18,Score!$B$2:$X$77,10,0)</f>
        <v>#N/A</v>
      </c>
      <c r="N18" s="2" t="e">
        <f>VLOOKUP($C18,Score!$B$2:$X$77,11,0)</f>
        <v>#N/A</v>
      </c>
      <c r="O18" s="2" t="e">
        <f>VLOOKUP($C18,Score!$B$2:$X$77,12,0)</f>
        <v>#N/A</v>
      </c>
      <c r="P18" s="2" t="e">
        <f>VLOOKUP($C18,Score!$B$2:$X$77,13,0)</f>
        <v>#N/A</v>
      </c>
      <c r="Q18" s="2" t="e">
        <f>VLOOKUP($C18,Score!$B$2:$X$77,14,0)</f>
        <v>#N/A</v>
      </c>
      <c r="R18" s="2" t="e">
        <f>VLOOKUP($C18,Score!$B$2:$X$77,15,0)</f>
        <v>#N/A</v>
      </c>
      <c r="S18" s="2" t="e">
        <f>VLOOKUP($C18,Score!$B$2:$X$77,16,0)</f>
        <v>#N/A</v>
      </c>
      <c r="T18" s="2" t="e">
        <f>VLOOKUP($C18,Score!$B$2:$X$77,17,0)</f>
        <v>#N/A</v>
      </c>
      <c r="U18" s="2" t="e">
        <f>VLOOKUP($C18,Score!$B$2:$X$77,18,0)</f>
        <v>#N/A</v>
      </c>
      <c r="V18" s="2" t="e">
        <f>VLOOKUP($C18,Score!$B$2:$X$77,19,0)</f>
        <v>#N/A</v>
      </c>
      <c r="W18" s="2" t="e">
        <f>VLOOKUP($C18,Score!$B$2:$X$77,20,0)</f>
        <v>#N/A</v>
      </c>
      <c r="X18" s="2" t="e">
        <f>VLOOKUP($C18,Score!$B$2:$Z$76,21,0)</f>
        <v>#N/A</v>
      </c>
      <c r="Y18" s="2" t="e">
        <f>VLOOKUP($C18,Score!$B$2:$Z$76,22,0)</f>
        <v>#N/A</v>
      </c>
      <c r="Z18" s="2" t="e">
        <f>VLOOKUP($C18,Score!$B$2:$Z$76,24,0)</f>
        <v>#N/A</v>
      </c>
      <c r="AA18" s="6" t="e">
        <f t="shared" si="0"/>
        <v>#N/A</v>
      </c>
      <c r="AB18">
        <f t="shared" si="1"/>
        <v>0</v>
      </c>
    </row>
    <row r="19" spans="3:28">
      <c r="C19"/>
      <c r="D19"/>
      <c r="E19" s="2" t="e">
        <f>VLOOKUP($C19,Score!$B$2:$X$77,2,0)</f>
        <v>#N/A</v>
      </c>
      <c r="F19" s="2" t="e">
        <f>VLOOKUP($C19,Score!$B$2:$X$77,3,0)</f>
        <v>#N/A</v>
      </c>
      <c r="G19" s="2" t="e">
        <f>VLOOKUP($C19,Score!$B$2:$X$77,4,0)</f>
        <v>#N/A</v>
      </c>
      <c r="H19" s="2" t="e">
        <f>VLOOKUP($C19,Score!$B$2:$X$77,5,0)</f>
        <v>#N/A</v>
      </c>
      <c r="I19" s="2" t="e">
        <f>VLOOKUP($C19,Score!$B$2:$X$77,6,0)</f>
        <v>#N/A</v>
      </c>
      <c r="J19" s="2" t="e">
        <f>VLOOKUP($C19,Score!$B$2:$X$77,7,0)</f>
        <v>#N/A</v>
      </c>
      <c r="K19" s="2" t="e">
        <f>VLOOKUP($C19,Score!$B$2:$X$77,8,0)</f>
        <v>#N/A</v>
      </c>
      <c r="L19" s="2" t="e">
        <f>VLOOKUP($C19,Score!$B$2:$X$77,9,0)</f>
        <v>#N/A</v>
      </c>
      <c r="M19" s="2" t="e">
        <f>VLOOKUP($C19,Score!$B$2:$X$77,10,0)</f>
        <v>#N/A</v>
      </c>
      <c r="N19" s="2" t="e">
        <f>VLOOKUP($C19,Score!$B$2:$X$77,11,0)</f>
        <v>#N/A</v>
      </c>
      <c r="O19" s="2" t="e">
        <f>VLOOKUP($C19,Score!$B$2:$X$77,12,0)</f>
        <v>#N/A</v>
      </c>
      <c r="P19" s="2" t="e">
        <f>VLOOKUP($C19,Score!$B$2:$X$77,13,0)</f>
        <v>#N/A</v>
      </c>
      <c r="Q19" s="2" t="e">
        <f>VLOOKUP($C19,Score!$B$2:$X$77,14,0)</f>
        <v>#N/A</v>
      </c>
      <c r="R19" s="2" t="e">
        <f>VLOOKUP($C19,Score!$B$2:$X$77,15,0)</f>
        <v>#N/A</v>
      </c>
      <c r="S19" s="2" t="e">
        <f>VLOOKUP($C19,Score!$B$2:$X$77,16,0)</f>
        <v>#N/A</v>
      </c>
      <c r="T19" s="2" t="e">
        <f>VLOOKUP($C19,Score!$B$2:$X$77,17,0)</f>
        <v>#N/A</v>
      </c>
      <c r="U19" s="2" t="e">
        <f>VLOOKUP($C19,Score!$B$2:$X$77,18,0)</f>
        <v>#N/A</v>
      </c>
      <c r="V19" s="2" t="e">
        <f>VLOOKUP($C19,Score!$B$2:$X$77,19,0)</f>
        <v>#N/A</v>
      </c>
      <c r="W19" s="2" t="e">
        <f>VLOOKUP($C19,Score!$B$2:$X$77,20,0)</f>
        <v>#N/A</v>
      </c>
      <c r="X19" s="2" t="e">
        <f>VLOOKUP($C19,Score!$B$2:$Z$76,21,0)</f>
        <v>#N/A</v>
      </c>
      <c r="Y19" s="2" t="e">
        <f>VLOOKUP($C19,Score!$B$2:$Z$76,22,0)</f>
        <v>#N/A</v>
      </c>
      <c r="Z19" s="2" t="e">
        <f>VLOOKUP($C19,Score!$B$2:$Z$76,24,0)</f>
        <v>#N/A</v>
      </c>
      <c r="AA19" s="6" t="e">
        <f t="shared" si="0"/>
        <v>#N/A</v>
      </c>
      <c r="AB19">
        <f t="shared" si="1"/>
        <v>0</v>
      </c>
    </row>
    <row r="20" spans="3:28">
      <c r="C20"/>
      <c r="D20"/>
      <c r="E20" s="2" t="e">
        <f>VLOOKUP($C20,Score!$B$2:$X$77,2,0)</f>
        <v>#N/A</v>
      </c>
      <c r="F20" s="2" t="e">
        <f>VLOOKUP($C20,Score!$B$2:$X$77,3,0)</f>
        <v>#N/A</v>
      </c>
      <c r="G20" s="2" t="e">
        <f>VLOOKUP($C20,Score!$B$2:$X$77,4,0)</f>
        <v>#N/A</v>
      </c>
      <c r="H20" s="2" t="e">
        <f>VLOOKUP($C20,Score!$B$2:$X$77,5,0)</f>
        <v>#N/A</v>
      </c>
      <c r="I20" s="2" t="e">
        <f>VLOOKUP($C20,Score!$B$2:$X$77,6,0)</f>
        <v>#N/A</v>
      </c>
      <c r="J20" s="2" t="e">
        <f>VLOOKUP($C20,Score!$B$2:$X$77,7,0)</f>
        <v>#N/A</v>
      </c>
      <c r="K20" s="2" t="e">
        <f>VLOOKUP($C20,Score!$B$2:$X$77,8,0)</f>
        <v>#N/A</v>
      </c>
      <c r="L20" s="2" t="e">
        <f>VLOOKUP($C20,Score!$B$2:$X$77,9,0)</f>
        <v>#N/A</v>
      </c>
      <c r="M20" s="2" t="e">
        <f>VLOOKUP($C20,Score!$B$2:$X$77,10,0)</f>
        <v>#N/A</v>
      </c>
      <c r="N20" s="2" t="e">
        <f>VLOOKUP($C20,Score!$B$2:$X$77,11,0)</f>
        <v>#N/A</v>
      </c>
      <c r="O20" s="2" t="e">
        <f>VLOOKUP($C20,Score!$B$2:$X$77,12,0)</f>
        <v>#N/A</v>
      </c>
      <c r="P20" s="2" t="e">
        <f>VLOOKUP($C20,Score!$B$2:$X$77,13,0)</f>
        <v>#N/A</v>
      </c>
      <c r="Q20" s="2" t="e">
        <f>VLOOKUP($C20,Score!$B$2:$X$77,14,0)</f>
        <v>#N/A</v>
      </c>
      <c r="R20" s="2" t="e">
        <f>VLOOKUP($C20,Score!$B$2:$X$77,15,0)</f>
        <v>#N/A</v>
      </c>
      <c r="S20" s="2" t="e">
        <f>VLOOKUP($C20,Score!$B$2:$X$77,16,0)</f>
        <v>#N/A</v>
      </c>
      <c r="T20" s="2" t="e">
        <f>VLOOKUP($C20,Score!$B$2:$X$77,17,0)</f>
        <v>#N/A</v>
      </c>
      <c r="U20" s="2" t="e">
        <f>VLOOKUP($C20,Score!$B$2:$X$77,18,0)</f>
        <v>#N/A</v>
      </c>
      <c r="V20" s="2" t="e">
        <f>VLOOKUP($C20,Score!$B$2:$X$77,19,0)</f>
        <v>#N/A</v>
      </c>
      <c r="W20" s="2" t="e">
        <f>VLOOKUP($C20,Score!$B$2:$X$77,20,0)</f>
        <v>#N/A</v>
      </c>
      <c r="X20" s="2" t="e">
        <f>VLOOKUP($C20,Score!$B$2:$Z$76,21,0)</f>
        <v>#N/A</v>
      </c>
      <c r="Y20" s="2" t="e">
        <f>VLOOKUP($C20,Score!$B$2:$Z$76,22,0)</f>
        <v>#N/A</v>
      </c>
      <c r="Z20" s="2" t="e">
        <f>VLOOKUP($C20,Score!$B$2:$Z$76,24,0)</f>
        <v>#N/A</v>
      </c>
      <c r="AA20" s="6" t="e">
        <f t="shared" si="0"/>
        <v>#N/A</v>
      </c>
      <c r="AB20">
        <f t="shared" si="1"/>
        <v>0</v>
      </c>
    </row>
    <row r="21" spans="3:28" s="68" customFormat="1">
      <c r="C21" s="68" t="s">
        <v>16</v>
      </c>
      <c r="E21" s="69"/>
      <c r="F21" s="70"/>
      <c r="G21" s="69"/>
      <c r="H21" s="69"/>
      <c r="I21" s="69"/>
      <c r="J21" s="69"/>
      <c r="K21" s="69"/>
      <c r="L21" s="69"/>
      <c r="M21" s="69"/>
      <c r="N21" s="69"/>
      <c r="O21" s="69"/>
      <c r="P21" s="69"/>
      <c r="Q21" s="69"/>
      <c r="R21" s="69"/>
      <c r="S21" s="69"/>
      <c r="T21" s="69"/>
      <c r="U21" s="69"/>
      <c r="V21" s="69"/>
      <c r="W21" s="69"/>
      <c r="X21" s="69"/>
      <c r="Y21" s="69"/>
      <c r="Z21" s="69"/>
      <c r="AA21" s="72"/>
    </row>
    <row r="22" spans="3:28" s="1" customFormat="1">
      <c r="C22"/>
      <c r="D22"/>
      <c r="E22" s="66" t="e">
        <f t="shared" ref="E22:AA22" si="2">SUM(E4:E21)</f>
        <v>#N/A</v>
      </c>
      <c r="F22" s="66" t="e">
        <f t="shared" si="2"/>
        <v>#N/A</v>
      </c>
      <c r="G22" s="66" t="e">
        <f t="shared" si="2"/>
        <v>#N/A</v>
      </c>
      <c r="H22" s="66" t="e">
        <f t="shared" si="2"/>
        <v>#N/A</v>
      </c>
      <c r="I22" s="66" t="e">
        <f t="shared" si="2"/>
        <v>#N/A</v>
      </c>
      <c r="J22" s="66" t="e">
        <f t="shared" si="2"/>
        <v>#N/A</v>
      </c>
      <c r="K22" s="66" t="e">
        <f t="shared" si="2"/>
        <v>#N/A</v>
      </c>
      <c r="L22" s="66" t="e">
        <f t="shared" si="2"/>
        <v>#N/A</v>
      </c>
      <c r="M22" s="66" t="e">
        <f t="shared" si="2"/>
        <v>#N/A</v>
      </c>
      <c r="N22" s="66" t="e">
        <f t="shared" si="2"/>
        <v>#N/A</v>
      </c>
      <c r="O22" s="66" t="e">
        <f t="shared" si="2"/>
        <v>#N/A</v>
      </c>
      <c r="P22" s="66" t="e">
        <f t="shared" si="2"/>
        <v>#N/A</v>
      </c>
      <c r="Q22" s="66" t="e">
        <f t="shared" si="2"/>
        <v>#N/A</v>
      </c>
      <c r="R22" s="66" t="e">
        <f t="shared" si="2"/>
        <v>#N/A</v>
      </c>
      <c r="S22" s="66" t="e">
        <f t="shared" si="2"/>
        <v>#N/A</v>
      </c>
      <c r="T22" s="66" t="e">
        <f t="shared" si="2"/>
        <v>#N/A</v>
      </c>
      <c r="U22" s="66" t="e">
        <f t="shared" si="2"/>
        <v>#N/A</v>
      </c>
      <c r="V22" s="66" t="e">
        <f t="shared" si="2"/>
        <v>#N/A</v>
      </c>
      <c r="W22" s="66" t="e">
        <f t="shared" si="2"/>
        <v>#N/A</v>
      </c>
      <c r="X22" s="66" t="e">
        <f t="shared" si="2"/>
        <v>#N/A</v>
      </c>
      <c r="Y22" s="66" t="e">
        <f t="shared" si="2"/>
        <v>#N/A</v>
      </c>
      <c r="Z22" s="66" t="e">
        <f t="shared" si="2"/>
        <v>#N/A</v>
      </c>
      <c r="AA22" s="67" t="e">
        <f t="shared" si="2"/>
        <v>#N/A</v>
      </c>
    </row>
    <row r="23" spans="3:28" s="51" customFormat="1">
      <c r="C23"/>
      <c r="D23"/>
      <c r="E23" s="52"/>
      <c r="F23" s="52"/>
      <c r="G23" s="47"/>
      <c r="H23" s="52"/>
      <c r="I23" s="52"/>
      <c r="J23" s="52"/>
      <c r="K23" s="52"/>
      <c r="L23" s="52"/>
      <c r="M23" s="52"/>
      <c r="N23" s="52"/>
      <c r="O23" s="52"/>
      <c r="P23" s="52"/>
      <c r="Q23" s="52"/>
      <c r="R23" s="52"/>
      <c r="S23" s="52"/>
      <c r="T23" s="52"/>
      <c r="U23" s="52"/>
      <c r="V23" s="52"/>
      <c r="W23" s="52"/>
      <c r="X23" s="52"/>
      <c r="Y23" s="52"/>
      <c r="Z23" s="52"/>
      <c r="AA23" s="60"/>
    </row>
    <row r="24" spans="3:28" s="63" customFormat="1">
      <c r="C24"/>
      <c r="D24"/>
      <c r="E24" s="62" t="e">
        <f>VLOOKUP($C24,Score!$B$2:$X$77,2,0)</f>
        <v>#N/A</v>
      </c>
      <c r="F24" s="62" t="e">
        <f>VLOOKUP($C24,Score!$B$2:$X$77,2,0)</f>
        <v>#N/A</v>
      </c>
      <c r="G24" s="62" t="e">
        <f>VLOOKUP($C24,Score!$B$2:$X$77,2,0)</f>
        <v>#N/A</v>
      </c>
      <c r="H24" s="62" t="e">
        <f>VLOOKUP($C24,Score!$B$2:$X$77,2,0)</f>
        <v>#N/A</v>
      </c>
      <c r="I24" s="62" t="e">
        <f>VLOOKUP($C24,Score!$B$2:$X$77,2,0)</f>
        <v>#N/A</v>
      </c>
      <c r="J24" s="62" t="e">
        <f>VLOOKUP($C24,Score!$B$2:$X$77,2,0)</f>
        <v>#N/A</v>
      </c>
      <c r="K24" s="62" t="e">
        <f>VLOOKUP($C24,Score!$B$2:$X$77,2,0)</f>
        <v>#N/A</v>
      </c>
      <c r="L24" s="62" t="e">
        <f>VLOOKUP($C24,Score!$B$2:$X$77,2,0)</f>
        <v>#N/A</v>
      </c>
      <c r="M24" s="62" t="e">
        <f>VLOOKUP($C24,Score!$B$2:$X$77,2,0)</f>
        <v>#N/A</v>
      </c>
      <c r="N24" s="62" t="e">
        <f>VLOOKUP($C24,Score!$B$2:$X$77,2,0)</f>
        <v>#N/A</v>
      </c>
      <c r="O24" s="62" t="e">
        <f>VLOOKUP($C24,Score!$B$2:$X$77,2,0)</f>
        <v>#N/A</v>
      </c>
      <c r="P24" s="62" t="e">
        <f>VLOOKUP($C24,Score!$B$2:$X$77,2,0)</f>
        <v>#N/A</v>
      </c>
      <c r="Q24" s="62" t="e">
        <f>VLOOKUP($C24,Score!$B$2:$X$77,2,0)</f>
        <v>#N/A</v>
      </c>
      <c r="R24" s="62" t="e">
        <f>VLOOKUP($C24,Score!$B$2:$X$77,2,0)</f>
        <v>#N/A</v>
      </c>
      <c r="S24" s="62" t="e">
        <f>VLOOKUP($C24,Score!$B$2:$X$77,2,0)</f>
        <v>#N/A</v>
      </c>
      <c r="T24" s="62" t="e">
        <f>VLOOKUP($C24,Score!$B$2:$X$77,2,0)</f>
        <v>#N/A</v>
      </c>
      <c r="U24" s="62" t="e">
        <f>VLOOKUP($C24,Score!$B$2:$X$77,2,0)</f>
        <v>#N/A</v>
      </c>
      <c r="V24" s="62" t="e">
        <f>VLOOKUP($C24,Score!$B$2:$X$77,2,0)</f>
        <v>#N/A</v>
      </c>
      <c r="W24" s="62" t="e">
        <f>VLOOKUP($C24,Score!$B$2:$X$77,2,0)</f>
        <v>#N/A</v>
      </c>
      <c r="X24" s="62" t="e">
        <f>VLOOKUP($C24,Score!$B$2:$X$77,2,0)</f>
        <v>#N/A</v>
      </c>
      <c r="Y24" s="62" t="e">
        <f>VLOOKUP($C24,Score!$B$2:$X$77,2,0)</f>
        <v>#N/A</v>
      </c>
      <c r="Z24" s="62" t="e">
        <f>VLOOKUP($C24,Score!$B$2:$X$77,2,0)</f>
        <v>#N/A</v>
      </c>
      <c r="AA24" s="62" t="e">
        <f>VLOOKUP($C24,Score!$B$2:$X$77,2,0)</f>
        <v>#N/A</v>
      </c>
    </row>
    <row r="25" spans="3:28" s="63" customFormat="1">
      <c r="C25"/>
      <c r="D25"/>
      <c r="E25" s="62" t="e">
        <f>VLOOKUP($C25,Score!$B$2:$X$77,2,0)</f>
        <v>#N/A</v>
      </c>
      <c r="F25" s="62" t="e">
        <f>VLOOKUP($C25,Score!$B$2:$X$77,2,0)</f>
        <v>#N/A</v>
      </c>
      <c r="G25" s="62" t="e">
        <f>VLOOKUP($C25,Score!$B$2:$X$77,2,0)</f>
        <v>#N/A</v>
      </c>
      <c r="H25" s="62" t="e">
        <f>VLOOKUP($C25,Score!$B$2:$X$77,2,0)</f>
        <v>#N/A</v>
      </c>
      <c r="I25" s="62" t="e">
        <f>VLOOKUP($C25,Score!$B$2:$X$77,2,0)</f>
        <v>#N/A</v>
      </c>
      <c r="J25" s="62" t="e">
        <f>VLOOKUP($C25,Score!$B$2:$X$77,2,0)</f>
        <v>#N/A</v>
      </c>
      <c r="K25" s="62" t="e">
        <f>VLOOKUP($C25,Score!$B$2:$X$77,2,0)</f>
        <v>#N/A</v>
      </c>
      <c r="L25" s="62" t="e">
        <f>VLOOKUP($C25,Score!$B$2:$X$77,2,0)</f>
        <v>#N/A</v>
      </c>
      <c r="M25" s="62" t="e">
        <f>VLOOKUP($C25,Score!$B$2:$X$77,2,0)</f>
        <v>#N/A</v>
      </c>
      <c r="N25" s="62" t="e">
        <f>VLOOKUP($C25,Score!$B$2:$X$77,2,0)</f>
        <v>#N/A</v>
      </c>
      <c r="O25" s="62" t="e">
        <f>VLOOKUP($C25,Score!$B$2:$X$77,2,0)</f>
        <v>#N/A</v>
      </c>
      <c r="P25" s="62" t="e">
        <f>VLOOKUP($C25,Score!$B$2:$X$77,2,0)</f>
        <v>#N/A</v>
      </c>
      <c r="Q25" s="62" t="e">
        <f>VLOOKUP($C25,Score!$B$2:$X$77,2,0)</f>
        <v>#N/A</v>
      </c>
      <c r="R25" s="62" t="e">
        <f>VLOOKUP($C25,Score!$B$2:$X$77,2,0)</f>
        <v>#N/A</v>
      </c>
      <c r="S25" s="62" t="e">
        <f>VLOOKUP($C25,Score!$B$2:$X$77,2,0)</f>
        <v>#N/A</v>
      </c>
      <c r="T25" s="62" t="e">
        <f>VLOOKUP($C25,Score!$B$2:$X$77,2,0)</f>
        <v>#N/A</v>
      </c>
      <c r="U25" s="62" t="e">
        <f>VLOOKUP($C25,Score!$B$2:$X$77,2,0)</f>
        <v>#N/A</v>
      </c>
      <c r="V25" s="62" t="e">
        <f>VLOOKUP($C25,Score!$B$2:$X$77,2,0)</f>
        <v>#N/A</v>
      </c>
      <c r="W25" s="62" t="e">
        <f>VLOOKUP($C25,Score!$B$2:$X$77,2,0)</f>
        <v>#N/A</v>
      </c>
      <c r="X25" s="62" t="e">
        <f>VLOOKUP($C25,Score!$B$2:$X$77,2,0)</f>
        <v>#N/A</v>
      </c>
      <c r="Y25" s="62" t="e">
        <f>VLOOKUP($C25,Score!$B$2:$X$77,2,0)</f>
        <v>#N/A</v>
      </c>
      <c r="Z25" s="62" t="e">
        <f>VLOOKUP($C25,Score!$B$2:$X$77,2,0)</f>
        <v>#N/A</v>
      </c>
      <c r="AA25" s="62" t="e">
        <f>VLOOKUP($C25,Score!$B$2:$X$77,2,0)</f>
        <v>#N/A</v>
      </c>
    </row>
    <row r="26" spans="3:28" s="63" customFormat="1">
      <c r="C26"/>
      <c r="D26"/>
      <c r="E26" s="62" t="e">
        <f>VLOOKUP($C26,Score!$B$2:$X$77,2,0)</f>
        <v>#N/A</v>
      </c>
      <c r="F26" s="62" t="e">
        <f>VLOOKUP($C26,Score!$B$2:$X$77,2,0)</f>
        <v>#N/A</v>
      </c>
      <c r="G26" s="62" t="e">
        <f>VLOOKUP($C26,Score!$B$2:$X$77,2,0)</f>
        <v>#N/A</v>
      </c>
      <c r="H26" s="62" t="e">
        <f>VLOOKUP($C26,Score!$B$2:$X$77,2,0)</f>
        <v>#N/A</v>
      </c>
      <c r="I26" s="62" t="e">
        <f>VLOOKUP($C26,Score!$B$2:$X$77,2,0)</f>
        <v>#N/A</v>
      </c>
      <c r="J26" s="62" t="e">
        <f>VLOOKUP($C26,Score!$B$2:$X$77,2,0)</f>
        <v>#N/A</v>
      </c>
      <c r="K26" s="62" t="e">
        <f>VLOOKUP($C26,Score!$B$2:$X$77,2,0)</f>
        <v>#N/A</v>
      </c>
      <c r="L26" s="62" t="e">
        <f>VLOOKUP($C26,Score!$B$2:$X$77,2,0)</f>
        <v>#N/A</v>
      </c>
      <c r="M26" s="62" t="e">
        <f>VLOOKUP($C26,Score!$B$2:$X$77,2,0)</f>
        <v>#N/A</v>
      </c>
      <c r="N26" s="62" t="e">
        <f>VLOOKUP($C26,Score!$B$2:$X$77,2,0)</f>
        <v>#N/A</v>
      </c>
      <c r="O26" s="62" t="e">
        <f>VLOOKUP($C26,Score!$B$2:$X$77,2,0)</f>
        <v>#N/A</v>
      </c>
      <c r="P26" s="62" t="e">
        <f>VLOOKUP($C26,Score!$B$2:$X$77,2,0)</f>
        <v>#N/A</v>
      </c>
      <c r="Q26" s="62" t="e">
        <f>VLOOKUP($C26,Score!$B$2:$X$77,2,0)</f>
        <v>#N/A</v>
      </c>
      <c r="R26" s="62" t="e">
        <f>VLOOKUP($C26,Score!$B$2:$X$77,2,0)</f>
        <v>#N/A</v>
      </c>
      <c r="S26" s="62" t="e">
        <f>VLOOKUP($C26,Score!$B$2:$X$77,2,0)</f>
        <v>#N/A</v>
      </c>
      <c r="T26" s="62" t="e">
        <f>VLOOKUP($C26,Score!$B$2:$X$77,2,0)</f>
        <v>#N/A</v>
      </c>
      <c r="U26" s="62" t="e">
        <f>VLOOKUP($C26,Score!$B$2:$X$77,2,0)</f>
        <v>#N/A</v>
      </c>
      <c r="V26" s="62" t="e">
        <f>VLOOKUP($C26,Score!$B$2:$X$77,2,0)</f>
        <v>#N/A</v>
      </c>
      <c r="W26" s="62" t="e">
        <f>VLOOKUP($C26,Score!$B$2:$X$77,2,0)</f>
        <v>#N/A</v>
      </c>
      <c r="X26" s="62" t="e">
        <f>VLOOKUP($C26,Score!$B$2:$X$77,2,0)</f>
        <v>#N/A</v>
      </c>
      <c r="Y26" s="62" t="e">
        <f>VLOOKUP($C26,Score!$B$2:$X$77,2,0)</f>
        <v>#N/A</v>
      </c>
      <c r="Z26" s="62" t="e">
        <f>VLOOKUP($C26,Score!$B$2:$X$77,2,0)</f>
        <v>#N/A</v>
      </c>
      <c r="AA26" s="62" t="e">
        <f>VLOOKUP($C26,Score!$B$2:$X$77,2,0)</f>
        <v>#N/A</v>
      </c>
    </row>
    <row r="27" spans="3:28" s="49" customFormat="1">
      <c r="C27" s="30"/>
      <c r="D27" s="30"/>
      <c r="E27" s="38"/>
      <c r="F27" s="38"/>
      <c r="G27" s="39"/>
      <c r="H27" s="38"/>
      <c r="I27" s="38"/>
      <c r="J27" s="38"/>
      <c r="K27" s="38"/>
      <c r="L27" s="38"/>
      <c r="M27" s="38"/>
      <c r="N27" s="38"/>
      <c r="O27" s="38"/>
      <c r="AA27" s="42"/>
    </row>
    <row r="28" spans="3:28" s="49" customFormat="1">
      <c r="C28" s="57"/>
      <c r="D28" s="57"/>
      <c r="E28" s="38"/>
      <c r="F28" s="38"/>
      <c r="G28" s="39"/>
      <c r="H28" s="38"/>
      <c r="I28" s="38"/>
      <c r="J28" s="38"/>
      <c r="K28" s="38"/>
      <c r="L28" s="38"/>
      <c r="M28" s="38"/>
      <c r="N28" s="38"/>
      <c r="O28" s="38"/>
      <c r="AA28" s="42"/>
    </row>
    <row r="29" spans="3:28" s="49" customFormat="1">
      <c r="C29" s="30"/>
      <c r="D29" s="30"/>
      <c r="E29" s="38"/>
      <c r="F29" s="38"/>
      <c r="G29" s="39"/>
      <c r="H29" s="38"/>
      <c r="I29" s="38"/>
      <c r="J29" s="38"/>
      <c r="K29" s="38"/>
      <c r="L29" s="38"/>
      <c r="M29" s="38"/>
      <c r="N29" s="38"/>
      <c r="O29" s="38"/>
      <c r="AA29" s="42"/>
    </row>
    <row r="30" spans="3:28" s="49" customFormat="1">
      <c r="C30" s="30"/>
      <c r="D30" s="30"/>
      <c r="E30" s="38"/>
      <c r="F30" s="38"/>
      <c r="G30" s="39"/>
      <c r="H30" s="38"/>
      <c r="I30" s="38"/>
      <c r="J30" s="38"/>
      <c r="K30" s="38"/>
      <c r="L30" s="38"/>
      <c r="M30" s="38"/>
      <c r="N30" s="38"/>
      <c r="O30" s="38"/>
      <c r="AA30" s="42"/>
    </row>
    <row r="31" spans="3:28" s="49" customFormat="1">
      <c r="C31" s="30"/>
      <c r="D31" s="30"/>
      <c r="E31" s="38"/>
      <c r="F31" s="38"/>
      <c r="G31" s="39"/>
      <c r="H31" s="38"/>
      <c r="I31" s="38"/>
      <c r="J31" s="38"/>
      <c r="K31" s="38"/>
      <c r="L31" s="38"/>
      <c r="M31" s="38"/>
      <c r="N31" s="38"/>
      <c r="O31" s="38"/>
      <c r="AA31" s="42"/>
    </row>
    <row r="32" spans="3:28" s="14" customFormat="1">
      <c r="C32" s="16"/>
      <c r="D32" s="16"/>
      <c r="E32" s="10"/>
      <c r="F32" s="10"/>
      <c r="G32" s="11"/>
      <c r="H32" s="12"/>
      <c r="I32" s="12"/>
      <c r="J32" s="12"/>
      <c r="K32" s="12"/>
      <c r="L32" s="12"/>
      <c r="M32" s="12"/>
      <c r="N32" s="12"/>
      <c r="O32" s="12"/>
      <c r="P32" s="13"/>
      <c r="AA32" s="15"/>
    </row>
    <row r="33" spans="3:27" s="14" customFormat="1">
      <c r="C33" s="16"/>
      <c r="D33" s="16"/>
      <c r="E33" s="10"/>
      <c r="F33" s="10"/>
      <c r="G33" s="11"/>
      <c r="H33" s="12"/>
      <c r="I33" s="12"/>
      <c r="J33" s="12"/>
      <c r="K33" s="12"/>
      <c r="L33" s="12"/>
      <c r="M33" s="12"/>
      <c r="N33" s="12"/>
      <c r="O33" s="12"/>
      <c r="P33" s="13"/>
      <c r="AA33" s="15"/>
    </row>
    <row r="34" spans="3:27" s="14" customFormat="1">
      <c r="C34" s="16"/>
      <c r="D34" s="16"/>
      <c r="E34" s="10"/>
      <c r="F34" s="10"/>
      <c r="G34" s="11"/>
      <c r="H34" s="12"/>
      <c r="I34" s="12"/>
      <c r="J34" s="12"/>
      <c r="K34" s="12"/>
      <c r="L34" s="12"/>
      <c r="M34" s="12"/>
      <c r="N34" s="12"/>
      <c r="O34" s="12"/>
      <c r="P34" s="13"/>
      <c r="AA34" s="15"/>
    </row>
    <row r="35" spans="3:27" s="14" customFormat="1">
      <c r="C35" s="16"/>
      <c r="D35" s="16"/>
      <c r="E35" s="10"/>
      <c r="F35" s="10"/>
      <c r="G35" s="11"/>
      <c r="H35" s="12"/>
      <c r="I35" s="12"/>
      <c r="J35" s="12"/>
      <c r="K35" s="12"/>
      <c r="L35" s="12"/>
      <c r="M35" s="12"/>
      <c r="N35" s="12"/>
      <c r="O35" s="12"/>
      <c r="P35" s="13"/>
      <c r="AA35" s="15"/>
    </row>
    <row r="36" spans="3:27" s="14" customFormat="1">
      <c r="C36" s="16"/>
      <c r="D36" s="16"/>
      <c r="E36" s="10"/>
      <c r="F36" s="10"/>
      <c r="G36" s="11"/>
      <c r="H36" s="12"/>
      <c r="I36" s="12"/>
      <c r="J36" s="12"/>
      <c r="K36" s="12"/>
      <c r="L36" s="12"/>
      <c r="M36" s="12"/>
      <c r="N36" s="12"/>
      <c r="O36" s="12"/>
      <c r="P36" s="13"/>
      <c r="AA36" s="15"/>
    </row>
    <row r="37" spans="3:27" s="14" customFormat="1">
      <c r="C37" s="16"/>
      <c r="D37" s="16"/>
      <c r="E37" s="10"/>
      <c r="F37" s="10"/>
      <c r="G37" s="11"/>
      <c r="H37" s="12"/>
      <c r="I37" s="12"/>
      <c r="J37" s="12"/>
      <c r="K37" s="12"/>
      <c r="L37" s="12"/>
      <c r="M37" s="12"/>
      <c r="N37" s="12"/>
      <c r="O37" s="12"/>
      <c r="P37" s="13"/>
      <c r="AA37" s="15"/>
    </row>
    <row r="38" spans="3:27" s="14" customFormat="1">
      <c r="C38" s="16"/>
      <c r="D38" s="16"/>
      <c r="E38" s="10"/>
      <c r="F38" s="10"/>
      <c r="G38" s="11"/>
      <c r="H38" s="12"/>
      <c r="I38" s="12"/>
      <c r="J38" s="12"/>
      <c r="K38" s="12"/>
      <c r="L38" s="12"/>
      <c r="M38" s="12"/>
      <c r="N38" s="12"/>
      <c r="O38" s="12"/>
      <c r="P38" s="13"/>
      <c r="AA38" s="15"/>
    </row>
    <row r="39" spans="3:27" s="14" customFormat="1">
      <c r="C39" s="16"/>
      <c r="D39" s="16"/>
      <c r="E39" s="10"/>
      <c r="F39" s="10"/>
      <c r="G39" s="11"/>
      <c r="H39" s="12"/>
      <c r="I39" s="12"/>
      <c r="J39" s="12"/>
      <c r="K39" s="12"/>
      <c r="L39" s="12"/>
      <c r="M39" s="12"/>
      <c r="N39" s="12"/>
      <c r="O39" s="12"/>
      <c r="P39" s="13"/>
      <c r="AA39" s="15"/>
    </row>
    <row r="40" spans="3:27" s="14" customFormat="1">
      <c r="C40" s="16"/>
      <c r="D40" s="16"/>
      <c r="E40" s="10"/>
      <c r="F40" s="10"/>
      <c r="G40" s="11"/>
      <c r="H40" s="12"/>
      <c r="I40" s="12"/>
      <c r="J40" s="12"/>
      <c r="K40" s="12"/>
      <c r="L40" s="12"/>
      <c r="M40" s="12"/>
      <c r="N40" s="12"/>
      <c r="O40" s="12"/>
      <c r="P40" s="13"/>
      <c r="AA40" s="15"/>
    </row>
    <row r="41" spans="3:27" s="14" customFormat="1">
      <c r="C41" s="50"/>
      <c r="D41" s="50"/>
      <c r="E41" s="10"/>
      <c r="F41" s="10"/>
      <c r="G41" s="11"/>
      <c r="H41" s="12"/>
      <c r="I41" s="12"/>
      <c r="J41" s="12"/>
      <c r="K41" s="12"/>
      <c r="L41" s="12"/>
      <c r="M41" s="12"/>
      <c r="N41" s="12"/>
      <c r="O41" s="12"/>
      <c r="P41" s="13"/>
      <c r="AA41" s="15"/>
    </row>
    <row r="42" spans="3:27" s="14" customFormat="1">
      <c r="C42" s="50"/>
      <c r="D42" s="50"/>
      <c r="E42" s="10"/>
      <c r="F42" s="10"/>
      <c r="G42" s="11"/>
      <c r="H42" s="12"/>
      <c r="I42" s="12"/>
      <c r="J42" s="12"/>
      <c r="K42" s="12"/>
      <c r="L42" s="12"/>
      <c r="M42" s="12"/>
      <c r="N42" s="12"/>
      <c r="O42" s="12"/>
      <c r="P42" s="13"/>
      <c r="AA42" s="15"/>
    </row>
    <row r="43" spans="3:27" s="14" customFormat="1">
      <c r="C43" s="50"/>
      <c r="D43" s="50"/>
      <c r="E43" s="10"/>
      <c r="F43" s="10"/>
      <c r="G43" s="11"/>
      <c r="H43" s="12"/>
      <c r="I43" s="12"/>
      <c r="J43" s="12"/>
      <c r="K43" s="12"/>
      <c r="L43" s="12"/>
      <c r="M43" s="12"/>
      <c r="N43" s="12"/>
      <c r="O43" s="12"/>
      <c r="P43" s="13"/>
      <c r="AA43" s="15"/>
    </row>
    <row r="44" spans="3:27" s="14" customFormat="1">
      <c r="C44" s="50"/>
      <c r="D44" s="50"/>
      <c r="E44" s="10"/>
      <c r="F44" s="10"/>
      <c r="G44" s="11"/>
      <c r="H44" s="12"/>
      <c r="I44" s="12"/>
      <c r="J44" s="12"/>
      <c r="K44" s="12"/>
      <c r="L44" s="12"/>
      <c r="M44" s="12"/>
      <c r="N44" s="12"/>
      <c r="O44" s="12"/>
      <c r="P44" s="13"/>
      <c r="AA44" s="15"/>
    </row>
    <row r="45" spans="3:27" s="14" customFormat="1">
      <c r="C45" s="50"/>
      <c r="D45" s="50"/>
      <c r="E45" s="10"/>
      <c r="F45" s="10"/>
      <c r="G45" s="11"/>
      <c r="H45" s="12"/>
      <c r="I45" s="12"/>
      <c r="J45" s="12"/>
      <c r="K45" s="12"/>
      <c r="L45" s="12"/>
      <c r="M45" s="12"/>
      <c r="N45" s="12"/>
      <c r="O45" s="12"/>
      <c r="P45" s="13"/>
      <c r="AA45" s="15"/>
    </row>
    <row r="46" spans="3:27" s="14" customFormat="1">
      <c r="C46" s="50"/>
      <c r="D46" s="50"/>
      <c r="E46" s="10"/>
      <c r="F46" s="10"/>
      <c r="G46" s="11"/>
      <c r="H46" s="12"/>
      <c r="I46" s="12"/>
      <c r="J46" s="12"/>
      <c r="K46" s="12"/>
      <c r="L46" s="12"/>
      <c r="M46" s="12"/>
      <c r="N46" s="12"/>
      <c r="O46" s="12"/>
      <c r="P46" s="13"/>
      <c r="AA46" s="15"/>
    </row>
    <row r="47" spans="3:27" s="14" customFormat="1">
      <c r="C47" s="50"/>
      <c r="D47" s="50"/>
      <c r="E47" s="10"/>
      <c r="F47" s="10"/>
      <c r="G47" s="11"/>
      <c r="H47" s="12"/>
      <c r="I47" s="12"/>
      <c r="J47" s="12"/>
      <c r="K47" s="12"/>
      <c r="L47" s="12"/>
      <c r="M47" s="12"/>
      <c r="N47" s="12"/>
      <c r="O47" s="12"/>
      <c r="P47" s="13"/>
      <c r="AA47" s="15"/>
    </row>
    <row r="48" spans="3:27" s="14" customFormat="1">
      <c r="C48" s="50"/>
      <c r="D48" s="50"/>
      <c r="E48" s="10"/>
      <c r="F48" s="10"/>
      <c r="G48" s="11"/>
      <c r="H48" s="12"/>
      <c r="I48" s="12"/>
      <c r="J48" s="12"/>
      <c r="K48" s="12"/>
      <c r="L48" s="12"/>
      <c r="M48" s="12"/>
      <c r="N48" s="12"/>
      <c r="O48" s="12"/>
      <c r="P48" s="13"/>
      <c r="AA48" s="15"/>
    </row>
    <row r="49" spans="3:27" s="14" customFormat="1">
      <c r="C49" s="50"/>
      <c r="D49" s="50"/>
      <c r="E49" s="10"/>
      <c r="F49" s="10"/>
      <c r="G49" s="11"/>
      <c r="H49" s="12"/>
      <c r="I49" s="12"/>
      <c r="J49" s="12"/>
      <c r="K49" s="12"/>
      <c r="L49" s="12"/>
      <c r="M49" s="12"/>
      <c r="N49" s="12"/>
      <c r="O49" s="12"/>
      <c r="P49" s="13"/>
      <c r="AA49" s="15"/>
    </row>
    <row r="50" spans="3:27" s="14" customFormat="1">
      <c r="C50" s="50"/>
      <c r="D50" s="50"/>
      <c r="E50" s="10"/>
      <c r="F50" s="10"/>
      <c r="G50" s="11"/>
      <c r="H50" s="12"/>
      <c r="I50" s="12"/>
      <c r="J50" s="12"/>
      <c r="K50" s="12"/>
      <c r="L50" s="12"/>
      <c r="M50" s="12"/>
      <c r="N50" s="12"/>
      <c r="O50" s="12"/>
      <c r="P50" s="13"/>
      <c r="AA50" s="15"/>
    </row>
    <row r="51" spans="3:27" s="14" customFormat="1">
      <c r="C51" s="50"/>
      <c r="D51" s="50"/>
      <c r="E51" s="10"/>
      <c r="F51" s="10"/>
      <c r="G51" s="11"/>
      <c r="H51" s="12"/>
      <c r="I51" s="12"/>
      <c r="J51" s="12"/>
      <c r="K51" s="12"/>
      <c r="L51" s="12"/>
      <c r="M51" s="12"/>
      <c r="N51" s="12"/>
      <c r="O51" s="12"/>
      <c r="P51" s="13"/>
      <c r="AA51" s="15"/>
    </row>
    <row r="52" spans="3:27" s="14" customFormat="1">
      <c r="C52" s="50"/>
      <c r="D52" s="50"/>
      <c r="E52" s="10"/>
      <c r="F52" s="10"/>
      <c r="G52" s="11"/>
      <c r="H52" s="12"/>
      <c r="I52" s="12"/>
      <c r="J52" s="12"/>
      <c r="K52" s="12"/>
      <c r="L52" s="12"/>
      <c r="M52" s="12"/>
      <c r="N52" s="12"/>
      <c r="O52" s="12"/>
      <c r="P52" s="13"/>
      <c r="AA52" s="15"/>
    </row>
    <row r="53" spans="3:27" s="14" customFormat="1">
      <c r="C53" s="50"/>
      <c r="D53" s="50"/>
      <c r="E53" s="10"/>
      <c r="F53" s="10"/>
      <c r="G53" s="11"/>
      <c r="H53" s="12"/>
      <c r="I53" s="12"/>
      <c r="J53" s="12"/>
      <c r="K53" s="12"/>
      <c r="L53" s="12"/>
      <c r="M53" s="12"/>
      <c r="N53" s="12"/>
      <c r="O53" s="12"/>
      <c r="P53" s="13"/>
      <c r="AA53" s="15"/>
    </row>
    <row r="54" spans="3:27" s="14" customFormat="1">
      <c r="C54" s="50"/>
      <c r="D54" s="50"/>
      <c r="E54" s="10"/>
      <c r="F54" s="10"/>
      <c r="G54" s="11"/>
      <c r="H54" s="12"/>
      <c r="I54" s="12"/>
      <c r="J54" s="12"/>
      <c r="K54" s="12"/>
      <c r="L54" s="12"/>
      <c r="M54" s="12"/>
      <c r="N54" s="12"/>
      <c r="O54" s="12"/>
      <c r="P54" s="13"/>
      <c r="AA54" s="15"/>
    </row>
    <row r="55" spans="3:27" s="14" customFormat="1">
      <c r="C55" s="50"/>
      <c r="D55" s="50"/>
      <c r="E55" s="10"/>
      <c r="F55" s="10"/>
      <c r="G55" s="11"/>
      <c r="H55" s="12"/>
      <c r="I55" s="12"/>
      <c r="J55" s="12"/>
      <c r="K55" s="12"/>
      <c r="L55" s="12"/>
      <c r="M55" s="12"/>
      <c r="N55" s="12"/>
      <c r="O55" s="12"/>
      <c r="P55" s="13"/>
      <c r="AA55" s="15"/>
    </row>
    <row r="56" spans="3:27" s="14" customFormat="1">
      <c r="C56" s="50"/>
      <c r="D56" s="50"/>
      <c r="E56" s="10"/>
      <c r="F56" s="10"/>
      <c r="G56" s="11"/>
      <c r="H56" s="12"/>
      <c r="I56" s="12"/>
      <c r="J56" s="12"/>
      <c r="K56" s="12"/>
      <c r="L56" s="12"/>
      <c r="M56" s="12"/>
      <c r="N56" s="12"/>
      <c r="O56" s="12"/>
      <c r="P56" s="13"/>
      <c r="AA56" s="15"/>
    </row>
    <row r="57" spans="3:27" s="14" customFormat="1">
      <c r="C57" s="50"/>
      <c r="D57" s="50"/>
      <c r="E57" s="10"/>
      <c r="F57" s="10"/>
      <c r="G57" s="11"/>
      <c r="H57" s="12"/>
      <c r="I57" s="12"/>
      <c r="J57" s="12"/>
      <c r="K57" s="12"/>
      <c r="L57" s="12"/>
      <c r="M57" s="12"/>
      <c r="N57" s="12"/>
      <c r="O57" s="12"/>
      <c r="P57" s="13"/>
      <c r="AA57" s="15"/>
    </row>
    <row r="58" spans="3:27" s="14" customFormat="1">
      <c r="C58" s="50"/>
      <c r="D58" s="50"/>
      <c r="E58" s="10"/>
      <c r="F58" s="10"/>
      <c r="G58" s="11"/>
      <c r="H58" s="12"/>
      <c r="I58" s="12"/>
      <c r="J58" s="12"/>
      <c r="K58" s="12"/>
      <c r="L58" s="12"/>
      <c r="M58" s="12"/>
      <c r="N58" s="12"/>
      <c r="O58" s="12"/>
      <c r="P58" s="13"/>
      <c r="AA58" s="15"/>
    </row>
    <row r="59" spans="3:27" s="14" customFormat="1">
      <c r="C59" s="50"/>
      <c r="D59" s="50"/>
      <c r="E59" s="10"/>
      <c r="F59" s="10"/>
      <c r="G59" s="11"/>
      <c r="H59" s="12"/>
      <c r="I59" s="12"/>
      <c r="J59" s="12"/>
      <c r="K59" s="12"/>
      <c r="L59" s="12"/>
      <c r="M59" s="12"/>
      <c r="N59" s="12"/>
      <c r="O59" s="12"/>
      <c r="P59" s="13"/>
      <c r="AA59" s="15"/>
    </row>
    <row r="60" spans="3:27" s="14" customFormat="1">
      <c r="C60" s="50"/>
      <c r="D60" s="50"/>
      <c r="E60" s="10"/>
      <c r="F60" s="10"/>
      <c r="G60" s="11"/>
      <c r="H60" s="12"/>
      <c r="I60" s="12"/>
      <c r="J60" s="12"/>
      <c r="K60" s="12"/>
      <c r="L60" s="12"/>
      <c r="M60" s="12"/>
      <c r="N60" s="12"/>
      <c r="O60" s="12"/>
      <c r="P60" s="13"/>
      <c r="AA60" s="15"/>
    </row>
    <row r="61" spans="3:27" s="14" customFormat="1">
      <c r="C61" s="50"/>
      <c r="D61" s="50"/>
      <c r="E61" s="10"/>
      <c r="F61" s="10"/>
      <c r="G61" s="11"/>
      <c r="H61" s="12"/>
      <c r="I61" s="12"/>
      <c r="J61" s="12"/>
      <c r="K61" s="12"/>
      <c r="L61" s="12"/>
      <c r="M61" s="12"/>
      <c r="N61" s="12"/>
      <c r="O61" s="12"/>
      <c r="P61" s="13"/>
      <c r="AA61" s="15"/>
    </row>
    <row r="62" spans="3:27" s="14" customFormat="1">
      <c r="C62" s="50"/>
      <c r="D62" s="50"/>
      <c r="E62" s="10"/>
      <c r="F62" s="10"/>
      <c r="G62" s="11"/>
      <c r="H62" s="12"/>
      <c r="I62" s="12"/>
      <c r="J62" s="12"/>
      <c r="K62" s="12"/>
      <c r="L62" s="12"/>
      <c r="M62" s="12"/>
      <c r="N62" s="12"/>
      <c r="O62" s="12"/>
      <c r="P62" s="13"/>
      <c r="AA62" s="15"/>
    </row>
    <row r="63" spans="3:27" s="14" customFormat="1">
      <c r="C63" s="50"/>
      <c r="D63" s="50"/>
      <c r="E63" s="10"/>
      <c r="F63" s="10"/>
      <c r="G63" s="11"/>
      <c r="H63" s="12"/>
      <c r="I63" s="12"/>
      <c r="J63" s="12"/>
      <c r="K63" s="12"/>
      <c r="L63" s="12"/>
      <c r="M63" s="12"/>
      <c r="N63" s="12"/>
      <c r="O63" s="12"/>
      <c r="P63" s="13"/>
      <c r="AA63" s="15"/>
    </row>
    <row r="64" spans="3:27" s="14" customFormat="1">
      <c r="C64" s="50"/>
      <c r="D64" s="50"/>
      <c r="E64" s="10"/>
      <c r="F64" s="10"/>
      <c r="G64" s="11"/>
      <c r="H64" s="12"/>
      <c r="I64" s="12"/>
      <c r="J64" s="12"/>
      <c r="K64" s="12"/>
      <c r="L64" s="12"/>
      <c r="M64" s="12"/>
      <c r="N64" s="12"/>
      <c r="O64" s="12"/>
      <c r="P64" s="13"/>
      <c r="AA64" s="15"/>
    </row>
    <row r="65" spans="3:27" s="14" customFormat="1">
      <c r="C65" s="50"/>
      <c r="D65" s="50"/>
      <c r="E65" s="10"/>
      <c r="F65" s="10"/>
      <c r="G65" s="11"/>
      <c r="H65" s="12"/>
      <c r="I65" s="12"/>
      <c r="J65" s="12"/>
      <c r="K65" s="12"/>
      <c r="L65" s="12"/>
      <c r="M65" s="12"/>
      <c r="N65" s="12"/>
      <c r="O65" s="12"/>
      <c r="P65" s="13"/>
      <c r="AA65" s="15"/>
    </row>
    <row r="66" spans="3:27" s="14" customFormat="1">
      <c r="C66" s="50"/>
      <c r="D66" s="50"/>
      <c r="E66" s="10"/>
      <c r="F66" s="10"/>
      <c r="G66" s="11"/>
      <c r="H66" s="12"/>
      <c r="I66" s="12"/>
      <c r="J66" s="12"/>
      <c r="K66" s="12"/>
      <c r="L66" s="12"/>
      <c r="M66" s="12"/>
      <c r="N66" s="12"/>
      <c r="O66" s="12"/>
      <c r="P66" s="13"/>
      <c r="AA66" s="15"/>
    </row>
    <row r="67" spans="3:27" s="14" customFormat="1">
      <c r="C67" s="50"/>
      <c r="D67" s="50"/>
      <c r="E67" s="10"/>
      <c r="F67" s="10"/>
      <c r="G67" s="11"/>
      <c r="H67" s="12"/>
      <c r="I67" s="12"/>
      <c r="J67" s="12"/>
      <c r="K67" s="12"/>
      <c r="L67" s="12"/>
      <c r="M67" s="12"/>
      <c r="N67" s="12"/>
      <c r="O67" s="12"/>
      <c r="P67" s="13"/>
      <c r="AA67" s="15"/>
    </row>
    <row r="68" spans="3:27" s="14" customFormat="1">
      <c r="C68" s="50"/>
      <c r="D68" s="50"/>
      <c r="E68" s="10"/>
      <c r="F68" s="10"/>
      <c r="G68" s="11"/>
      <c r="H68" s="12"/>
      <c r="I68" s="12"/>
      <c r="J68" s="12"/>
      <c r="K68" s="12"/>
      <c r="L68" s="12"/>
      <c r="M68" s="12"/>
      <c r="N68" s="12"/>
      <c r="O68" s="12"/>
      <c r="P68" s="13"/>
      <c r="AA68" s="15"/>
    </row>
    <row r="69" spans="3:27" s="14" customFormat="1">
      <c r="C69" s="50"/>
      <c r="D69" s="50"/>
      <c r="E69" s="10"/>
      <c r="F69" s="10"/>
      <c r="G69" s="11"/>
      <c r="H69" s="12"/>
      <c r="I69" s="12"/>
      <c r="J69" s="12"/>
      <c r="K69" s="12"/>
      <c r="L69" s="12"/>
      <c r="M69" s="12"/>
      <c r="N69" s="12"/>
      <c r="O69" s="12"/>
      <c r="P69" s="13"/>
      <c r="AA69" s="15"/>
    </row>
    <row r="70" spans="3:27" s="14" customFormat="1">
      <c r="C70" s="50"/>
      <c r="D70" s="50"/>
      <c r="E70" s="10"/>
      <c r="F70" s="10"/>
      <c r="G70" s="11"/>
      <c r="H70" s="12"/>
      <c r="I70" s="12"/>
      <c r="J70" s="12"/>
      <c r="K70" s="12"/>
      <c r="L70" s="12"/>
      <c r="M70" s="12"/>
      <c r="N70" s="12"/>
      <c r="O70" s="12"/>
      <c r="P70" s="13"/>
      <c r="AA70" s="15"/>
    </row>
    <row r="71" spans="3:27" s="14" customFormat="1">
      <c r="C71" s="50"/>
      <c r="D71" s="50"/>
      <c r="E71" s="10"/>
      <c r="F71" s="10"/>
      <c r="G71" s="11"/>
      <c r="H71" s="12"/>
      <c r="I71" s="12"/>
      <c r="J71" s="12"/>
      <c r="K71" s="12"/>
      <c r="L71" s="12"/>
      <c r="M71" s="12"/>
      <c r="N71" s="12"/>
      <c r="O71" s="12"/>
      <c r="P71" s="13"/>
      <c r="AA71" s="15"/>
    </row>
  </sheetData>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sheetPr codeName="Blad18" enableFormatConditionsCalculation="0">
    <tabColor indexed="12"/>
  </sheetPr>
  <dimension ref="C1:AB56"/>
  <sheetViews>
    <sheetView showZeros="0" workbookViewId="0">
      <selection activeCell="Y31" sqref="Y31"/>
    </sheetView>
  </sheetViews>
  <sheetFormatPr defaultRowHeight="12.75"/>
  <cols>
    <col min="1" max="1" width="2.7109375" customWidth="1"/>
    <col min="2" max="2" width="3.42578125" customWidth="1"/>
    <col min="3" max="4" width="12.28515625" style="8" customWidth="1"/>
    <col min="5" max="6" width="5.28515625" style="2" customWidth="1"/>
    <col min="7" max="7" width="5.42578125" style="5" customWidth="1"/>
    <col min="8" max="15" width="5.42578125" style="3" customWidth="1"/>
    <col min="16" max="16" width="5.42578125" style="4" customWidth="1"/>
    <col min="17" max="25" width="5.42578125" customWidth="1"/>
    <col min="26" max="26" width="6.85546875" customWidth="1"/>
    <col min="27" max="27" width="6.28515625" style="1" customWidth="1"/>
    <col min="28" max="28" width="15" customWidth="1"/>
  </cols>
  <sheetData>
    <row r="1" spans="3:28">
      <c r="C1" s="17" t="s">
        <v>43</v>
      </c>
      <c r="D1" s="17"/>
      <c r="E1" s="3"/>
    </row>
    <row r="2" spans="3:28">
      <c r="C2" s="1"/>
      <c r="D2" s="1"/>
      <c r="G2" s="3"/>
    </row>
    <row r="3" spans="3:28" s="4" customFormat="1" ht="13.5" thickBot="1">
      <c r="C3" s="31"/>
      <c r="D3" s="36"/>
      <c r="E3" s="9">
        <f>Score!C1</f>
        <v>1</v>
      </c>
      <c r="F3" s="9">
        <f>Score!E1</f>
        <v>3</v>
      </c>
      <c r="G3" s="9">
        <f>Score!F1</f>
        <v>4</v>
      </c>
      <c r="H3" s="9">
        <f>Score!G1</f>
        <v>5</v>
      </c>
      <c r="I3" s="9">
        <f>Score!H1</f>
        <v>6</v>
      </c>
      <c r="J3" s="9">
        <f>Score!I1</f>
        <v>7</v>
      </c>
      <c r="K3" s="9">
        <f>Score!J1</f>
        <v>8</v>
      </c>
      <c r="L3" s="9">
        <f>Score!K1</f>
        <v>9</v>
      </c>
      <c r="M3" s="9">
        <f>Score!L1</f>
        <v>10</v>
      </c>
      <c r="N3" s="9">
        <f>Score!M1</f>
        <v>11</v>
      </c>
      <c r="O3" s="9">
        <f>Score!N1</f>
        <v>12</v>
      </c>
      <c r="P3" s="9">
        <f>Score!O1</f>
        <v>13</v>
      </c>
      <c r="Q3" s="9">
        <f>Score!P1</f>
        <v>14</v>
      </c>
      <c r="R3" s="9">
        <f>Score!Q1</f>
        <v>15</v>
      </c>
      <c r="S3" s="9">
        <f>Score!R1</f>
        <v>16</v>
      </c>
      <c r="T3" s="9">
        <f>Score!S1</f>
        <v>17</v>
      </c>
      <c r="U3" s="9">
        <f>Score!T1</f>
        <v>18</v>
      </c>
      <c r="V3" s="9">
        <f>Score!U1</f>
        <v>19</v>
      </c>
      <c r="W3" s="9">
        <f>Score!V1</f>
        <v>20</v>
      </c>
      <c r="X3" s="9">
        <f>Score!W1</f>
        <v>21</v>
      </c>
      <c r="Y3" s="9" t="e">
        <f>Score!#REF!</f>
        <v>#REF!</v>
      </c>
      <c r="Z3" s="9" t="s">
        <v>2</v>
      </c>
      <c r="AA3" s="7"/>
    </row>
    <row r="4" spans="3:28">
      <c r="C4"/>
      <c r="D4"/>
      <c r="E4" s="2" t="e">
        <f>VLOOKUP($C4,Score!$B$2:$X$77,2,0)</f>
        <v>#N/A</v>
      </c>
      <c r="F4" s="2" t="e">
        <f>VLOOKUP($C4,Score!$B$2:$X$77,3,0)</f>
        <v>#N/A</v>
      </c>
      <c r="G4" s="2" t="e">
        <f>VLOOKUP($C4,Score!$B$2:$X$77,4,0)</f>
        <v>#N/A</v>
      </c>
      <c r="H4" s="2" t="e">
        <f>VLOOKUP($C4,Score!$B$2:$X$77,5,0)</f>
        <v>#N/A</v>
      </c>
      <c r="I4" s="2" t="e">
        <f>VLOOKUP($C4,Score!$B$2:$X$77,6,0)</f>
        <v>#N/A</v>
      </c>
      <c r="J4" s="2" t="e">
        <f>VLOOKUP($C4,Score!$B$2:$X$77,7,0)</f>
        <v>#N/A</v>
      </c>
      <c r="K4" s="2" t="e">
        <f>VLOOKUP($C4,Score!$B$2:$X$77,8,0)</f>
        <v>#N/A</v>
      </c>
      <c r="L4" s="2" t="e">
        <f>VLOOKUP($C4,Score!$B$2:$X$77,9,0)</f>
        <v>#N/A</v>
      </c>
      <c r="M4" s="2" t="e">
        <f>VLOOKUP($C4,Score!$B$2:$X$77,10,0)</f>
        <v>#N/A</v>
      </c>
      <c r="N4" s="2" t="e">
        <f>VLOOKUP($C4,Score!$B$2:$X$77,11,0)</f>
        <v>#N/A</v>
      </c>
      <c r="O4" s="2" t="e">
        <f>VLOOKUP($C4,Score!$B$2:$X$77,12,0)</f>
        <v>#N/A</v>
      </c>
      <c r="P4" s="2" t="e">
        <f>VLOOKUP($C4,Score!$B$2:$X$77,13,0)</f>
        <v>#N/A</v>
      </c>
      <c r="Q4" s="2" t="e">
        <f>VLOOKUP($C4,Score!$B$2:$X$77,14,0)</f>
        <v>#N/A</v>
      </c>
      <c r="R4" s="2" t="e">
        <f>VLOOKUP($C4,Score!$B$2:$X$77,15,0)</f>
        <v>#N/A</v>
      </c>
      <c r="S4" s="2" t="e">
        <f>VLOOKUP($C4,Score!$B$2:$X$77,16,0)</f>
        <v>#N/A</v>
      </c>
      <c r="T4" s="2" t="e">
        <f>VLOOKUP($C4,Score!$B$2:$X$77,17,0)</f>
        <v>#N/A</v>
      </c>
      <c r="U4" s="2" t="e">
        <f>VLOOKUP($C4,Score!$B$2:$X$77,18,0)</f>
        <v>#N/A</v>
      </c>
      <c r="V4" s="2" t="e">
        <f>VLOOKUP($C4,Score!$B$2:$X$77,19,0)</f>
        <v>#N/A</v>
      </c>
      <c r="W4" s="2" t="e">
        <f>VLOOKUP($C4,Score!$B$2:$X$77,20,0)</f>
        <v>#N/A</v>
      </c>
      <c r="X4" s="2" t="e">
        <f>VLOOKUP($C4,Score!$B$2:$Z$76,21,0)</f>
        <v>#N/A</v>
      </c>
      <c r="Y4" s="2" t="e">
        <f>VLOOKUP($C4,Score!$B$2:$Z$76,22,0)</f>
        <v>#N/A</v>
      </c>
      <c r="Z4" s="2" t="e">
        <f>VLOOKUP($C4,Score!$B$2:$Z$76,24,0)</f>
        <v>#N/A</v>
      </c>
      <c r="AA4" s="6" t="e">
        <f t="shared" ref="AA4:AA20" si="0">SUM(E4:Z4)</f>
        <v>#N/A</v>
      </c>
      <c r="AB4">
        <f t="shared" ref="AB4:AB20" si="1">C4</f>
        <v>0</v>
      </c>
    </row>
    <row r="5" spans="3:28">
      <c r="C5"/>
      <c r="D5"/>
      <c r="E5" s="2" t="e">
        <f>VLOOKUP($C5,Score!$B$2:$X$77,2,0)</f>
        <v>#N/A</v>
      </c>
      <c r="F5" s="2" t="e">
        <f>VLOOKUP($C5,Score!$B$2:$X$77,3,0)</f>
        <v>#N/A</v>
      </c>
      <c r="G5" s="2" t="e">
        <f>VLOOKUP($C5,Score!$B$2:$X$77,4,0)</f>
        <v>#N/A</v>
      </c>
      <c r="H5" s="2" t="e">
        <f>VLOOKUP($C5,Score!$B$2:$X$77,5,0)</f>
        <v>#N/A</v>
      </c>
      <c r="I5" s="2" t="e">
        <f>VLOOKUP($C5,Score!$B$2:$X$77,6,0)</f>
        <v>#N/A</v>
      </c>
      <c r="J5" s="2" t="e">
        <f>VLOOKUP($C5,Score!$B$2:$X$77,7,0)</f>
        <v>#N/A</v>
      </c>
      <c r="K5" s="2" t="e">
        <f>VLOOKUP($C5,Score!$B$2:$X$77,8,0)</f>
        <v>#N/A</v>
      </c>
      <c r="L5" s="2" t="e">
        <f>VLOOKUP($C5,Score!$B$2:$X$77,9,0)</f>
        <v>#N/A</v>
      </c>
      <c r="M5" s="2" t="e">
        <f>VLOOKUP($C5,Score!$B$2:$X$77,10,0)</f>
        <v>#N/A</v>
      </c>
      <c r="N5" s="2" t="e">
        <f>VLOOKUP($C5,Score!$B$2:$X$77,11,0)</f>
        <v>#N/A</v>
      </c>
      <c r="O5" s="2" t="e">
        <f>VLOOKUP($C5,Score!$B$2:$X$77,12,0)</f>
        <v>#N/A</v>
      </c>
      <c r="P5" s="2" t="e">
        <f>VLOOKUP($C5,Score!$B$2:$X$77,13,0)</f>
        <v>#N/A</v>
      </c>
      <c r="Q5" s="2" t="e">
        <f>VLOOKUP($C5,Score!$B$2:$X$77,14,0)</f>
        <v>#N/A</v>
      </c>
      <c r="R5" s="2" t="e">
        <f>VLOOKUP($C5,Score!$B$2:$X$77,15,0)</f>
        <v>#N/A</v>
      </c>
      <c r="S5" s="2" t="e">
        <f>VLOOKUP($C5,Score!$B$2:$X$77,16,0)</f>
        <v>#N/A</v>
      </c>
      <c r="T5" s="2" t="e">
        <f>VLOOKUP($C5,Score!$B$2:$X$77,17,0)</f>
        <v>#N/A</v>
      </c>
      <c r="U5" s="2" t="e">
        <f>VLOOKUP($C5,Score!$B$2:$X$77,18,0)</f>
        <v>#N/A</v>
      </c>
      <c r="V5" s="2" t="e">
        <f>VLOOKUP($C5,Score!$B$2:$X$77,19,0)</f>
        <v>#N/A</v>
      </c>
      <c r="W5" s="2" t="e">
        <f>VLOOKUP($C5,Score!$B$2:$X$77,20,0)</f>
        <v>#N/A</v>
      </c>
      <c r="X5" s="2" t="e">
        <f>VLOOKUP($C5,Score!$B$2:$Z$76,21,0)</f>
        <v>#N/A</v>
      </c>
      <c r="Y5" s="2" t="e">
        <f>VLOOKUP($C5,Score!$B$2:$Z$76,22,0)</f>
        <v>#N/A</v>
      </c>
      <c r="Z5" s="2" t="e">
        <f>VLOOKUP($C5,Score!$B$2:$Z$76,24,0)</f>
        <v>#N/A</v>
      </c>
      <c r="AA5" s="6" t="e">
        <f t="shared" si="0"/>
        <v>#N/A</v>
      </c>
      <c r="AB5">
        <f t="shared" si="1"/>
        <v>0</v>
      </c>
    </row>
    <row r="6" spans="3:28">
      <c r="C6"/>
      <c r="D6"/>
      <c r="E6" s="2" t="e">
        <f>VLOOKUP($C6,Score!$B$2:$X$77,2,0)</f>
        <v>#N/A</v>
      </c>
      <c r="F6" s="2" t="e">
        <f>VLOOKUP($C6,Score!$B$2:$X$77,3,0)</f>
        <v>#N/A</v>
      </c>
      <c r="G6" s="2" t="e">
        <f>VLOOKUP($C6,Score!$B$2:$X$77,4,0)</f>
        <v>#N/A</v>
      </c>
      <c r="H6" s="2" t="e">
        <f>VLOOKUP($C6,Score!$B$2:$X$77,5,0)</f>
        <v>#N/A</v>
      </c>
      <c r="I6" s="2" t="e">
        <f>VLOOKUP($C6,Score!$B$2:$X$77,6,0)</f>
        <v>#N/A</v>
      </c>
      <c r="J6" s="2" t="e">
        <f>VLOOKUP($C6,Score!$B$2:$X$77,7,0)</f>
        <v>#N/A</v>
      </c>
      <c r="K6" s="2" t="e">
        <f>VLOOKUP($C6,Score!$B$2:$X$77,8,0)</f>
        <v>#N/A</v>
      </c>
      <c r="L6" s="2" t="e">
        <f>VLOOKUP($C6,Score!$B$2:$X$77,9,0)</f>
        <v>#N/A</v>
      </c>
      <c r="M6" s="2" t="e">
        <f>VLOOKUP($C6,Score!$B$2:$X$77,10,0)</f>
        <v>#N/A</v>
      </c>
      <c r="N6" s="2" t="e">
        <f>VLOOKUP($C6,Score!$B$2:$X$77,11,0)</f>
        <v>#N/A</v>
      </c>
      <c r="O6" s="2" t="e">
        <f>VLOOKUP($C6,Score!$B$2:$X$77,12,0)</f>
        <v>#N/A</v>
      </c>
      <c r="P6" s="2" t="e">
        <f>VLOOKUP($C6,Score!$B$2:$X$77,13,0)</f>
        <v>#N/A</v>
      </c>
      <c r="Q6" s="2" t="e">
        <f>VLOOKUP($C6,Score!$B$2:$X$77,14,0)</f>
        <v>#N/A</v>
      </c>
      <c r="R6" s="2" t="e">
        <f>VLOOKUP($C6,Score!$B$2:$X$77,15,0)</f>
        <v>#N/A</v>
      </c>
      <c r="S6" s="2" t="e">
        <f>VLOOKUP($C6,Score!$B$2:$X$77,16,0)</f>
        <v>#N/A</v>
      </c>
      <c r="T6" s="2" t="e">
        <f>VLOOKUP($C6,Score!$B$2:$X$77,17,0)</f>
        <v>#N/A</v>
      </c>
      <c r="U6" s="2" t="e">
        <f>VLOOKUP($C6,Score!$B$2:$X$77,18,0)</f>
        <v>#N/A</v>
      </c>
      <c r="V6" s="2" t="e">
        <f>VLOOKUP($C6,Score!$B$2:$X$77,19,0)</f>
        <v>#N/A</v>
      </c>
      <c r="W6" s="2" t="e">
        <f>VLOOKUP($C6,Score!$B$2:$X$77,20,0)</f>
        <v>#N/A</v>
      </c>
      <c r="X6" s="2" t="e">
        <f>VLOOKUP($C6,Score!$B$2:$Z$76,21,0)</f>
        <v>#N/A</v>
      </c>
      <c r="Y6" s="2" t="e">
        <f>VLOOKUP($C6,Score!$B$2:$Z$76,22,0)</f>
        <v>#N/A</v>
      </c>
      <c r="Z6" s="2" t="e">
        <f>VLOOKUP($C6,Score!$B$2:$Z$76,24,0)</f>
        <v>#N/A</v>
      </c>
      <c r="AA6" s="6" t="e">
        <f t="shared" si="0"/>
        <v>#N/A</v>
      </c>
      <c r="AB6">
        <f t="shared" si="1"/>
        <v>0</v>
      </c>
    </row>
    <row r="7" spans="3:28">
      <c r="C7"/>
      <c r="D7"/>
      <c r="E7" s="2" t="e">
        <f>VLOOKUP($C7,Score!$B$2:$X$77,2,0)</f>
        <v>#N/A</v>
      </c>
      <c r="F7" s="2" t="e">
        <f>VLOOKUP($C7,Score!$B$2:$X$77,3,0)</f>
        <v>#N/A</v>
      </c>
      <c r="G7" s="2" t="e">
        <f>VLOOKUP($C7,Score!$B$2:$X$77,4,0)</f>
        <v>#N/A</v>
      </c>
      <c r="H7" s="2" t="e">
        <f>VLOOKUP($C7,Score!$B$2:$X$77,5,0)</f>
        <v>#N/A</v>
      </c>
      <c r="I7" s="2" t="e">
        <f>VLOOKUP($C7,Score!$B$2:$X$77,6,0)</f>
        <v>#N/A</v>
      </c>
      <c r="J7" s="2" t="e">
        <f>VLOOKUP($C7,Score!$B$2:$X$77,7,0)</f>
        <v>#N/A</v>
      </c>
      <c r="K7" s="2" t="e">
        <f>VLOOKUP($C7,Score!$B$2:$X$77,8,0)</f>
        <v>#N/A</v>
      </c>
      <c r="L7" s="2" t="e">
        <f>VLOOKUP($C7,Score!$B$2:$X$77,9,0)</f>
        <v>#N/A</v>
      </c>
      <c r="M7" s="2" t="e">
        <f>VLOOKUP($C7,Score!$B$2:$X$77,10,0)</f>
        <v>#N/A</v>
      </c>
      <c r="N7" s="2" t="e">
        <f>VLOOKUP($C7,Score!$B$2:$X$77,11,0)</f>
        <v>#N/A</v>
      </c>
      <c r="O7" s="2" t="e">
        <f>VLOOKUP($C7,Score!$B$2:$X$77,12,0)</f>
        <v>#N/A</v>
      </c>
      <c r="P7" s="2" t="e">
        <f>VLOOKUP($C7,Score!$B$2:$X$77,13,0)</f>
        <v>#N/A</v>
      </c>
      <c r="Q7" s="2" t="e">
        <f>VLOOKUP($C7,Score!$B$2:$X$77,14,0)</f>
        <v>#N/A</v>
      </c>
      <c r="R7" s="2" t="e">
        <f>VLOOKUP($C7,Score!$B$2:$X$77,15,0)</f>
        <v>#N/A</v>
      </c>
      <c r="S7" s="2" t="e">
        <f>VLOOKUP($C7,Score!$B$2:$X$77,16,0)</f>
        <v>#N/A</v>
      </c>
      <c r="T7" s="2" t="e">
        <f>VLOOKUP($C7,Score!$B$2:$X$77,17,0)</f>
        <v>#N/A</v>
      </c>
      <c r="U7" s="2" t="e">
        <f>VLOOKUP($C7,Score!$B$2:$X$77,18,0)</f>
        <v>#N/A</v>
      </c>
      <c r="V7" s="2" t="e">
        <f>VLOOKUP($C7,Score!$B$2:$X$77,19,0)</f>
        <v>#N/A</v>
      </c>
      <c r="W7" s="2" t="e">
        <f>VLOOKUP($C7,Score!$B$2:$X$77,20,0)</f>
        <v>#N/A</v>
      </c>
      <c r="X7" s="2" t="e">
        <f>VLOOKUP($C7,Score!$B$2:$Z$76,21,0)</f>
        <v>#N/A</v>
      </c>
      <c r="Y7" s="2" t="e">
        <f>VLOOKUP($C7,Score!$B$2:$Z$76,22,0)</f>
        <v>#N/A</v>
      </c>
      <c r="Z7" s="2" t="e">
        <f>VLOOKUP($C7,Score!$B$2:$Z$76,24,0)</f>
        <v>#N/A</v>
      </c>
      <c r="AA7" s="6" t="e">
        <f t="shared" si="0"/>
        <v>#N/A</v>
      </c>
      <c r="AB7">
        <f t="shared" si="1"/>
        <v>0</v>
      </c>
    </row>
    <row r="8" spans="3:28">
      <c r="C8"/>
      <c r="D8"/>
      <c r="E8" s="2" t="e">
        <f>VLOOKUP($C8,Score!$B$2:$X$77,2,0)</f>
        <v>#N/A</v>
      </c>
      <c r="F8" s="2" t="e">
        <f>VLOOKUP($C8,Score!$B$2:$X$77,3,0)</f>
        <v>#N/A</v>
      </c>
      <c r="G8" s="2" t="e">
        <f>VLOOKUP($C8,Score!$B$2:$X$77,4,0)</f>
        <v>#N/A</v>
      </c>
      <c r="H8" s="2" t="e">
        <f>VLOOKUP($C8,Score!$B$2:$X$77,5,0)</f>
        <v>#N/A</v>
      </c>
      <c r="I8" s="2" t="e">
        <f>VLOOKUP($C8,Score!$B$2:$X$77,6,0)</f>
        <v>#N/A</v>
      </c>
      <c r="J8" s="2" t="e">
        <f>VLOOKUP($C8,Score!$B$2:$X$77,7,0)</f>
        <v>#N/A</v>
      </c>
      <c r="K8" s="2" t="e">
        <f>VLOOKUP($C8,Score!$B$2:$X$77,8,0)</f>
        <v>#N/A</v>
      </c>
      <c r="L8" s="2" t="e">
        <f>VLOOKUP($C8,Score!$B$2:$X$77,9,0)</f>
        <v>#N/A</v>
      </c>
      <c r="M8" s="2" t="e">
        <f>VLOOKUP($C8,Score!$B$2:$X$77,10,0)</f>
        <v>#N/A</v>
      </c>
      <c r="N8" s="2" t="e">
        <f>VLOOKUP($C8,Score!$B$2:$X$77,11,0)</f>
        <v>#N/A</v>
      </c>
      <c r="O8" s="2" t="e">
        <f>VLOOKUP($C8,Score!$B$2:$X$77,12,0)</f>
        <v>#N/A</v>
      </c>
      <c r="P8" s="2" t="e">
        <f>VLOOKUP($C8,Score!$B$2:$X$77,13,0)</f>
        <v>#N/A</v>
      </c>
      <c r="Q8" s="2" t="e">
        <f>VLOOKUP($C8,Score!$B$2:$X$77,14,0)</f>
        <v>#N/A</v>
      </c>
      <c r="R8" s="2" t="e">
        <f>VLOOKUP($C8,Score!$B$2:$X$77,15,0)</f>
        <v>#N/A</v>
      </c>
      <c r="S8" s="2" t="e">
        <f>VLOOKUP($C8,Score!$B$2:$X$77,16,0)</f>
        <v>#N/A</v>
      </c>
      <c r="T8" s="2" t="e">
        <f>VLOOKUP($C8,Score!$B$2:$X$77,17,0)</f>
        <v>#N/A</v>
      </c>
      <c r="U8" s="2" t="e">
        <f>VLOOKUP($C8,Score!$B$2:$X$77,18,0)</f>
        <v>#N/A</v>
      </c>
      <c r="V8" s="2" t="e">
        <f>VLOOKUP($C8,Score!$B$2:$X$77,19,0)</f>
        <v>#N/A</v>
      </c>
      <c r="W8" s="2" t="e">
        <f>VLOOKUP($C8,Score!$B$2:$X$77,20,0)</f>
        <v>#N/A</v>
      </c>
      <c r="X8" s="2" t="e">
        <f>VLOOKUP($C8,Score!$B$2:$Z$76,21,0)</f>
        <v>#N/A</v>
      </c>
      <c r="Y8" s="2" t="e">
        <f>VLOOKUP($C8,Score!$B$2:$Z$76,22,0)</f>
        <v>#N/A</v>
      </c>
      <c r="Z8" s="2" t="e">
        <f>VLOOKUP($C8,Score!$B$2:$Z$76,24,0)</f>
        <v>#N/A</v>
      </c>
      <c r="AA8" s="6" t="e">
        <f t="shared" si="0"/>
        <v>#N/A</v>
      </c>
      <c r="AB8">
        <f t="shared" si="1"/>
        <v>0</v>
      </c>
    </row>
    <row r="9" spans="3:28">
      <c r="C9"/>
      <c r="D9"/>
      <c r="E9" s="2" t="e">
        <f>VLOOKUP($C9,Score!$B$2:$X$77,2,0)</f>
        <v>#N/A</v>
      </c>
      <c r="F9" s="2" t="e">
        <f>VLOOKUP($C9,Score!$B$2:$X$77,3,0)</f>
        <v>#N/A</v>
      </c>
      <c r="G9" s="2" t="e">
        <f>VLOOKUP($C9,Score!$B$2:$X$77,4,0)</f>
        <v>#N/A</v>
      </c>
      <c r="H9" s="2" t="e">
        <f>VLOOKUP($C9,Score!$B$2:$X$77,5,0)</f>
        <v>#N/A</v>
      </c>
      <c r="I9" s="2" t="e">
        <f>VLOOKUP($C9,Score!$B$2:$X$77,6,0)</f>
        <v>#N/A</v>
      </c>
      <c r="J9" s="2" t="e">
        <f>VLOOKUP($C9,Score!$B$2:$X$77,7,0)</f>
        <v>#N/A</v>
      </c>
      <c r="K9" s="2" t="e">
        <f>VLOOKUP($C9,Score!$B$2:$X$77,8,0)</f>
        <v>#N/A</v>
      </c>
      <c r="L9" s="2" t="e">
        <f>VLOOKUP($C9,Score!$B$2:$X$77,9,0)</f>
        <v>#N/A</v>
      </c>
      <c r="M9" s="2" t="e">
        <f>VLOOKUP($C9,Score!$B$2:$X$77,10,0)</f>
        <v>#N/A</v>
      </c>
      <c r="N9" s="2" t="e">
        <f>VLOOKUP($C9,Score!$B$2:$X$77,11,0)</f>
        <v>#N/A</v>
      </c>
      <c r="O9" s="2" t="e">
        <f>VLOOKUP($C9,Score!$B$2:$X$77,12,0)</f>
        <v>#N/A</v>
      </c>
      <c r="P9" s="2" t="e">
        <f>VLOOKUP($C9,Score!$B$2:$X$77,13,0)</f>
        <v>#N/A</v>
      </c>
      <c r="Q9" s="2" t="e">
        <f>VLOOKUP($C9,Score!$B$2:$X$77,14,0)</f>
        <v>#N/A</v>
      </c>
      <c r="R9" s="2" t="e">
        <f>VLOOKUP($C9,Score!$B$2:$X$77,15,0)</f>
        <v>#N/A</v>
      </c>
      <c r="S9" s="2" t="e">
        <f>VLOOKUP($C9,Score!$B$2:$X$77,16,0)</f>
        <v>#N/A</v>
      </c>
      <c r="T9" s="2" t="e">
        <f>VLOOKUP($C9,Score!$B$2:$X$77,17,0)</f>
        <v>#N/A</v>
      </c>
      <c r="U9" s="2" t="e">
        <f>VLOOKUP($C9,Score!$B$2:$X$77,18,0)</f>
        <v>#N/A</v>
      </c>
      <c r="V9" s="2" t="e">
        <f>VLOOKUP($C9,Score!$B$2:$X$77,19,0)</f>
        <v>#N/A</v>
      </c>
      <c r="W9" s="2" t="e">
        <f>VLOOKUP($C9,Score!$B$2:$X$77,20,0)</f>
        <v>#N/A</v>
      </c>
      <c r="X9" s="2" t="e">
        <f>VLOOKUP($C9,Score!$B$2:$Z$76,21,0)</f>
        <v>#N/A</v>
      </c>
      <c r="Y9" s="2" t="e">
        <f>VLOOKUP($C9,Score!$B$2:$Z$76,22,0)</f>
        <v>#N/A</v>
      </c>
      <c r="Z9" s="2" t="e">
        <f>VLOOKUP($C9,Score!$B$2:$Z$76,24,0)</f>
        <v>#N/A</v>
      </c>
      <c r="AA9" s="6" t="e">
        <f t="shared" si="0"/>
        <v>#N/A</v>
      </c>
      <c r="AB9">
        <f t="shared" si="1"/>
        <v>0</v>
      </c>
    </row>
    <row r="10" spans="3:28">
      <c r="C10"/>
      <c r="D10"/>
      <c r="E10" s="2" t="e">
        <f>VLOOKUP($C10,Score!$B$2:$X$77,2,0)</f>
        <v>#N/A</v>
      </c>
      <c r="F10" s="2" t="e">
        <f>VLOOKUP($C10,Score!$B$2:$X$77,3,0)</f>
        <v>#N/A</v>
      </c>
      <c r="G10" s="2" t="e">
        <f>VLOOKUP($C10,Score!$B$2:$X$77,4,0)</f>
        <v>#N/A</v>
      </c>
      <c r="H10" s="2" t="e">
        <f>VLOOKUP($C10,Score!$B$2:$X$77,5,0)</f>
        <v>#N/A</v>
      </c>
      <c r="I10" s="2" t="e">
        <f>VLOOKUP($C10,Score!$B$2:$X$77,6,0)</f>
        <v>#N/A</v>
      </c>
      <c r="J10" s="2" t="e">
        <f>VLOOKUP($C10,Score!$B$2:$X$77,7,0)</f>
        <v>#N/A</v>
      </c>
      <c r="K10" s="2" t="e">
        <f>VLOOKUP($C10,Score!$B$2:$X$77,8,0)</f>
        <v>#N/A</v>
      </c>
      <c r="L10" s="2" t="e">
        <f>VLOOKUP($C10,Score!$B$2:$X$77,9,0)</f>
        <v>#N/A</v>
      </c>
      <c r="M10" s="2" t="e">
        <f>VLOOKUP($C10,Score!$B$2:$X$77,10,0)</f>
        <v>#N/A</v>
      </c>
      <c r="N10" s="2" t="e">
        <f>VLOOKUP($C10,Score!$B$2:$X$77,11,0)</f>
        <v>#N/A</v>
      </c>
      <c r="O10" s="2" t="e">
        <f>VLOOKUP($C10,Score!$B$2:$X$77,12,0)</f>
        <v>#N/A</v>
      </c>
      <c r="P10" s="2" t="e">
        <f>VLOOKUP($C10,Score!$B$2:$X$77,13,0)</f>
        <v>#N/A</v>
      </c>
      <c r="Q10" s="2" t="e">
        <f>VLOOKUP($C10,Score!$B$2:$X$77,14,0)</f>
        <v>#N/A</v>
      </c>
      <c r="R10" s="2" t="e">
        <f>VLOOKUP($C10,Score!$B$2:$X$77,15,0)</f>
        <v>#N/A</v>
      </c>
      <c r="S10" s="2" t="e">
        <f>VLOOKUP($C10,Score!$B$2:$X$77,16,0)</f>
        <v>#N/A</v>
      </c>
      <c r="T10" s="2" t="e">
        <f>VLOOKUP($C10,Score!$B$2:$X$77,17,0)</f>
        <v>#N/A</v>
      </c>
      <c r="U10" s="2" t="e">
        <f>VLOOKUP($C10,Score!$B$2:$X$77,18,0)</f>
        <v>#N/A</v>
      </c>
      <c r="V10" s="2" t="e">
        <f>VLOOKUP($C10,Score!$B$2:$X$77,19,0)</f>
        <v>#N/A</v>
      </c>
      <c r="W10" s="2" t="e">
        <f>VLOOKUP($C10,Score!$B$2:$X$77,20,0)</f>
        <v>#N/A</v>
      </c>
      <c r="X10" s="2" t="e">
        <f>VLOOKUP($C10,Score!$B$2:$Z$76,21,0)</f>
        <v>#N/A</v>
      </c>
      <c r="Y10" s="2" t="e">
        <f>VLOOKUP($C10,Score!$B$2:$Z$76,22,0)</f>
        <v>#N/A</v>
      </c>
      <c r="Z10" s="2" t="e">
        <f>VLOOKUP($C10,Score!$B$2:$Z$76,24,0)</f>
        <v>#N/A</v>
      </c>
      <c r="AA10" s="6" t="e">
        <f t="shared" si="0"/>
        <v>#N/A</v>
      </c>
      <c r="AB10">
        <f t="shared" si="1"/>
        <v>0</v>
      </c>
    </row>
    <row r="11" spans="3:28">
      <c r="C11"/>
      <c r="D11"/>
      <c r="E11" s="2" t="e">
        <f>VLOOKUP($C11,Score!$B$2:$X$77,2,0)</f>
        <v>#N/A</v>
      </c>
      <c r="F11" s="2" t="e">
        <f>VLOOKUP($C11,Score!$B$2:$X$77,3,0)</f>
        <v>#N/A</v>
      </c>
      <c r="G11" s="2" t="e">
        <f>VLOOKUP($C11,Score!$B$2:$X$77,4,0)</f>
        <v>#N/A</v>
      </c>
      <c r="H11" s="2" t="e">
        <f>VLOOKUP($C11,Score!$B$2:$X$77,5,0)</f>
        <v>#N/A</v>
      </c>
      <c r="I11" s="2" t="e">
        <f>VLOOKUP($C11,Score!$B$2:$X$77,6,0)</f>
        <v>#N/A</v>
      </c>
      <c r="J11" s="2" t="e">
        <f>VLOOKUP($C11,Score!$B$2:$X$77,7,0)</f>
        <v>#N/A</v>
      </c>
      <c r="K11" s="2" t="e">
        <f>VLOOKUP($C11,Score!$B$2:$X$77,8,0)</f>
        <v>#N/A</v>
      </c>
      <c r="L11" s="2" t="e">
        <f>VLOOKUP($C11,Score!$B$2:$X$77,9,0)</f>
        <v>#N/A</v>
      </c>
      <c r="M11" s="2" t="e">
        <f>VLOOKUP($C11,Score!$B$2:$X$77,10,0)</f>
        <v>#N/A</v>
      </c>
      <c r="N11" s="2" t="e">
        <f>VLOOKUP($C11,Score!$B$2:$X$77,11,0)</f>
        <v>#N/A</v>
      </c>
      <c r="O11" s="2" t="e">
        <f>VLOOKUP($C11,Score!$B$2:$X$77,12,0)</f>
        <v>#N/A</v>
      </c>
      <c r="P11" s="2" t="e">
        <f>VLOOKUP($C11,Score!$B$2:$X$77,13,0)</f>
        <v>#N/A</v>
      </c>
      <c r="Q11" s="2" t="e">
        <f>VLOOKUP($C11,Score!$B$2:$X$77,14,0)</f>
        <v>#N/A</v>
      </c>
      <c r="R11" s="2" t="e">
        <f>VLOOKUP($C11,Score!$B$2:$X$77,15,0)</f>
        <v>#N/A</v>
      </c>
      <c r="S11" s="2" t="e">
        <f>VLOOKUP($C11,Score!$B$2:$X$77,16,0)</f>
        <v>#N/A</v>
      </c>
      <c r="T11" s="2" t="e">
        <f>VLOOKUP($C11,Score!$B$2:$X$77,17,0)</f>
        <v>#N/A</v>
      </c>
      <c r="U11" s="2" t="e">
        <f>VLOOKUP($C11,Score!$B$2:$X$77,18,0)</f>
        <v>#N/A</v>
      </c>
      <c r="V11" s="2" t="e">
        <f>VLOOKUP($C11,Score!$B$2:$X$77,19,0)</f>
        <v>#N/A</v>
      </c>
      <c r="W11" s="2" t="e">
        <f>VLOOKUP($C11,Score!$B$2:$X$77,20,0)</f>
        <v>#N/A</v>
      </c>
      <c r="X11" s="2" t="e">
        <f>VLOOKUP($C11,Score!$B$2:$Z$76,21,0)</f>
        <v>#N/A</v>
      </c>
      <c r="Y11" s="2" t="e">
        <f>VLOOKUP($C11,Score!$B$2:$Z$76,22,0)</f>
        <v>#N/A</v>
      </c>
      <c r="Z11" s="2" t="e">
        <f>VLOOKUP($C11,Score!$B$2:$Z$76,24,0)</f>
        <v>#N/A</v>
      </c>
      <c r="AA11" s="6" t="e">
        <f t="shared" si="0"/>
        <v>#N/A</v>
      </c>
      <c r="AB11">
        <f t="shared" si="1"/>
        <v>0</v>
      </c>
    </row>
    <row r="12" spans="3:28">
      <c r="C12"/>
      <c r="D12"/>
      <c r="E12" s="2" t="e">
        <f>VLOOKUP($C12,Score!$B$2:$X$77,2,0)</f>
        <v>#N/A</v>
      </c>
      <c r="F12" s="2" t="e">
        <f>VLOOKUP($C12,Score!$B$2:$X$77,3,0)</f>
        <v>#N/A</v>
      </c>
      <c r="G12" s="2" t="e">
        <f>VLOOKUP($C12,Score!$B$2:$X$77,4,0)</f>
        <v>#N/A</v>
      </c>
      <c r="H12" s="2" t="e">
        <f>VLOOKUP($C12,Score!$B$2:$X$77,5,0)</f>
        <v>#N/A</v>
      </c>
      <c r="I12" s="2" t="e">
        <f>VLOOKUP($C12,Score!$B$2:$X$77,6,0)</f>
        <v>#N/A</v>
      </c>
      <c r="J12" s="2" t="e">
        <f>VLOOKUP($C12,Score!$B$2:$X$77,7,0)</f>
        <v>#N/A</v>
      </c>
      <c r="K12" s="2" t="e">
        <f>VLOOKUP($C12,Score!$B$2:$X$77,8,0)</f>
        <v>#N/A</v>
      </c>
      <c r="L12" s="2" t="e">
        <f>VLOOKUP($C12,Score!$B$2:$X$77,9,0)</f>
        <v>#N/A</v>
      </c>
      <c r="M12" s="2" t="e">
        <f>VLOOKUP($C12,Score!$B$2:$X$77,10,0)</f>
        <v>#N/A</v>
      </c>
      <c r="N12" s="2" t="e">
        <f>VLOOKUP($C12,Score!$B$2:$X$77,11,0)</f>
        <v>#N/A</v>
      </c>
      <c r="O12" s="2" t="e">
        <f>VLOOKUP($C12,Score!$B$2:$X$77,12,0)</f>
        <v>#N/A</v>
      </c>
      <c r="P12" s="2" t="e">
        <f>VLOOKUP($C12,Score!$B$2:$X$77,13,0)</f>
        <v>#N/A</v>
      </c>
      <c r="Q12" s="2" t="e">
        <f>VLOOKUP($C12,Score!$B$2:$X$77,14,0)</f>
        <v>#N/A</v>
      </c>
      <c r="R12" s="2" t="e">
        <f>VLOOKUP($C12,Score!$B$2:$X$77,15,0)</f>
        <v>#N/A</v>
      </c>
      <c r="S12" s="2" t="e">
        <f>VLOOKUP($C12,Score!$B$2:$X$77,16,0)</f>
        <v>#N/A</v>
      </c>
      <c r="T12" s="2" t="e">
        <f>VLOOKUP($C12,Score!$B$2:$X$77,17,0)</f>
        <v>#N/A</v>
      </c>
      <c r="U12" s="2" t="e">
        <f>VLOOKUP($C12,Score!$B$2:$X$77,18,0)</f>
        <v>#N/A</v>
      </c>
      <c r="V12" s="2" t="e">
        <f>VLOOKUP($C12,Score!$B$2:$X$77,19,0)</f>
        <v>#N/A</v>
      </c>
      <c r="W12" s="2" t="e">
        <f>VLOOKUP($C12,Score!$B$2:$X$77,20,0)</f>
        <v>#N/A</v>
      </c>
      <c r="X12" s="2" t="e">
        <f>VLOOKUP($C12,Score!$B$2:$Z$76,21,0)</f>
        <v>#N/A</v>
      </c>
      <c r="Y12" s="2" t="e">
        <f>VLOOKUP($C12,Score!$B$2:$Z$76,22,0)</f>
        <v>#N/A</v>
      </c>
      <c r="Z12" s="2" t="e">
        <f>VLOOKUP($C12,Score!$B$2:$Z$76,24,0)</f>
        <v>#N/A</v>
      </c>
      <c r="AA12" s="6" t="e">
        <f t="shared" si="0"/>
        <v>#N/A</v>
      </c>
      <c r="AB12">
        <f t="shared" si="1"/>
        <v>0</v>
      </c>
    </row>
    <row r="13" spans="3:28">
      <c r="C13"/>
      <c r="D13"/>
      <c r="E13" s="2" t="e">
        <f>VLOOKUP($C13,Score!$B$2:$X$77,2,0)</f>
        <v>#N/A</v>
      </c>
      <c r="F13" s="2" t="e">
        <f>VLOOKUP($C13,Score!$B$2:$X$77,3,0)</f>
        <v>#N/A</v>
      </c>
      <c r="G13" s="2" t="e">
        <f>VLOOKUP($C13,Score!$B$2:$X$77,4,0)</f>
        <v>#N/A</v>
      </c>
      <c r="H13" s="2" t="e">
        <f>VLOOKUP($C13,Score!$B$2:$X$77,5,0)</f>
        <v>#N/A</v>
      </c>
      <c r="I13" s="2" t="e">
        <f>VLOOKUP($C13,Score!$B$2:$X$77,6,0)</f>
        <v>#N/A</v>
      </c>
      <c r="J13" s="2" t="e">
        <f>VLOOKUP($C13,Score!$B$2:$X$77,7,0)</f>
        <v>#N/A</v>
      </c>
      <c r="K13" s="2" t="e">
        <f>VLOOKUP($C13,Score!$B$2:$X$77,8,0)</f>
        <v>#N/A</v>
      </c>
      <c r="L13" s="2" t="e">
        <f>VLOOKUP($C13,Score!$B$2:$X$77,9,0)</f>
        <v>#N/A</v>
      </c>
      <c r="M13" s="2" t="e">
        <f>VLOOKUP($C13,Score!$B$2:$X$77,10,0)</f>
        <v>#N/A</v>
      </c>
      <c r="N13" s="2" t="e">
        <f>VLOOKUP($C13,Score!$B$2:$X$77,11,0)</f>
        <v>#N/A</v>
      </c>
      <c r="O13" s="2" t="e">
        <f>VLOOKUP($C13,Score!$B$2:$X$77,12,0)</f>
        <v>#N/A</v>
      </c>
      <c r="P13" s="2" t="e">
        <f>VLOOKUP($C13,Score!$B$2:$X$77,13,0)</f>
        <v>#N/A</v>
      </c>
      <c r="Q13" s="2" t="e">
        <f>VLOOKUP($C13,Score!$B$2:$X$77,14,0)</f>
        <v>#N/A</v>
      </c>
      <c r="R13" s="2" t="e">
        <f>VLOOKUP($C13,Score!$B$2:$X$77,15,0)</f>
        <v>#N/A</v>
      </c>
      <c r="S13" s="2" t="e">
        <f>VLOOKUP($C13,Score!$B$2:$X$77,16,0)</f>
        <v>#N/A</v>
      </c>
      <c r="T13" s="2" t="e">
        <f>VLOOKUP($C13,Score!$B$2:$X$77,17,0)</f>
        <v>#N/A</v>
      </c>
      <c r="U13" s="2" t="e">
        <f>VLOOKUP($C13,Score!$B$2:$X$77,18,0)</f>
        <v>#N/A</v>
      </c>
      <c r="V13" s="2" t="e">
        <f>VLOOKUP($C13,Score!$B$2:$X$77,19,0)</f>
        <v>#N/A</v>
      </c>
      <c r="W13" s="2" t="e">
        <f>VLOOKUP($C13,Score!$B$2:$X$77,20,0)</f>
        <v>#N/A</v>
      </c>
      <c r="X13" s="2" t="e">
        <f>VLOOKUP($C13,Score!$B$2:$Z$76,21,0)</f>
        <v>#N/A</v>
      </c>
      <c r="Y13" s="2" t="e">
        <f>VLOOKUP($C13,Score!$B$2:$Z$76,22,0)</f>
        <v>#N/A</v>
      </c>
      <c r="Z13" s="2" t="e">
        <f>VLOOKUP($C13,Score!$B$2:$Z$76,24,0)</f>
        <v>#N/A</v>
      </c>
      <c r="AA13" s="6" t="e">
        <f t="shared" si="0"/>
        <v>#N/A</v>
      </c>
      <c r="AB13">
        <f t="shared" si="1"/>
        <v>0</v>
      </c>
    </row>
    <row r="14" spans="3:28">
      <c r="C14"/>
      <c r="D14"/>
      <c r="E14" s="2" t="e">
        <f>VLOOKUP($C14,Score!$B$2:$X$77,2,0)</f>
        <v>#N/A</v>
      </c>
      <c r="F14" s="2" t="e">
        <f>VLOOKUP($C14,Score!$B$2:$X$77,3,0)</f>
        <v>#N/A</v>
      </c>
      <c r="G14" s="2" t="e">
        <f>VLOOKUP($C14,Score!$B$2:$X$77,4,0)</f>
        <v>#N/A</v>
      </c>
      <c r="H14" s="2" t="e">
        <f>VLOOKUP($C14,Score!$B$2:$X$77,5,0)</f>
        <v>#N/A</v>
      </c>
      <c r="I14" s="2" t="e">
        <f>VLOOKUP($C14,Score!$B$2:$X$77,6,0)</f>
        <v>#N/A</v>
      </c>
      <c r="J14" s="2" t="e">
        <f>VLOOKUP($C14,Score!$B$2:$X$77,7,0)</f>
        <v>#N/A</v>
      </c>
      <c r="K14" s="2" t="e">
        <f>VLOOKUP($C14,Score!$B$2:$X$77,8,0)</f>
        <v>#N/A</v>
      </c>
      <c r="L14" s="2" t="e">
        <f>VLOOKUP($C14,Score!$B$2:$X$77,9,0)</f>
        <v>#N/A</v>
      </c>
      <c r="M14" s="2" t="e">
        <f>VLOOKUP($C14,Score!$B$2:$X$77,10,0)</f>
        <v>#N/A</v>
      </c>
      <c r="N14" s="2" t="e">
        <f>VLOOKUP($C14,Score!$B$2:$X$77,11,0)</f>
        <v>#N/A</v>
      </c>
      <c r="O14" s="2" t="e">
        <f>VLOOKUP($C14,Score!$B$2:$X$77,12,0)</f>
        <v>#N/A</v>
      </c>
      <c r="P14" s="2" t="e">
        <f>VLOOKUP($C14,Score!$B$2:$X$77,13,0)</f>
        <v>#N/A</v>
      </c>
      <c r="Q14" s="2" t="e">
        <f>VLOOKUP($C14,Score!$B$2:$X$77,14,0)</f>
        <v>#N/A</v>
      </c>
      <c r="R14" s="2" t="e">
        <f>VLOOKUP($C14,Score!$B$2:$X$77,15,0)</f>
        <v>#N/A</v>
      </c>
      <c r="S14" s="2" t="e">
        <f>VLOOKUP($C14,Score!$B$2:$X$77,16,0)</f>
        <v>#N/A</v>
      </c>
      <c r="T14" s="2" t="e">
        <f>VLOOKUP($C14,Score!$B$2:$X$77,17,0)</f>
        <v>#N/A</v>
      </c>
      <c r="U14" s="2" t="e">
        <f>VLOOKUP($C14,Score!$B$2:$X$77,18,0)</f>
        <v>#N/A</v>
      </c>
      <c r="V14" s="2" t="e">
        <f>VLOOKUP($C14,Score!$B$2:$X$77,19,0)</f>
        <v>#N/A</v>
      </c>
      <c r="W14" s="2" t="e">
        <f>VLOOKUP($C14,Score!$B$2:$X$77,20,0)</f>
        <v>#N/A</v>
      </c>
      <c r="X14" s="2" t="e">
        <f>VLOOKUP($C14,Score!$B$2:$Z$76,21,0)</f>
        <v>#N/A</v>
      </c>
      <c r="Y14" s="2" t="e">
        <f>VLOOKUP($C14,Score!$B$2:$Z$76,22,0)</f>
        <v>#N/A</v>
      </c>
      <c r="Z14" s="2" t="e">
        <f>VLOOKUP($C14,Score!$B$2:$Z$76,24,0)</f>
        <v>#N/A</v>
      </c>
      <c r="AA14" s="6" t="e">
        <f t="shared" si="0"/>
        <v>#N/A</v>
      </c>
      <c r="AB14">
        <f t="shared" si="1"/>
        <v>0</v>
      </c>
    </row>
    <row r="15" spans="3:28">
      <c r="C15"/>
      <c r="D15"/>
      <c r="E15" s="2" t="e">
        <f>VLOOKUP($C15,Score!$B$2:$X$77,2,0)</f>
        <v>#N/A</v>
      </c>
      <c r="F15" s="2" t="e">
        <f>VLOOKUP($C15,Score!$B$2:$X$77,3,0)</f>
        <v>#N/A</v>
      </c>
      <c r="G15" s="2" t="e">
        <f>VLOOKUP($C15,Score!$B$2:$X$77,4,0)</f>
        <v>#N/A</v>
      </c>
      <c r="H15" s="2" t="e">
        <f>VLOOKUP($C15,Score!$B$2:$X$77,5,0)</f>
        <v>#N/A</v>
      </c>
      <c r="I15" s="2" t="e">
        <f>VLOOKUP($C15,Score!$B$2:$X$77,6,0)</f>
        <v>#N/A</v>
      </c>
      <c r="J15" s="2" t="e">
        <f>VLOOKUP($C15,Score!$B$2:$X$77,7,0)</f>
        <v>#N/A</v>
      </c>
      <c r="K15" s="2" t="e">
        <f>VLOOKUP($C15,Score!$B$2:$X$77,8,0)</f>
        <v>#N/A</v>
      </c>
      <c r="L15" s="2" t="e">
        <f>VLOOKUP($C15,Score!$B$2:$X$77,9,0)</f>
        <v>#N/A</v>
      </c>
      <c r="M15" s="2" t="e">
        <f>VLOOKUP($C15,Score!$B$2:$X$77,10,0)</f>
        <v>#N/A</v>
      </c>
      <c r="N15" s="2" t="e">
        <f>VLOOKUP($C15,Score!$B$2:$X$77,11,0)</f>
        <v>#N/A</v>
      </c>
      <c r="O15" s="2" t="e">
        <f>VLOOKUP($C15,Score!$B$2:$X$77,12,0)</f>
        <v>#N/A</v>
      </c>
      <c r="P15" s="2" t="e">
        <f>VLOOKUP($C15,Score!$B$2:$X$77,13,0)</f>
        <v>#N/A</v>
      </c>
      <c r="Q15" s="2" t="e">
        <f>VLOOKUP($C15,Score!$B$2:$X$77,14,0)</f>
        <v>#N/A</v>
      </c>
      <c r="R15" s="2" t="e">
        <f>VLOOKUP($C15,Score!$B$2:$X$77,15,0)</f>
        <v>#N/A</v>
      </c>
      <c r="S15" s="2" t="e">
        <f>VLOOKUP($C15,Score!$B$2:$X$77,16,0)</f>
        <v>#N/A</v>
      </c>
      <c r="T15" s="2" t="e">
        <f>VLOOKUP($C15,Score!$B$2:$X$77,17,0)</f>
        <v>#N/A</v>
      </c>
      <c r="U15" s="2" t="e">
        <f>VLOOKUP($C15,Score!$B$2:$X$77,18,0)</f>
        <v>#N/A</v>
      </c>
      <c r="V15" s="2" t="e">
        <f>VLOOKUP($C15,Score!$B$2:$X$77,19,0)</f>
        <v>#N/A</v>
      </c>
      <c r="W15" s="2" t="e">
        <f>VLOOKUP($C15,Score!$B$2:$X$77,20,0)</f>
        <v>#N/A</v>
      </c>
      <c r="X15" s="2" t="e">
        <f>VLOOKUP($C15,Score!$B$2:$Z$76,21,0)</f>
        <v>#N/A</v>
      </c>
      <c r="Y15" s="2" t="e">
        <f>VLOOKUP($C15,Score!$B$2:$Z$76,22,0)</f>
        <v>#N/A</v>
      </c>
      <c r="Z15" s="2" t="e">
        <f>VLOOKUP($C15,Score!$B$2:$Z$76,24,0)</f>
        <v>#N/A</v>
      </c>
      <c r="AA15" s="6" t="e">
        <f t="shared" si="0"/>
        <v>#N/A</v>
      </c>
      <c r="AB15">
        <f t="shared" si="1"/>
        <v>0</v>
      </c>
    </row>
    <row r="16" spans="3:28">
      <c r="C16"/>
      <c r="D16"/>
      <c r="E16" s="2" t="e">
        <f>VLOOKUP($C16,Score!$B$2:$X$77,2,0)</f>
        <v>#N/A</v>
      </c>
      <c r="F16" s="2" t="e">
        <f>VLOOKUP($C16,Score!$B$2:$X$77,3,0)</f>
        <v>#N/A</v>
      </c>
      <c r="G16" s="2" t="e">
        <f>VLOOKUP($C16,Score!$B$2:$X$77,4,0)</f>
        <v>#N/A</v>
      </c>
      <c r="H16" s="2" t="e">
        <f>VLOOKUP($C16,Score!$B$2:$X$77,5,0)</f>
        <v>#N/A</v>
      </c>
      <c r="I16" s="2" t="e">
        <f>VLOOKUP($C16,Score!$B$2:$X$77,6,0)</f>
        <v>#N/A</v>
      </c>
      <c r="J16" s="2" t="e">
        <f>VLOOKUP($C16,Score!$B$2:$X$77,7,0)</f>
        <v>#N/A</v>
      </c>
      <c r="K16" s="2" t="e">
        <f>VLOOKUP($C16,Score!$B$2:$X$77,8,0)</f>
        <v>#N/A</v>
      </c>
      <c r="L16" s="2" t="e">
        <f>VLOOKUP($C16,Score!$B$2:$X$77,9,0)</f>
        <v>#N/A</v>
      </c>
      <c r="M16" s="2" t="e">
        <f>VLOOKUP($C16,Score!$B$2:$X$77,10,0)</f>
        <v>#N/A</v>
      </c>
      <c r="N16" s="2" t="e">
        <f>VLOOKUP($C16,Score!$B$2:$X$77,11,0)</f>
        <v>#N/A</v>
      </c>
      <c r="O16" s="2" t="e">
        <f>VLOOKUP($C16,Score!$B$2:$X$77,12,0)</f>
        <v>#N/A</v>
      </c>
      <c r="P16" s="2" t="e">
        <f>VLOOKUP($C16,Score!$B$2:$X$77,13,0)</f>
        <v>#N/A</v>
      </c>
      <c r="Q16" s="2" t="e">
        <f>VLOOKUP($C16,Score!$B$2:$X$77,14,0)</f>
        <v>#N/A</v>
      </c>
      <c r="R16" s="2" t="e">
        <f>VLOOKUP($C16,Score!$B$2:$X$77,15,0)</f>
        <v>#N/A</v>
      </c>
      <c r="S16" s="2" t="e">
        <f>VLOOKUP($C16,Score!$B$2:$X$77,16,0)</f>
        <v>#N/A</v>
      </c>
      <c r="T16" s="2" t="e">
        <f>VLOOKUP($C16,Score!$B$2:$X$77,17,0)</f>
        <v>#N/A</v>
      </c>
      <c r="U16" s="2" t="e">
        <f>VLOOKUP($C16,Score!$B$2:$X$77,18,0)</f>
        <v>#N/A</v>
      </c>
      <c r="V16" s="2" t="e">
        <f>VLOOKUP($C16,Score!$B$2:$X$77,19,0)</f>
        <v>#N/A</v>
      </c>
      <c r="W16" s="2" t="e">
        <f>VLOOKUP($C16,Score!$B$2:$X$77,20,0)</f>
        <v>#N/A</v>
      </c>
      <c r="X16" s="2" t="e">
        <f>VLOOKUP($C16,Score!$B$2:$Z$76,21,0)</f>
        <v>#N/A</v>
      </c>
      <c r="Y16" s="2" t="e">
        <f>VLOOKUP($C16,Score!$B$2:$Z$76,22,0)</f>
        <v>#N/A</v>
      </c>
      <c r="Z16" s="2" t="e">
        <f>VLOOKUP($C16,Score!$B$2:$Z$76,24,0)</f>
        <v>#N/A</v>
      </c>
      <c r="AA16" s="6" t="e">
        <f t="shared" si="0"/>
        <v>#N/A</v>
      </c>
      <c r="AB16">
        <f t="shared" si="1"/>
        <v>0</v>
      </c>
    </row>
    <row r="17" spans="3:28">
      <c r="C17"/>
      <c r="D17"/>
      <c r="E17" s="2" t="e">
        <f>VLOOKUP($C17,Score!$B$2:$X$77,2,0)</f>
        <v>#N/A</v>
      </c>
      <c r="F17" s="2" t="e">
        <f>VLOOKUP($C17,Score!$B$2:$X$77,3,0)</f>
        <v>#N/A</v>
      </c>
      <c r="G17" s="2" t="e">
        <f>VLOOKUP($C17,Score!$B$2:$X$77,4,0)</f>
        <v>#N/A</v>
      </c>
      <c r="H17" s="2" t="e">
        <f>VLOOKUP($C17,Score!$B$2:$X$77,5,0)</f>
        <v>#N/A</v>
      </c>
      <c r="I17" s="2" t="e">
        <f>VLOOKUP($C17,Score!$B$2:$X$77,6,0)</f>
        <v>#N/A</v>
      </c>
      <c r="J17" s="2" t="e">
        <f>VLOOKUP($C17,Score!$B$2:$X$77,7,0)</f>
        <v>#N/A</v>
      </c>
      <c r="K17" s="2" t="e">
        <f>VLOOKUP($C17,Score!$B$2:$X$77,8,0)</f>
        <v>#N/A</v>
      </c>
      <c r="L17" s="2" t="e">
        <f>VLOOKUP($C17,Score!$B$2:$X$77,9,0)</f>
        <v>#N/A</v>
      </c>
      <c r="M17" s="2" t="e">
        <f>VLOOKUP($C17,Score!$B$2:$X$77,10,0)</f>
        <v>#N/A</v>
      </c>
      <c r="N17" s="2" t="e">
        <f>VLOOKUP($C17,Score!$B$2:$X$77,11,0)</f>
        <v>#N/A</v>
      </c>
      <c r="O17" s="2" t="e">
        <f>VLOOKUP($C17,Score!$B$2:$X$77,12,0)</f>
        <v>#N/A</v>
      </c>
      <c r="P17" s="2" t="e">
        <f>VLOOKUP($C17,Score!$B$2:$X$77,13,0)</f>
        <v>#N/A</v>
      </c>
      <c r="Q17" s="2" t="e">
        <f>VLOOKUP($C17,Score!$B$2:$X$77,14,0)</f>
        <v>#N/A</v>
      </c>
      <c r="R17" s="2" t="e">
        <f>VLOOKUP($C17,Score!$B$2:$X$77,15,0)</f>
        <v>#N/A</v>
      </c>
      <c r="S17" s="2" t="e">
        <f>VLOOKUP($C17,Score!$B$2:$X$77,16,0)</f>
        <v>#N/A</v>
      </c>
      <c r="T17" s="2" t="e">
        <f>VLOOKUP($C17,Score!$B$2:$X$77,17,0)</f>
        <v>#N/A</v>
      </c>
      <c r="U17" s="2" t="e">
        <f>VLOOKUP($C17,Score!$B$2:$X$77,18,0)</f>
        <v>#N/A</v>
      </c>
      <c r="V17" s="2" t="e">
        <f>VLOOKUP($C17,Score!$B$2:$X$77,19,0)</f>
        <v>#N/A</v>
      </c>
      <c r="W17" s="2" t="e">
        <f>VLOOKUP($C17,Score!$B$2:$X$77,20,0)</f>
        <v>#N/A</v>
      </c>
      <c r="X17" s="2" t="e">
        <f>VLOOKUP($C17,Score!$B$2:$Z$76,21,0)</f>
        <v>#N/A</v>
      </c>
      <c r="Y17" s="2" t="e">
        <f>VLOOKUP($C17,Score!$B$2:$Z$76,22,0)</f>
        <v>#N/A</v>
      </c>
      <c r="Z17" s="2" t="e">
        <f>VLOOKUP($C17,Score!$B$2:$Z$76,24,0)</f>
        <v>#N/A</v>
      </c>
      <c r="AA17" s="6" t="e">
        <f t="shared" si="0"/>
        <v>#N/A</v>
      </c>
      <c r="AB17">
        <f t="shared" si="1"/>
        <v>0</v>
      </c>
    </row>
    <row r="18" spans="3:28">
      <c r="C18"/>
      <c r="D18"/>
      <c r="E18" s="2" t="e">
        <f>VLOOKUP($C18,Score!$B$2:$X$77,2,0)</f>
        <v>#N/A</v>
      </c>
      <c r="F18" s="2" t="e">
        <f>VLOOKUP($C18,Score!$B$2:$X$77,3,0)</f>
        <v>#N/A</v>
      </c>
      <c r="G18" s="2" t="e">
        <f>VLOOKUP($C18,Score!$B$2:$X$77,4,0)</f>
        <v>#N/A</v>
      </c>
      <c r="H18" s="2" t="e">
        <f>VLOOKUP($C18,Score!$B$2:$X$77,5,0)</f>
        <v>#N/A</v>
      </c>
      <c r="I18" s="2" t="e">
        <f>VLOOKUP($C18,Score!$B$2:$X$77,6,0)</f>
        <v>#N/A</v>
      </c>
      <c r="J18" s="2" t="e">
        <f>VLOOKUP($C18,Score!$B$2:$X$77,7,0)</f>
        <v>#N/A</v>
      </c>
      <c r="K18" s="2" t="e">
        <f>VLOOKUP($C18,Score!$B$2:$X$77,8,0)</f>
        <v>#N/A</v>
      </c>
      <c r="L18" s="2" t="e">
        <f>VLOOKUP($C18,Score!$B$2:$X$77,9,0)</f>
        <v>#N/A</v>
      </c>
      <c r="M18" s="2" t="e">
        <f>VLOOKUP($C18,Score!$B$2:$X$77,10,0)</f>
        <v>#N/A</v>
      </c>
      <c r="N18" s="2" t="e">
        <f>VLOOKUP($C18,Score!$B$2:$X$77,11,0)</f>
        <v>#N/A</v>
      </c>
      <c r="O18" s="2" t="e">
        <f>VLOOKUP($C18,Score!$B$2:$X$77,12,0)</f>
        <v>#N/A</v>
      </c>
      <c r="P18" s="2" t="e">
        <f>VLOOKUP($C18,Score!$B$2:$X$77,13,0)</f>
        <v>#N/A</v>
      </c>
      <c r="Q18" s="2" t="e">
        <f>VLOOKUP($C18,Score!$B$2:$X$77,14,0)</f>
        <v>#N/A</v>
      </c>
      <c r="R18" s="2" t="e">
        <f>VLOOKUP($C18,Score!$B$2:$X$77,15,0)</f>
        <v>#N/A</v>
      </c>
      <c r="S18" s="2" t="e">
        <f>VLOOKUP($C18,Score!$B$2:$X$77,16,0)</f>
        <v>#N/A</v>
      </c>
      <c r="T18" s="2" t="e">
        <f>VLOOKUP($C18,Score!$B$2:$X$77,17,0)</f>
        <v>#N/A</v>
      </c>
      <c r="U18" s="2" t="e">
        <f>VLOOKUP($C18,Score!$B$2:$X$77,18,0)</f>
        <v>#N/A</v>
      </c>
      <c r="V18" s="2" t="e">
        <f>VLOOKUP($C18,Score!$B$2:$X$77,19,0)</f>
        <v>#N/A</v>
      </c>
      <c r="W18" s="2" t="e">
        <f>VLOOKUP($C18,Score!$B$2:$X$77,20,0)</f>
        <v>#N/A</v>
      </c>
      <c r="X18" s="2" t="e">
        <f>VLOOKUP($C18,Score!$B$2:$Z$76,21,0)</f>
        <v>#N/A</v>
      </c>
      <c r="Y18" s="2" t="e">
        <f>VLOOKUP($C18,Score!$B$2:$Z$76,22,0)</f>
        <v>#N/A</v>
      </c>
      <c r="Z18" s="2" t="e">
        <f>VLOOKUP($C18,Score!$B$2:$Z$76,24,0)</f>
        <v>#N/A</v>
      </c>
      <c r="AA18" s="6" t="e">
        <f t="shared" si="0"/>
        <v>#N/A</v>
      </c>
      <c r="AB18">
        <f t="shared" si="1"/>
        <v>0</v>
      </c>
    </row>
    <row r="19" spans="3:28">
      <c r="C19"/>
      <c r="D19"/>
      <c r="E19" s="2" t="e">
        <f>VLOOKUP($C19,Score!$B$2:$X$77,2,0)</f>
        <v>#N/A</v>
      </c>
      <c r="F19" s="2" t="e">
        <f>VLOOKUP($C19,Score!$B$2:$X$77,3,0)</f>
        <v>#N/A</v>
      </c>
      <c r="G19" s="2" t="e">
        <f>VLOOKUP($C19,Score!$B$2:$X$77,4,0)</f>
        <v>#N/A</v>
      </c>
      <c r="H19" s="2" t="e">
        <f>VLOOKUP($C19,Score!$B$2:$X$77,5,0)</f>
        <v>#N/A</v>
      </c>
      <c r="I19" s="2" t="e">
        <f>VLOOKUP($C19,Score!$B$2:$X$77,6,0)</f>
        <v>#N/A</v>
      </c>
      <c r="J19" s="2" t="e">
        <f>VLOOKUP($C19,Score!$B$2:$X$77,7,0)</f>
        <v>#N/A</v>
      </c>
      <c r="K19" s="2" t="e">
        <f>VLOOKUP($C19,Score!$B$2:$X$77,8,0)</f>
        <v>#N/A</v>
      </c>
      <c r="L19" s="2" t="e">
        <f>VLOOKUP($C19,Score!$B$2:$X$77,9,0)</f>
        <v>#N/A</v>
      </c>
      <c r="M19" s="2" t="e">
        <f>VLOOKUP($C19,Score!$B$2:$X$77,10,0)</f>
        <v>#N/A</v>
      </c>
      <c r="N19" s="2" t="e">
        <f>VLOOKUP($C19,Score!$B$2:$X$77,11,0)</f>
        <v>#N/A</v>
      </c>
      <c r="O19" s="2" t="e">
        <f>VLOOKUP($C19,Score!$B$2:$X$77,12,0)</f>
        <v>#N/A</v>
      </c>
      <c r="P19" s="2" t="e">
        <f>VLOOKUP($C19,Score!$B$2:$X$77,13,0)</f>
        <v>#N/A</v>
      </c>
      <c r="Q19" s="2" t="e">
        <f>VLOOKUP($C19,Score!$B$2:$X$77,14,0)</f>
        <v>#N/A</v>
      </c>
      <c r="R19" s="2" t="e">
        <f>VLOOKUP($C19,Score!$B$2:$X$77,15,0)</f>
        <v>#N/A</v>
      </c>
      <c r="S19" s="2" t="e">
        <f>VLOOKUP($C19,Score!$B$2:$X$77,16,0)</f>
        <v>#N/A</v>
      </c>
      <c r="T19" s="2" t="e">
        <f>VLOOKUP($C19,Score!$B$2:$X$77,17,0)</f>
        <v>#N/A</v>
      </c>
      <c r="U19" s="2" t="e">
        <f>VLOOKUP($C19,Score!$B$2:$X$77,18,0)</f>
        <v>#N/A</v>
      </c>
      <c r="V19" s="2" t="e">
        <f>VLOOKUP($C19,Score!$B$2:$X$77,19,0)</f>
        <v>#N/A</v>
      </c>
      <c r="W19" s="2" t="e">
        <f>VLOOKUP($C19,Score!$B$2:$X$77,20,0)</f>
        <v>#N/A</v>
      </c>
      <c r="X19" s="2" t="e">
        <f>VLOOKUP($C19,Score!$B$2:$Z$76,21,0)</f>
        <v>#N/A</v>
      </c>
      <c r="Y19" s="2" t="e">
        <f>VLOOKUP($C19,Score!$B$2:$Z$76,22,0)</f>
        <v>#N/A</v>
      </c>
      <c r="Z19" s="2" t="e">
        <f>VLOOKUP($C19,Score!$B$2:$Z$76,24,0)</f>
        <v>#N/A</v>
      </c>
      <c r="AA19" s="6" t="e">
        <f t="shared" si="0"/>
        <v>#N/A</v>
      </c>
      <c r="AB19">
        <f t="shared" si="1"/>
        <v>0</v>
      </c>
    </row>
    <row r="20" spans="3:28">
      <c r="C20"/>
      <c r="D20"/>
      <c r="E20" s="2" t="e">
        <f>VLOOKUP($C20,Score!$B$2:$X$77,2,0)</f>
        <v>#N/A</v>
      </c>
      <c r="F20" s="2" t="e">
        <f>VLOOKUP($C20,Score!$B$2:$X$77,3,0)</f>
        <v>#N/A</v>
      </c>
      <c r="G20" s="2" t="e">
        <f>VLOOKUP($C20,Score!$B$2:$X$77,4,0)</f>
        <v>#N/A</v>
      </c>
      <c r="H20" s="2" t="e">
        <f>VLOOKUP($C20,Score!$B$2:$X$77,5,0)</f>
        <v>#N/A</v>
      </c>
      <c r="I20" s="2" t="e">
        <f>VLOOKUP($C20,Score!$B$2:$X$77,6,0)</f>
        <v>#N/A</v>
      </c>
      <c r="J20" s="2" t="e">
        <f>VLOOKUP($C20,Score!$B$2:$X$77,7,0)</f>
        <v>#N/A</v>
      </c>
      <c r="K20" s="2" t="e">
        <f>VLOOKUP($C20,Score!$B$2:$X$77,8,0)</f>
        <v>#N/A</v>
      </c>
      <c r="L20" s="2" t="e">
        <f>VLOOKUP($C20,Score!$B$2:$X$77,9,0)</f>
        <v>#N/A</v>
      </c>
      <c r="M20" s="2" t="e">
        <f>VLOOKUP($C20,Score!$B$2:$X$77,10,0)</f>
        <v>#N/A</v>
      </c>
      <c r="N20" s="2" t="e">
        <f>VLOOKUP($C20,Score!$B$2:$X$77,11,0)</f>
        <v>#N/A</v>
      </c>
      <c r="O20" s="2" t="e">
        <f>VLOOKUP($C20,Score!$B$2:$X$77,12,0)</f>
        <v>#N/A</v>
      </c>
      <c r="P20" s="2" t="e">
        <f>VLOOKUP($C20,Score!$B$2:$X$77,13,0)</f>
        <v>#N/A</v>
      </c>
      <c r="Q20" s="2" t="e">
        <f>VLOOKUP($C20,Score!$B$2:$X$77,14,0)</f>
        <v>#N/A</v>
      </c>
      <c r="R20" s="2" t="e">
        <f>VLOOKUP($C20,Score!$B$2:$X$77,15,0)</f>
        <v>#N/A</v>
      </c>
      <c r="S20" s="2" t="e">
        <f>VLOOKUP($C20,Score!$B$2:$X$77,16,0)</f>
        <v>#N/A</v>
      </c>
      <c r="T20" s="2" t="e">
        <f>VLOOKUP($C20,Score!$B$2:$X$77,17,0)</f>
        <v>#N/A</v>
      </c>
      <c r="U20" s="2" t="e">
        <f>VLOOKUP($C20,Score!$B$2:$X$77,18,0)</f>
        <v>#N/A</v>
      </c>
      <c r="V20" s="2" t="e">
        <f>VLOOKUP($C20,Score!$B$2:$X$77,19,0)</f>
        <v>#N/A</v>
      </c>
      <c r="W20" s="2" t="e">
        <f>VLOOKUP($C20,Score!$B$2:$X$77,20,0)</f>
        <v>#N/A</v>
      </c>
      <c r="X20" s="2" t="e">
        <f>VLOOKUP($C20,Score!$B$2:$Z$76,21,0)</f>
        <v>#N/A</v>
      </c>
      <c r="Y20" s="2" t="e">
        <f>VLOOKUP($C20,Score!$B$2:$Z$76,22,0)</f>
        <v>#N/A</v>
      </c>
      <c r="Z20" s="2" t="e">
        <f>VLOOKUP($C20,Score!$B$2:$Z$76,24,0)</f>
        <v>#N/A</v>
      </c>
      <c r="AA20" s="6" t="e">
        <f t="shared" si="0"/>
        <v>#N/A</v>
      </c>
      <c r="AB20">
        <f t="shared" si="1"/>
        <v>0</v>
      </c>
    </row>
    <row r="21" spans="3:28" s="68" customFormat="1">
      <c r="C21" s="68" t="s">
        <v>16</v>
      </c>
      <c r="E21" s="69"/>
      <c r="F21" s="70"/>
      <c r="G21" s="69"/>
      <c r="H21" s="69"/>
      <c r="I21" s="69"/>
      <c r="J21" s="69"/>
      <c r="K21" s="69"/>
      <c r="L21" s="69"/>
      <c r="M21" s="69"/>
      <c r="N21" s="69"/>
      <c r="O21" s="69"/>
      <c r="P21" s="69"/>
      <c r="Q21" s="69"/>
      <c r="R21" s="69"/>
      <c r="S21" s="69"/>
      <c r="T21" s="69"/>
      <c r="U21" s="69"/>
      <c r="V21" s="69"/>
      <c r="W21" s="69"/>
      <c r="X21" s="69"/>
      <c r="Y21" s="69"/>
      <c r="Z21" s="69"/>
      <c r="AA21" s="72"/>
    </row>
    <row r="22" spans="3:28" s="1" customFormat="1">
      <c r="C22"/>
      <c r="D22"/>
      <c r="E22" s="66" t="e">
        <f t="shared" ref="E22:AA22" si="2">SUM(E4:E21)</f>
        <v>#N/A</v>
      </c>
      <c r="F22" s="66" t="e">
        <f t="shared" si="2"/>
        <v>#N/A</v>
      </c>
      <c r="G22" s="66" t="e">
        <f t="shared" si="2"/>
        <v>#N/A</v>
      </c>
      <c r="H22" s="66" t="e">
        <f t="shared" si="2"/>
        <v>#N/A</v>
      </c>
      <c r="I22" s="66" t="e">
        <f t="shared" si="2"/>
        <v>#N/A</v>
      </c>
      <c r="J22" s="66" t="e">
        <f t="shared" si="2"/>
        <v>#N/A</v>
      </c>
      <c r="K22" s="66" t="e">
        <f t="shared" si="2"/>
        <v>#N/A</v>
      </c>
      <c r="L22" s="66" t="e">
        <f t="shared" si="2"/>
        <v>#N/A</v>
      </c>
      <c r="M22" s="66" t="e">
        <f t="shared" si="2"/>
        <v>#N/A</v>
      </c>
      <c r="N22" s="66" t="e">
        <f t="shared" si="2"/>
        <v>#N/A</v>
      </c>
      <c r="O22" s="66" t="e">
        <f t="shared" si="2"/>
        <v>#N/A</v>
      </c>
      <c r="P22" s="66" t="e">
        <f t="shared" si="2"/>
        <v>#N/A</v>
      </c>
      <c r="Q22" s="66" t="e">
        <f t="shared" si="2"/>
        <v>#N/A</v>
      </c>
      <c r="R22" s="66" t="e">
        <f t="shared" si="2"/>
        <v>#N/A</v>
      </c>
      <c r="S22" s="66" t="e">
        <f t="shared" si="2"/>
        <v>#N/A</v>
      </c>
      <c r="T22" s="66" t="e">
        <f t="shared" si="2"/>
        <v>#N/A</v>
      </c>
      <c r="U22" s="66" t="e">
        <f t="shared" si="2"/>
        <v>#N/A</v>
      </c>
      <c r="V22" s="66" t="e">
        <f t="shared" si="2"/>
        <v>#N/A</v>
      </c>
      <c r="W22" s="66" t="e">
        <f t="shared" si="2"/>
        <v>#N/A</v>
      </c>
      <c r="X22" s="66" t="e">
        <f t="shared" si="2"/>
        <v>#N/A</v>
      </c>
      <c r="Y22" s="66" t="e">
        <f t="shared" si="2"/>
        <v>#N/A</v>
      </c>
      <c r="Z22" s="66" t="e">
        <f t="shared" si="2"/>
        <v>#N/A</v>
      </c>
      <c r="AA22" s="67" t="e">
        <f t="shared" si="2"/>
        <v>#N/A</v>
      </c>
    </row>
    <row r="23" spans="3:28" s="51" customFormat="1">
      <c r="C23"/>
      <c r="D23"/>
      <c r="E23" s="52"/>
      <c r="F23" s="52"/>
      <c r="G23" s="47"/>
      <c r="H23" s="52"/>
      <c r="I23" s="52"/>
      <c r="J23" s="52"/>
      <c r="K23" s="52"/>
      <c r="L23" s="52"/>
      <c r="M23" s="52"/>
      <c r="N23" s="52"/>
      <c r="O23" s="52"/>
      <c r="P23" s="52"/>
      <c r="Q23" s="52"/>
      <c r="R23" s="52"/>
      <c r="S23" s="52"/>
      <c r="T23" s="52"/>
      <c r="U23" s="52"/>
      <c r="V23" s="52"/>
      <c r="W23" s="52"/>
      <c r="X23" s="52"/>
      <c r="Y23" s="52"/>
      <c r="Z23" s="52"/>
      <c r="AA23" s="60"/>
    </row>
    <row r="24" spans="3:28" s="63" customFormat="1">
      <c r="C24" s="61"/>
      <c r="D24" s="61"/>
      <c r="E24" s="62" t="e">
        <f>VLOOKUP($C24,Score!$B$2:$X$77,2,0)</f>
        <v>#N/A</v>
      </c>
      <c r="F24" s="62" t="e">
        <f>VLOOKUP($C24,Score!$B$2:$X$77,2,0)</f>
        <v>#N/A</v>
      </c>
      <c r="G24" s="62" t="e">
        <f>VLOOKUP($C24,Score!$B$2:$X$77,2,0)</f>
        <v>#N/A</v>
      </c>
      <c r="H24" s="62" t="e">
        <f>VLOOKUP($C24,Score!$B$2:$X$77,2,0)</f>
        <v>#N/A</v>
      </c>
      <c r="I24" s="62" t="e">
        <f>VLOOKUP($C24,Score!$B$2:$X$77,2,0)</f>
        <v>#N/A</v>
      </c>
      <c r="J24" s="62" t="e">
        <f>VLOOKUP($C24,Score!$B$2:$X$77,2,0)</f>
        <v>#N/A</v>
      </c>
      <c r="K24" s="62" t="e">
        <f>VLOOKUP($C24,Score!$B$2:$X$77,2,0)</f>
        <v>#N/A</v>
      </c>
      <c r="L24" s="62" t="e">
        <f>VLOOKUP($C24,Score!$B$2:$X$77,2,0)</f>
        <v>#N/A</v>
      </c>
      <c r="M24" s="62" t="e">
        <f>VLOOKUP($C24,Score!$B$2:$X$77,2,0)</f>
        <v>#N/A</v>
      </c>
      <c r="N24" s="62" t="e">
        <f>VLOOKUP($C24,Score!$B$2:$X$77,2,0)</f>
        <v>#N/A</v>
      </c>
      <c r="O24" s="62" t="e">
        <f>VLOOKUP($C24,Score!$B$2:$X$77,2,0)</f>
        <v>#N/A</v>
      </c>
      <c r="P24" s="62" t="e">
        <f>VLOOKUP($C24,Score!$B$2:$X$77,2,0)</f>
        <v>#N/A</v>
      </c>
      <c r="Q24" s="62" t="e">
        <f>VLOOKUP($C24,Score!$B$2:$X$77,2,0)</f>
        <v>#N/A</v>
      </c>
      <c r="R24" s="62" t="e">
        <f>VLOOKUP($C24,Score!$B$2:$X$77,2,0)</f>
        <v>#N/A</v>
      </c>
      <c r="S24" s="62" t="e">
        <f>VLOOKUP($C24,Score!$B$2:$X$77,2,0)</f>
        <v>#N/A</v>
      </c>
      <c r="T24" s="62" t="e">
        <f>VLOOKUP($C24,Score!$B$2:$X$77,2,0)</f>
        <v>#N/A</v>
      </c>
      <c r="U24" s="62" t="e">
        <f>VLOOKUP($C24,Score!$B$2:$X$77,2,0)</f>
        <v>#N/A</v>
      </c>
      <c r="V24" s="62" t="e">
        <f>VLOOKUP($C24,Score!$B$2:$X$77,2,0)</f>
        <v>#N/A</v>
      </c>
      <c r="W24" s="62" t="e">
        <f>VLOOKUP($C24,Score!$B$2:$X$77,2,0)</f>
        <v>#N/A</v>
      </c>
      <c r="X24" s="62" t="e">
        <f>VLOOKUP($C24,Score!$B$2:$X$77,2,0)</f>
        <v>#N/A</v>
      </c>
      <c r="Y24" s="62" t="e">
        <f>VLOOKUP($C24,Score!$B$2:$X$77,2,0)</f>
        <v>#N/A</v>
      </c>
      <c r="Z24" s="62" t="e">
        <f>VLOOKUP($C24,Score!$B$2:$X$77,2,0)</f>
        <v>#N/A</v>
      </c>
      <c r="AA24" s="62" t="e">
        <f>VLOOKUP($C24,Score!$B$2:$X$77,2,0)</f>
        <v>#N/A</v>
      </c>
    </row>
    <row r="25" spans="3:28" s="63" customFormat="1">
      <c r="C25" s="61"/>
      <c r="D25" s="61"/>
      <c r="E25" s="62" t="e">
        <f>VLOOKUP($C25,Score!$B$2:$X$77,2,0)</f>
        <v>#N/A</v>
      </c>
      <c r="F25" s="62" t="e">
        <f>VLOOKUP($C25,Score!$B$2:$X$77,2,0)</f>
        <v>#N/A</v>
      </c>
      <c r="G25" s="62" t="e">
        <f>VLOOKUP($C25,Score!$B$2:$X$77,2,0)</f>
        <v>#N/A</v>
      </c>
      <c r="H25" s="62" t="e">
        <f>VLOOKUP($C25,Score!$B$2:$X$77,2,0)</f>
        <v>#N/A</v>
      </c>
      <c r="I25" s="62" t="e">
        <f>VLOOKUP($C25,Score!$B$2:$X$77,2,0)</f>
        <v>#N/A</v>
      </c>
      <c r="J25" s="62" t="e">
        <f>VLOOKUP($C25,Score!$B$2:$X$77,2,0)</f>
        <v>#N/A</v>
      </c>
      <c r="K25" s="62" t="e">
        <f>VLOOKUP($C25,Score!$B$2:$X$77,2,0)</f>
        <v>#N/A</v>
      </c>
      <c r="L25" s="62" t="e">
        <f>VLOOKUP($C25,Score!$B$2:$X$77,2,0)</f>
        <v>#N/A</v>
      </c>
      <c r="M25" s="62" t="e">
        <f>VLOOKUP($C25,Score!$B$2:$X$77,2,0)</f>
        <v>#N/A</v>
      </c>
      <c r="N25" s="62" t="e">
        <f>VLOOKUP($C25,Score!$B$2:$X$77,2,0)</f>
        <v>#N/A</v>
      </c>
      <c r="O25" s="62" t="e">
        <f>VLOOKUP($C25,Score!$B$2:$X$77,2,0)</f>
        <v>#N/A</v>
      </c>
      <c r="P25" s="62" t="e">
        <f>VLOOKUP($C25,Score!$B$2:$X$77,2,0)</f>
        <v>#N/A</v>
      </c>
      <c r="Q25" s="62" t="e">
        <f>VLOOKUP($C25,Score!$B$2:$X$77,2,0)</f>
        <v>#N/A</v>
      </c>
      <c r="R25" s="62" t="e">
        <f>VLOOKUP($C25,Score!$B$2:$X$77,2,0)</f>
        <v>#N/A</v>
      </c>
      <c r="S25" s="62" t="e">
        <f>VLOOKUP($C25,Score!$B$2:$X$77,2,0)</f>
        <v>#N/A</v>
      </c>
      <c r="T25" s="62" t="e">
        <f>VLOOKUP($C25,Score!$B$2:$X$77,2,0)</f>
        <v>#N/A</v>
      </c>
      <c r="U25" s="62" t="e">
        <f>VLOOKUP($C25,Score!$B$2:$X$77,2,0)</f>
        <v>#N/A</v>
      </c>
      <c r="V25" s="62" t="e">
        <f>VLOOKUP($C25,Score!$B$2:$X$77,2,0)</f>
        <v>#N/A</v>
      </c>
      <c r="W25" s="62" t="e">
        <f>VLOOKUP($C25,Score!$B$2:$X$77,2,0)</f>
        <v>#N/A</v>
      </c>
      <c r="X25" s="62" t="e">
        <f>VLOOKUP($C25,Score!$B$2:$X$77,2,0)</f>
        <v>#N/A</v>
      </c>
      <c r="Y25" s="62" t="e">
        <f>VLOOKUP($C25,Score!$B$2:$X$77,2,0)</f>
        <v>#N/A</v>
      </c>
      <c r="Z25" s="62" t="e">
        <f>VLOOKUP($C25,Score!$B$2:$X$77,2,0)</f>
        <v>#N/A</v>
      </c>
      <c r="AA25" s="62" t="e">
        <f>VLOOKUP($C25,Score!$B$2:$X$77,2,0)</f>
        <v>#N/A</v>
      </c>
    </row>
    <row r="26" spans="3:28" s="63" customFormat="1">
      <c r="C26" s="61"/>
      <c r="D26" s="61"/>
      <c r="E26" s="62" t="e">
        <f>VLOOKUP($C26,Score!$B$2:$X$77,2,0)</f>
        <v>#N/A</v>
      </c>
      <c r="F26" s="62" t="e">
        <f>VLOOKUP($C26,Score!$B$2:$X$77,2,0)</f>
        <v>#N/A</v>
      </c>
      <c r="G26" s="62" t="e">
        <f>VLOOKUP($C26,Score!$B$2:$X$77,2,0)</f>
        <v>#N/A</v>
      </c>
      <c r="H26" s="62" t="e">
        <f>VLOOKUP($C26,Score!$B$2:$X$77,2,0)</f>
        <v>#N/A</v>
      </c>
      <c r="I26" s="62" t="e">
        <f>VLOOKUP($C26,Score!$B$2:$X$77,2,0)</f>
        <v>#N/A</v>
      </c>
      <c r="J26" s="62" t="e">
        <f>VLOOKUP($C26,Score!$B$2:$X$77,2,0)</f>
        <v>#N/A</v>
      </c>
      <c r="K26" s="62" t="e">
        <f>VLOOKUP($C26,Score!$B$2:$X$77,2,0)</f>
        <v>#N/A</v>
      </c>
      <c r="L26" s="62" t="e">
        <f>VLOOKUP($C26,Score!$B$2:$X$77,2,0)</f>
        <v>#N/A</v>
      </c>
      <c r="M26" s="62" t="e">
        <f>VLOOKUP($C26,Score!$B$2:$X$77,2,0)</f>
        <v>#N/A</v>
      </c>
      <c r="N26" s="62" t="e">
        <f>VLOOKUP($C26,Score!$B$2:$X$77,2,0)</f>
        <v>#N/A</v>
      </c>
      <c r="O26" s="62" t="e">
        <f>VLOOKUP($C26,Score!$B$2:$X$77,2,0)</f>
        <v>#N/A</v>
      </c>
      <c r="P26" s="62" t="e">
        <f>VLOOKUP($C26,Score!$B$2:$X$77,2,0)</f>
        <v>#N/A</v>
      </c>
      <c r="Q26" s="62" t="e">
        <f>VLOOKUP($C26,Score!$B$2:$X$77,2,0)</f>
        <v>#N/A</v>
      </c>
      <c r="R26" s="62" t="e">
        <f>VLOOKUP($C26,Score!$B$2:$X$77,2,0)</f>
        <v>#N/A</v>
      </c>
      <c r="S26" s="62" t="e">
        <f>VLOOKUP($C26,Score!$B$2:$X$77,2,0)</f>
        <v>#N/A</v>
      </c>
      <c r="T26" s="62" t="e">
        <f>VLOOKUP($C26,Score!$B$2:$X$77,2,0)</f>
        <v>#N/A</v>
      </c>
      <c r="U26" s="62" t="e">
        <f>VLOOKUP($C26,Score!$B$2:$X$77,2,0)</f>
        <v>#N/A</v>
      </c>
      <c r="V26" s="62" t="e">
        <f>VLOOKUP($C26,Score!$B$2:$X$77,2,0)</f>
        <v>#N/A</v>
      </c>
      <c r="W26" s="62" t="e">
        <f>VLOOKUP($C26,Score!$B$2:$X$77,2,0)</f>
        <v>#N/A</v>
      </c>
      <c r="X26" s="62" t="e">
        <f>VLOOKUP($C26,Score!$B$2:$X$77,2,0)</f>
        <v>#N/A</v>
      </c>
      <c r="Y26" s="62" t="e">
        <f>VLOOKUP($C26,Score!$B$2:$X$77,2,0)</f>
        <v>#N/A</v>
      </c>
      <c r="Z26" s="62" t="e">
        <f>VLOOKUP($C26,Score!$B$2:$X$77,2,0)</f>
        <v>#N/A</v>
      </c>
      <c r="AA26" s="62" t="e">
        <f>VLOOKUP($C26,Score!$B$2:$X$77,2,0)</f>
        <v>#N/A</v>
      </c>
    </row>
    <row r="27" spans="3:28" s="41" customFormat="1">
      <c r="C27" s="40"/>
      <c r="D27" s="40"/>
      <c r="E27" s="40"/>
      <c r="F27" s="40"/>
      <c r="G27" s="39"/>
      <c r="H27" s="40"/>
      <c r="I27" s="40"/>
      <c r="J27" s="40"/>
      <c r="K27" s="40"/>
      <c r="L27" s="40"/>
      <c r="M27" s="40"/>
      <c r="N27" s="40"/>
      <c r="O27" s="40"/>
      <c r="AA27" s="42"/>
    </row>
    <row r="28" spans="3:28" s="41" customFormat="1">
      <c r="C28" s="55"/>
      <c r="D28" s="55"/>
      <c r="E28" s="40"/>
      <c r="F28" s="40"/>
      <c r="G28" s="39"/>
      <c r="H28" s="40"/>
      <c r="I28" s="40"/>
      <c r="J28" s="40"/>
      <c r="K28" s="40"/>
      <c r="L28" s="40"/>
      <c r="M28" s="40"/>
      <c r="N28" s="40"/>
      <c r="O28" s="40"/>
      <c r="AA28" s="42"/>
    </row>
    <row r="29" spans="3:28" s="41" customFormat="1">
      <c r="C29" s="53"/>
      <c r="D29" s="53"/>
      <c r="E29" s="40"/>
      <c r="F29" s="40"/>
      <c r="G29" s="39"/>
      <c r="H29" s="40"/>
      <c r="I29" s="40"/>
      <c r="J29" s="40"/>
      <c r="K29" s="40"/>
      <c r="L29" s="40"/>
      <c r="M29" s="40"/>
      <c r="N29" s="40"/>
      <c r="O29" s="40"/>
      <c r="AA29" s="42"/>
    </row>
    <row r="30" spans="3:28" s="41" customFormat="1">
      <c r="C30" s="53"/>
      <c r="D30" s="53"/>
      <c r="E30" s="40"/>
      <c r="F30" s="40"/>
      <c r="G30" s="39"/>
      <c r="H30" s="40"/>
      <c r="I30" s="40"/>
      <c r="J30" s="40"/>
      <c r="K30" s="40"/>
      <c r="L30" s="40"/>
      <c r="M30" s="40"/>
      <c r="N30" s="40"/>
      <c r="O30" s="40"/>
      <c r="AA30" s="42"/>
    </row>
    <row r="31" spans="3:28" s="43" customFormat="1">
      <c r="C31" s="44"/>
      <c r="D31" s="44"/>
      <c r="E31" s="44"/>
      <c r="F31" s="44"/>
      <c r="G31" s="45"/>
      <c r="H31" s="44"/>
      <c r="I31" s="44"/>
      <c r="J31" s="44"/>
      <c r="K31" s="44"/>
      <c r="L31" s="44"/>
      <c r="M31" s="44"/>
      <c r="N31" s="44"/>
      <c r="O31" s="44"/>
      <c r="AA31" s="46"/>
    </row>
    <row r="44" spans="3:27" s="14" customFormat="1">
      <c r="C44" s="32"/>
      <c r="D44" s="32"/>
      <c r="E44" s="10"/>
      <c r="F44" s="10"/>
      <c r="G44" s="11"/>
      <c r="H44" s="12"/>
      <c r="I44" s="12"/>
      <c r="J44" s="12"/>
      <c r="K44" s="12"/>
      <c r="L44" s="12"/>
      <c r="M44" s="12"/>
      <c r="N44" s="12"/>
      <c r="O44" s="12"/>
      <c r="P44" s="13"/>
      <c r="AA44" s="15"/>
    </row>
    <row r="45" spans="3:27" s="14" customFormat="1">
      <c r="C45" s="32"/>
      <c r="D45" s="32"/>
      <c r="E45" s="10"/>
      <c r="F45" s="10"/>
      <c r="G45" s="11"/>
      <c r="H45" s="12"/>
      <c r="I45" s="12"/>
      <c r="J45" s="12"/>
      <c r="K45" s="12"/>
      <c r="L45" s="12"/>
      <c r="M45" s="12"/>
      <c r="N45" s="12"/>
      <c r="O45" s="12"/>
      <c r="P45" s="13"/>
      <c r="AA45" s="15"/>
    </row>
    <row r="46" spans="3:27" s="14" customFormat="1">
      <c r="C46" s="32"/>
      <c r="D46" s="32"/>
      <c r="E46" s="10"/>
      <c r="F46" s="10"/>
      <c r="G46" s="11"/>
      <c r="H46" s="12"/>
      <c r="I46" s="12"/>
      <c r="J46" s="12"/>
      <c r="K46" s="12"/>
      <c r="L46" s="12"/>
      <c r="M46" s="12"/>
      <c r="N46" s="12"/>
      <c r="O46" s="12"/>
      <c r="P46" s="13"/>
      <c r="AA46" s="15"/>
    </row>
    <row r="47" spans="3:27" s="14" customFormat="1">
      <c r="C47" s="32"/>
      <c r="D47" s="32"/>
      <c r="E47" s="10"/>
      <c r="F47" s="10"/>
      <c r="G47" s="11"/>
      <c r="H47" s="12"/>
      <c r="I47" s="12"/>
      <c r="J47" s="12"/>
      <c r="K47" s="12"/>
      <c r="L47" s="12"/>
      <c r="M47" s="12"/>
      <c r="N47" s="12"/>
      <c r="O47" s="12"/>
      <c r="P47" s="13"/>
      <c r="AA47" s="15"/>
    </row>
    <row r="48" spans="3:27" s="14" customFormat="1">
      <c r="C48" s="32"/>
      <c r="D48" s="32"/>
      <c r="E48" s="10"/>
      <c r="F48" s="10"/>
      <c r="G48" s="11"/>
      <c r="H48" s="12"/>
      <c r="I48" s="12"/>
      <c r="J48" s="12"/>
      <c r="K48" s="12"/>
      <c r="L48" s="12"/>
      <c r="M48" s="12"/>
      <c r="N48" s="12"/>
      <c r="O48" s="12"/>
      <c r="P48" s="13"/>
      <c r="AA48" s="15"/>
    </row>
    <row r="49" spans="3:27" s="14" customFormat="1">
      <c r="C49" s="32"/>
      <c r="D49" s="32"/>
      <c r="E49" s="10"/>
      <c r="F49" s="10"/>
      <c r="G49" s="11"/>
      <c r="H49" s="12"/>
      <c r="I49" s="12"/>
      <c r="J49" s="12"/>
      <c r="K49" s="12"/>
      <c r="L49" s="12"/>
      <c r="M49" s="12"/>
      <c r="N49" s="12"/>
      <c r="O49" s="12"/>
      <c r="P49" s="13"/>
      <c r="AA49" s="15"/>
    </row>
    <row r="50" spans="3:27" s="14" customFormat="1">
      <c r="C50" s="32"/>
      <c r="D50" s="32"/>
      <c r="E50" s="10"/>
      <c r="F50" s="10"/>
      <c r="G50" s="11"/>
      <c r="H50" s="12"/>
      <c r="I50" s="12"/>
      <c r="J50" s="12"/>
      <c r="K50" s="12"/>
      <c r="L50" s="12"/>
      <c r="M50" s="12"/>
      <c r="N50" s="12"/>
      <c r="O50" s="12"/>
      <c r="P50" s="13"/>
      <c r="AA50" s="15"/>
    </row>
    <row r="51" spans="3:27" s="14" customFormat="1">
      <c r="C51" s="32"/>
      <c r="D51" s="32"/>
      <c r="E51" s="10"/>
      <c r="F51" s="10"/>
      <c r="G51" s="11"/>
      <c r="H51" s="12"/>
      <c r="I51" s="12"/>
      <c r="J51" s="12"/>
      <c r="K51" s="12"/>
      <c r="L51" s="12"/>
      <c r="M51" s="12"/>
      <c r="N51" s="12"/>
      <c r="O51" s="12"/>
      <c r="P51" s="13"/>
      <c r="AA51" s="15"/>
    </row>
    <row r="52" spans="3:27" s="14" customFormat="1">
      <c r="C52" s="32"/>
      <c r="D52" s="32"/>
      <c r="E52" s="10"/>
      <c r="F52" s="10"/>
      <c r="G52" s="11"/>
      <c r="H52" s="12"/>
      <c r="I52" s="12"/>
      <c r="J52" s="12"/>
      <c r="K52" s="12"/>
      <c r="L52" s="12"/>
      <c r="M52" s="12"/>
      <c r="N52" s="12"/>
      <c r="O52" s="12"/>
      <c r="P52" s="13"/>
      <c r="AA52" s="15"/>
    </row>
    <row r="53" spans="3:27" s="14" customFormat="1">
      <c r="C53" s="32"/>
      <c r="D53" s="32"/>
      <c r="E53" s="10"/>
      <c r="F53" s="10"/>
      <c r="G53" s="11"/>
      <c r="H53" s="12"/>
      <c r="I53" s="12"/>
      <c r="J53" s="12"/>
      <c r="K53" s="12"/>
      <c r="L53" s="12"/>
      <c r="M53" s="12"/>
      <c r="N53" s="12"/>
      <c r="O53" s="12"/>
      <c r="P53" s="13"/>
      <c r="AA53" s="15"/>
    </row>
    <row r="54" spans="3:27" s="14" customFormat="1">
      <c r="C54" s="32"/>
      <c r="D54" s="32"/>
      <c r="E54" s="10"/>
      <c r="F54" s="10"/>
      <c r="G54" s="11"/>
      <c r="H54" s="12"/>
      <c r="I54" s="12"/>
      <c r="J54" s="12"/>
      <c r="K54" s="12"/>
      <c r="L54" s="12"/>
      <c r="M54" s="12"/>
      <c r="N54" s="12"/>
      <c r="O54" s="12"/>
      <c r="P54" s="13"/>
      <c r="AA54" s="15"/>
    </row>
    <row r="55" spans="3:27" s="14" customFormat="1">
      <c r="C55" s="32"/>
      <c r="D55" s="32"/>
      <c r="E55" s="10"/>
      <c r="F55" s="10"/>
      <c r="G55" s="11"/>
      <c r="H55" s="12"/>
      <c r="I55" s="12"/>
      <c r="J55" s="12"/>
      <c r="K55" s="12"/>
      <c r="L55" s="12"/>
      <c r="M55" s="12"/>
      <c r="N55" s="12"/>
      <c r="O55" s="12"/>
      <c r="P55" s="13"/>
      <c r="AA55" s="15"/>
    </row>
    <row r="56" spans="3:27" s="14" customFormat="1">
      <c r="C56" s="32"/>
      <c r="D56" s="32"/>
      <c r="E56" s="10"/>
      <c r="F56" s="10"/>
      <c r="G56" s="11"/>
      <c r="H56" s="12"/>
      <c r="I56" s="12"/>
      <c r="J56" s="12"/>
      <c r="K56" s="12"/>
      <c r="L56" s="12"/>
      <c r="M56" s="12"/>
      <c r="N56" s="12"/>
      <c r="O56" s="12"/>
      <c r="P56" s="13"/>
      <c r="AA56" s="15"/>
    </row>
  </sheetData>
  <phoneticPr fontId="0" type="noConversion"/>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sheetPr codeName="Blad19" enableFormatConditionsCalculation="0">
    <tabColor indexed="12"/>
  </sheetPr>
  <dimension ref="C1:AB71"/>
  <sheetViews>
    <sheetView showZeros="0" workbookViewId="0">
      <selection activeCell="Y31" sqref="Y31"/>
    </sheetView>
  </sheetViews>
  <sheetFormatPr defaultRowHeight="12.75"/>
  <cols>
    <col min="1" max="1" width="2.7109375" customWidth="1"/>
    <col min="2" max="2" width="3.42578125" customWidth="1"/>
    <col min="3" max="4" width="12.28515625" style="48" customWidth="1"/>
    <col min="5" max="6" width="5.28515625" style="2" customWidth="1"/>
    <col min="7" max="7" width="5.42578125" style="5" customWidth="1"/>
    <col min="8" max="15" width="5.42578125" style="3" customWidth="1"/>
    <col min="16" max="16" width="5.42578125" style="4" customWidth="1"/>
    <col min="17" max="25" width="5.42578125" customWidth="1"/>
    <col min="26" max="26" width="6.5703125" customWidth="1"/>
    <col min="27" max="27" width="6.28515625" style="1" customWidth="1"/>
    <col min="28" max="28" width="15" customWidth="1"/>
  </cols>
  <sheetData>
    <row r="1" spans="3:28">
      <c r="C1" s="1" t="s">
        <v>43</v>
      </c>
      <c r="D1" s="1"/>
    </row>
    <row r="2" spans="3:28">
      <c r="G2" s="3"/>
    </row>
    <row r="3" spans="3:28" s="4" customFormat="1" ht="13.5" thickBot="1">
      <c r="C3" s="31"/>
      <c r="D3" s="36"/>
      <c r="E3" s="9">
        <f>Score!C1</f>
        <v>1</v>
      </c>
      <c r="F3" s="9">
        <f>Score!E1</f>
        <v>3</v>
      </c>
      <c r="G3" s="9">
        <f>Score!F1</f>
        <v>4</v>
      </c>
      <c r="H3" s="9">
        <f>Score!G1</f>
        <v>5</v>
      </c>
      <c r="I3" s="9">
        <f>Score!H1</f>
        <v>6</v>
      </c>
      <c r="J3" s="9">
        <f>Score!I1</f>
        <v>7</v>
      </c>
      <c r="K3" s="9">
        <f>Score!J1</f>
        <v>8</v>
      </c>
      <c r="L3" s="9">
        <f>Score!K1</f>
        <v>9</v>
      </c>
      <c r="M3" s="9">
        <f>Score!L1</f>
        <v>10</v>
      </c>
      <c r="N3" s="9">
        <f>Score!M1</f>
        <v>11</v>
      </c>
      <c r="O3" s="9">
        <f>Score!N1</f>
        <v>12</v>
      </c>
      <c r="P3" s="9">
        <f>Score!O1</f>
        <v>13</v>
      </c>
      <c r="Q3" s="9">
        <f>Score!P1</f>
        <v>14</v>
      </c>
      <c r="R3" s="9">
        <f>Score!Q1</f>
        <v>15</v>
      </c>
      <c r="S3" s="9">
        <f>Score!R1</f>
        <v>16</v>
      </c>
      <c r="T3" s="9">
        <f>Score!S1</f>
        <v>17</v>
      </c>
      <c r="U3" s="9">
        <f>Score!T1</f>
        <v>18</v>
      </c>
      <c r="V3" s="9">
        <f>Score!U1</f>
        <v>19</v>
      </c>
      <c r="W3" s="9">
        <f>Score!V1</f>
        <v>20</v>
      </c>
      <c r="X3" s="9">
        <f>Score!W1</f>
        <v>21</v>
      </c>
      <c r="Y3" s="9" t="e">
        <f>Score!#REF!</f>
        <v>#REF!</v>
      </c>
      <c r="Z3" s="9" t="s">
        <v>2</v>
      </c>
      <c r="AA3" s="7"/>
    </row>
    <row r="4" spans="3:28">
      <c r="C4" s="71"/>
      <c r="D4" s="71"/>
      <c r="E4" s="2" t="e">
        <f>VLOOKUP($C4,Score!$B$2:$X$77,2,0)</f>
        <v>#N/A</v>
      </c>
      <c r="F4" s="2" t="e">
        <f>VLOOKUP($C4,Score!$B$2:$X$77,3,0)</f>
        <v>#N/A</v>
      </c>
      <c r="G4" s="2" t="e">
        <f>VLOOKUP($C4,Score!$B$2:$X$77,4,0)</f>
        <v>#N/A</v>
      </c>
      <c r="H4" s="2" t="e">
        <f>VLOOKUP($C4,Score!$B$2:$X$77,5,0)</f>
        <v>#N/A</v>
      </c>
      <c r="I4" s="2" t="e">
        <f>VLOOKUP($C4,Score!$B$2:$X$77,6,0)</f>
        <v>#N/A</v>
      </c>
      <c r="J4" s="2" t="e">
        <f>VLOOKUP($C4,Score!$B$2:$X$77,7,0)</f>
        <v>#N/A</v>
      </c>
      <c r="K4" s="2" t="e">
        <f>VLOOKUP($C4,Score!$B$2:$X$77,8,0)</f>
        <v>#N/A</v>
      </c>
      <c r="L4" s="2" t="e">
        <f>VLOOKUP($C4,Score!$B$2:$X$77,9,0)</f>
        <v>#N/A</v>
      </c>
      <c r="M4" s="2" t="e">
        <f>VLOOKUP($C4,Score!$B$2:$X$77,10,0)</f>
        <v>#N/A</v>
      </c>
      <c r="N4" s="2" t="e">
        <f>VLOOKUP($C4,Score!$B$2:$X$77,11,0)</f>
        <v>#N/A</v>
      </c>
      <c r="O4" s="2" t="e">
        <f>VLOOKUP($C4,Score!$B$2:$X$77,12,0)</f>
        <v>#N/A</v>
      </c>
      <c r="P4" s="2" t="e">
        <f>VLOOKUP($C4,Score!$B$2:$X$77,13,0)</f>
        <v>#N/A</v>
      </c>
      <c r="Q4" s="2" t="e">
        <f>VLOOKUP($C4,Score!$B$2:$X$77,14,0)</f>
        <v>#N/A</v>
      </c>
      <c r="R4" s="2" t="e">
        <f>VLOOKUP($C4,Score!$B$2:$X$77,15,0)</f>
        <v>#N/A</v>
      </c>
      <c r="S4" s="2" t="e">
        <f>VLOOKUP($C4,Score!$B$2:$X$77,16,0)</f>
        <v>#N/A</v>
      </c>
      <c r="T4" s="2" t="e">
        <f>VLOOKUP($C4,Score!$B$2:$X$77,17,0)</f>
        <v>#N/A</v>
      </c>
      <c r="U4" s="2" t="e">
        <f>VLOOKUP($C4,Score!$B$2:$X$77,18,0)</f>
        <v>#N/A</v>
      </c>
      <c r="V4" s="2" t="e">
        <f>VLOOKUP($C4,Score!$B$2:$X$77,19,0)</f>
        <v>#N/A</v>
      </c>
      <c r="W4" s="2" t="e">
        <f>VLOOKUP($C4,Score!$B$2:$X$77,20,0)</f>
        <v>#N/A</v>
      </c>
      <c r="X4" s="2" t="e">
        <f>VLOOKUP($C4,Score!$B$2:$Z$76,21,0)</f>
        <v>#N/A</v>
      </c>
      <c r="Y4" s="2" t="e">
        <f>VLOOKUP($C4,Score!$B$2:$Z$76,22,0)</f>
        <v>#N/A</v>
      </c>
      <c r="Z4" s="2" t="e">
        <f>VLOOKUP($C4,Score!$B$2:$Z$76,24,0)</f>
        <v>#N/A</v>
      </c>
      <c r="AA4" s="6" t="e">
        <f t="shared" ref="AA4:AA19" si="0">SUM(E4:Z4)</f>
        <v>#N/A</v>
      </c>
      <c r="AB4">
        <f>C4</f>
        <v>0</v>
      </c>
    </row>
    <row r="5" spans="3:28">
      <c r="C5"/>
      <c r="D5"/>
      <c r="E5" s="2" t="e">
        <f>VLOOKUP($C5,Score!$B$2:$X$77,2,0)</f>
        <v>#N/A</v>
      </c>
      <c r="F5" s="2" t="e">
        <f>VLOOKUP($C5,Score!$B$2:$X$77,3,0)</f>
        <v>#N/A</v>
      </c>
      <c r="G5" s="2" t="e">
        <f>VLOOKUP($C5,Score!$B$2:$X$77,4,0)</f>
        <v>#N/A</v>
      </c>
      <c r="H5" s="2" t="e">
        <f>VLOOKUP($C5,Score!$B$2:$X$77,5,0)</f>
        <v>#N/A</v>
      </c>
      <c r="I5" s="2" t="e">
        <f>VLOOKUP($C5,Score!$B$2:$X$77,6,0)</f>
        <v>#N/A</v>
      </c>
      <c r="J5" s="2" t="e">
        <f>VLOOKUP($C5,Score!$B$2:$X$77,7,0)</f>
        <v>#N/A</v>
      </c>
      <c r="K5" s="2" t="e">
        <f>VLOOKUP($C5,Score!$B$2:$X$77,8,0)</f>
        <v>#N/A</v>
      </c>
      <c r="L5" s="2" t="e">
        <f>VLOOKUP($C5,Score!$B$2:$X$77,9,0)</f>
        <v>#N/A</v>
      </c>
      <c r="M5" s="2" t="e">
        <f>VLOOKUP($C5,Score!$B$2:$X$77,10,0)</f>
        <v>#N/A</v>
      </c>
      <c r="N5" s="2" t="e">
        <f>VLOOKUP($C5,Score!$B$2:$X$77,11,0)</f>
        <v>#N/A</v>
      </c>
      <c r="O5" s="2" t="e">
        <f>VLOOKUP($C5,Score!$B$2:$X$77,12,0)</f>
        <v>#N/A</v>
      </c>
      <c r="P5" s="2" t="e">
        <f>VLOOKUP($C5,Score!$B$2:$X$77,13,0)</f>
        <v>#N/A</v>
      </c>
      <c r="Q5" s="2" t="e">
        <f>VLOOKUP($C5,Score!$B$2:$X$77,14,0)</f>
        <v>#N/A</v>
      </c>
      <c r="R5" s="2" t="e">
        <f>VLOOKUP($C5,Score!$B$2:$X$77,15,0)</f>
        <v>#N/A</v>
      </c>
      <c r="S5" s="2" t="e">
        <f>VLOOKUP($C5,Score!$B$2:$X$77,16,0)</f>
        <v>#N/A</v>
      </c>
      <c r="T5" s="2" t="e">
        <f>VLOOKUP($C5,Score!$B$2:$X$77,17,0)</f>
        <v>#N/A</v>
      </c>
      <c r="U5" s="2" t="e">
        <f>VLOOKUP($C5,Score!$B$2:$X$77,18,0)</f>
        <v>#N/A</v>
      </c>
      <c r="V5" s="2" t="e">
        <f>VLOOKUP($C5,Score!$B$2:$X$77,19,0)</f>
        <v>#N/A</v>
      </c>
      <c r="W5" s="2" t="e">
        <f>VLOOKUP($C5,Score!$B$2:$X$77,20,0)</f>
        <v>#N/A</v>
      </c>
      <c r="X5" s="2" t="e">
        <f>VLOOKUP($C5,Score!$B$2:$Z$76,21,0)</f>
        <v>#N/A</v>
      </c>
      <c r="Y5" s="2" t="e">
        <f>VLOOKUP($C5,Score!$B$2:$Z$76,22,0)</f>
        <v>#N/A</v>
      </c>
      <c r="Z5" s="2" t="e">
        <f>VLOOKUP($C5,Score!$B$2:$Z$76,24,0)</f>
        <v>#N/A</v>
      </c>
      <c r="AA5" s="6" t="e">
        <f t="shared" si="0"/>
        <v>#N/A</v>
      </c>
      <c r="AB5">
        <f t="shared" ref="AB5:AB20" si="1">C5</f>
        <v>0</v>
      </c>
    </row>
    <row r="6" spans="3:28">
      <c r="C6"/>
      <c r="D6"/>
      <c r="E6" s="2" t="e">
        <f>VLOOKUP($C6,Score!$B$2:$X$77,2,0)</f>
        <v>#N/A</v>
      </c>
      <c r="F6" s="2" t="e">
        <f>VLOOKUP($C6,Score!$B$2:$X$77,3,0)</f>
        <v>#N/A</v>
      </c>
      <c r="G6" s="2" t="e">
        <f>VLOOKUP($C6,Score!$B$2:$X$77,4,0)</f>
        <v>#N/A</v>
      </c>
      <c r="H6" s="2" t="e">
        <f>VLOOKUP($C6,Score!$B$2:$X$77,5,0)</f>
        <v>#N/A</v>
      </c>
      <c r="I6" s="2" t="e">
        <f>VLOOKUP($C6,Score!$B$2:$X$77,6,0)</f>
        <v>#N/A</v>
      </c>
      <c r="J6" s="2" t="e">
        <f>VLOOKUP($C6,Score!$B$2:$X$77,7,0)</f>
        <v>#N/A</v>
      </c>
      <c r="K6" s="2" t="e">
        <f>VLOOKUP($C6,Score!$B$2:$X$77,8,0)</f>
        <v>#N/A</v>
      </c>
      <c r="L6" s="2" t="e">
        <f>VLOOKUP($C6,Score!$B$2:$X$77,9,0)</f>
        <v>#N/A</v>
      </c>
      <c r="M6" s="2" t="e">
        <f>VLOOKUP($C6,Score!$B$2:$X$77,10,0)</f>
        <v>#N/A</v>
      </c>
      <c r="N6" s="2" t="e">
        <f>VLOOKUP($C6,Score!$B$2:$X$77,11,0)</f>
        <v>#N/A</v>
      </c>
      <c r="O6" s="2" t="e">
        <f>VLOOKUP($C6,Score!$B$2:$X$77,12,0)</f>
        <v>#N/A</v>
      </c>
      <c r="P6" s="2" t="e">
        <f>VLOOKUP($C6,Score!$B$2:$X$77,13,0)</f>
        <v>#N/A</v>
      </c>
      <c r="Q6" s="2" t="e">
        <f>VLOOKUP($C6,Score!$B$2:$X$77,14,0)</f>
        <v>#N/A</v>
      </c>
      <c r="R6" s="2" t="e">
        <f>VLOOKUP($C6,Score!$B$2:$X$77,15,0)</f>
        <v>#N/A</v>
      </c>
      <c r="S6" s="2" t="e">
        <f>VLOOKUP($C6,Score!$B$2:$X$77,16,0)</f>
        <v>#N/A</v>
      </c>
      <c r="T6" s="2" t="e">
        <f>VLOOKUP($C6,Score!$B$2:$X$77,17,0)</f>
        <v>#N/A</v>
      </c>
      <c r="U6" s="2" t="e">
        <f>VLOOKUP($C6,Score!$B$2:$X$77,18,0)</f>
        <v>#N/A</v>
      </c>
      <c r="V6" s="2" t="e">
        <f>VLOOKUP($C6,Score!$B$2:$X$77,19,0)</f>
        <v>#N/A</v>
      </c>
      <c r="W6" s="2" t="e">
        <f>VLOOKUP($C6,Score!$B$2:$X$77,20,0)</f>
        <v>#N/A</v>
      </c>
      <c r="X6" s="2" t="e">
        <f>VLOOKUP($C6,Score!$B$2:$Z$76,21,0)</f>
        <v>#N/A</v>
      </c>
      <c r="Y6" s="2" t="e">
        <f>VLOOKUP($C6,Score!$B$2:$Z$76,22,0)</f>
        <v>#N/A</v>
      </c>
      <c r="Z6" s="2" t="e">
        <f>VLOOKUP($C6,Score!$B$2:$Z$76,24,0)</f>
        <v>#N/A</v>
      </c>
      <c r="AA6" s="6" t="e">
        <f t="shared" si="0"/>
        <v>#N/A</v>
      </c>
      <c r="AB6">
        <f t="shared" si="1"/>
        <v>0</v>
      </c>
    </row>
    <row r="7" spans="3:28">
      <c r="C7"/>
      <c r="D7"/>
      <c r="E7" s="2" t="e">
        <f>VLOOKUP($C7,Score!$B$2:$X$77,2,0)</f>
        <v>#N/A</v>
      </c>
      <c r="F7" s="2" t="e">
        <f>VLOOKUP($C7,Score!$B$2:$X$77,3,0)</f>
        <v>#N/A</v>
      </c>
      <c r="G7" s="2" t="e">
        <f>VLOOKUP($C7,Score!$B$2:$X$77,4,0)</f>
        <v>#N/A</v>
      </c>
      <c r="H7" s="2" t="e">
        <f>VLOOKUP($C7,Score!$B$2:$X$77,5,0)</f>
        <v>#N/A</v>
      </c>
      <c r="I7" s="2" t="e">
        <f>VLOOKUP($C7,Score!$B$2:$X$77,6,0)</f>
        <v>#N/A</v>
      </c>
      <c r="J7" s="2" t="e">
        <f>VLOOKUP($C7,Score!$B$2:$X$77,7,0)</f>
        <v>#N/A</v>
      </c>
      <c r="K7" s="2" t="e">
        <f>VLOOKUP($C7,Score!$B$2:$X$77,8,0)</f>
        <v>#N/A</v>
      </c>
      <c r="L7" s="2" t="e">
        <f>VLOOKUP($C7,Score!$B$2:$X$77,9,0)</f>
        <v>#N/A</v>
      </c>
      <c r="M7" s="2" t="e">
        <f>VLOOKUP($C7,Score!$B$2:$X$77,10,0)</f>
        <v>#N/A</v>
      </c>
      <c r="N7" s="2" t="e">
        <f>VLOOKUP($C7,Score!$B$2:$X$77,11,0)</f>
        <v>#N/A</v>
      </c>
      <c r="O7" s="2" t="e">
        <f>VLOOKUP($C7,Score!$B$2:$X$77,12,0)</f>
        <v>#N/A</v>
      </c>
      <c r="P7" s="2" t="e">
        <f>VLOOKUP($C7,Score!$B$2:$X$77,13,0)</f>
        <v>#N/A</v>
      </c>
      <c r="Q7" s="2" t="e">
        <f>VLOOKUP($C7,Score!$B$2:$X$77,14,0)</f>
        <v>#N/A</v>
      </c>
      <c r="R7" s="2" t="e">
        <f>VLOOKUP($C7,Score!$B$2:$X$77,15,0)</f>
        <v>#N/A</v>
      </c>
      <c r="S7" s="2" t="e">
        <f>VLOOKUP($C7,Score!$B$2:$X$77,16,0)</f>
        <v>#N/A</v>
      </c>
      <c r="T7" s="2" t="e">
        <f>VLOOKUP($C7,Score!$B$2:$X$77,17,0)</f>
        <v>#N/A</v>
      </c>
      <c r="U7" s="2" t="e">
        <f>VLOOKUP($C7,Score!$B$2:$X$77,18,0)</f>
        <v>#N/A</v>
      </c>
      <c r="V7" s="2" t="e">
        <f>VLOOKUP($C7,Score!$B$2:$X$77,19,0)</f>
        <v>#N/A</v>
      </c>
      <c r="W7" s="2" t="e">
        <f>VLOOKUP($C7,Score!$B$2:$X$77,20,0)</f>
        <v>#N/A</v>
      </c>
      <c r="X7" s="2" t="e">
        <f>VLOOKUP($C7,Score!$B$2:$Z$76,21,0)</f>
        <v>#N/A</v>
      </c>
      <c r="Y7" s="2" t="e">
        <f>VLOOKUP($C7,Score!$B$2:$Z$76,22,0)</f>
        <v>#N/A</v>
      </c>
      <c r="Z7" s="2" t="e">
        <f>VLOOKUP($C7,Score!$B$2:$Z$76,24,0)</f>
        <v>#N/A</v>
      </c>
      <c r="AA7" s="6" t="e">
        <f t="shared" si="0"/>
        <v>#N/A</v>
      </c>
      <c r="AB7">
        <f t="shared" si="1"/>
        <v>0</v>
      </c>
    </row>
    <row r="8" spans="3:28">
      <c r="C8"/>
      <c r="D8"/>
      <c r="E8" s="2" t="e">
        <f>VLOOKUP($C8,Score!$B$2:$X$77,2,0)</f>
        <v>#N/A</v>
      </c>
      <c r="F8" s="2" t="e">
        <f>VLOOKUP($C8,Score!$B$2:$X$77,3,0)</f>
        <v>#N/A</v>
      </c>
      <c r="G8" s="2" t="e">
        <f>VLOOKUP($C8,Score!$B$2:$X$77,4,0)</f>
        <v>#N/A</v>
      </c>
      <c r="H8" s="2" t="e">
        <f>VLOOKUP($C8,Score!$B$2:$X$77,5,0)</f>
        <v>#N/A</v>
      </c>
      <c r="I8" s="2" t="e">
        <f>VLOOKUP($C8,Score!$B$2:$X$77,6,0)</f>
        <v>#N/A</v>
      </c>
      <c r="J8" s="2" t="e">
        <f>VLOOKUP($C8,Score!$B$2:$X$77,7,0)</f>
        <v>#N/A</v>
      </c>
      <c r="K8" s="2" t="e">
        <f>VLOOKUP($C8,Score!$B$2:$X$77,8,0)</f>
        <v>#N/A</v>
      </c>
      <c r="L8" s="2" t="e">
        <f>VLOOKUP($C8,Score!$B$2:$X$77,9,0)</f>
        <v>#N/A</v>
      </c>
      <c r="M8" s="2" t="e">
        <f>VLOOKUP($C8,Score!$B$2:$X$77,10,0)</f>
        <v>#N/A</v>
      </c>
      <c r="N8" s="2" t="e">
        <f>VLOOKUP($C8,Score!$B$2:$X$77,11,0)</f>
        <v>#N/A</v>
      </c>
      <c r="O8" s="2" t="e">
        <f>VLOOKUP($C8,Score!$B$2:$X$77,12,0)</f>
        <v>#N/A</v>
      </c>
      <c r="P8" s="2" t="e">
        <f>VLOOKUP($C8,Score!$B$2:$X$77,13,0)</f>
        <v>#N/A</v>
      </c>
      <c r="Q8" s="2" t="e">
        <f>VLOOKUP($C8,Score!$B$2:$X$77,14,0)</f>
        <v>#N/A</v>
      </c>
      <c r="R8" s="2" t="e">
        <f>VLOOKUP($C8,Score!$B$2:$X$77,15,0)</f>
        <v>#N/A</v>
      </c>
      <c r="S8" s="2" t="e">
        <f>VLOOKUP($C8,Score!$B$2:$X$77,16,0)</f>
        <v>#N/A</v>
      </c>
      <c r="T8" s="2" t="e">
        <f>VLOOKUP($C8,Score!$B$2:$X$77,17,0)</f>
        <v>#N/A</v>
      </c>
      <c r="U8" s="2" t="e">
        <f>VLOOKUP($C8,Score!$B$2:$X$77,18,0)</f>
        <v>#N/A</v>
      </c>
      <c r="V8" s="2" t="e">
        <f>VLOOKUP($C8,Score!$B$2:$X$77,19,0)</f>
        <v>#N/A</v>
      </c>
      <c r="W8" s="2" t="e">
        <f>VLOOKUP($C8,Score!$B$2:$X$77,20,0)</f>
        <v>#N/A</v>
      </c>
      <c r="X8" s="2" t="e">
        <f>VLOOKUP($C8,Score!$B$2:$Z$76,21,0)</f>
        <v>#N/A</v>
      </c>
      <c r="Y8" s="2" t="e">
        <f>VLOOKUP($C8,Score!$B$2:$Z$76,22,0)</f>
        <v>#N/A</v>
      </c>
      <c r="Z8" s="2" t="e">
        <f>VLOOKUP($C8,Score!$B$2:$Z$76,24,0)</f>
        <v>#N/A</v>
      </c>
      <c r="AA8" s="6" t="e">
        <f t="shared" si="0"/>
        <v>#N/A</v>
      </c>
      <c r="AB8">
        <f t="shared" si="1"/>
        <v>0</v>
      </c>
    </row>
    <row r="9" spans="3:28">
      <c r="C9"/>
      <c r="D9"/>
      <c r="E9" s="2" t="e">
        <f>VLOOKUP($C9,Score!$B$2:$X$77,2,0)</f>
        <v>#N/A</v>
      </c>
      <c r="F9" s="2" t="e">
        <f>VLOOKUP($C9,Score!$B$2:$X$77,3,0)</f>
        <v>#N/A</v>
      </c>
      <c r="G9" s="2" t="e">
        <f>VLOOKUP($C9,Score!$B$2:$X$77,4,0)</f>
        <v>#N/A</v>
      </c>
      <c r="H9" s="2" t="e">
        <f>VLOOKUP($C9,Score!$B$2:$X$77,5,0)</f>
        <v>#N/A</v>
      </c>
      <c r="I9" s="2" t="e">
        <f>VLOOKUP($C9,Score!$B$2:$X$77,6,0)</f>
        <v>#N/A</v>
      </c>
      <c r="J9" s="2" t="e">
        <f>VLOOKUP($C9,Score!$B$2:$X$77,7,0)</f>
        <v>#N/A</v>
      </c>
      <c r="K9" s="2" t="e">
        <f>VLOOKUP($C9,Score!$B$2:$X$77,8,0)</f>
        <v>#N/A</v>
      </c>
      <c r="L9" s="2" t="e">
        <f>VLOOKUP($C9,Score!$B$2:$X$77,9,0)</f>
        <v>#N/A</v>
      </c>
      <c r="M9" s="2" t="e">
        <f>VLOOKUP($C9,Score!$B$2:$X$77,10,0)</f>
        <v>#N/A</v>
      </c>
      <c r="N9" s="2" t="e">
        <f>VLOOKUP($C9,Score!$B$2:$X$77,11,0)</f>
        <v>#N/A</v>
      </c>
      <c r="O9" s="2" t="e">
        <f>VLOOKUP($C9,Score!$B$2:$X$77,12,0)</f>
        <v>#N/A</v>
      </c>
      <c r="P9" s="2" t="e">
        <f>VLOOKUP($C9,Score!$B$2:$X$77,13,0)</f>
        <v>#N/A</v>
      </c>
      <c r="Q9" s="2" t="e">
        <f>VLOOKUP($C9,Score!$B$2:$X$77,14,0)</f>
        <v>#N/A</v>
      </c>
      <c r="R9" s="2" t="e">
        <f>VLOOKUP($C9,Score!$B$2:$X$77,15,0)</f>
        <v>#N/A</v>
      </c>
      <c r="S9" s="2" t="e">
        <f>VLOOKUP($C9,Score!$B$2:$X$77,16,0)</f>
        <v>#N/A</v>
      </c>
      <c r="T9" s="2" t="e">
        <f>VLOOKUP($C9,Score!$B$2:$X$77,17,0)</f>
        <v>#N/A</v>
      </c>
      <c r="U9" s="2" t="e">
        <f>VLOOKUP($C9,Score!$B$2:$X$77,18,0)</f>
        <v>#N/A</v>
      </c>
      <c r="V9" s="2" t="e">
        <f>VLOOKUP($C9,Score!$B$2:$X$77,19,0)</f>
        <v>#N/A</v>
      </c>
      <c r="W9" s="2" t="e">
        <f>VLOOKUP($C9,Score!$B$2:$X$77,20,0)</f>
        <v>#N/A</v>
      </c>
      <c r="X9" s="2" t="e">
        <f>VLOOKUP($C9,Score!$B$2:$Z$76,21,0)</f>
        <v>#N/A</v>
      </c>
      <c r="Y9" s="2" t="e">
        <f>VLOOKUP($C9,Score!$B$2:$Z$76,22,0)</f>
        <v>#N/A</v>
      </c>
      <c r="Z9" s="2" t="e">
        <f>VLOOKUP($C9,Score!$B$2:$Z$76,24,0)</f>
        <v>#N/A</v>
      </c>
      <c r="AA9" s="6" t="e">
        <f t="shared" si="0"/>
        <v>#N/A</v>
      </c>
      <c r="AB9">
        <f t="shared" si="1"/>
        <v>0</v>
      </c>
    </row>
    <row r="10" spans="3:28">
      <c r="C10"/>
      <c r="D10"/>
      <c r="E10" s="2" t="e">
        <f>VLOOKUP($C10,Score!$B$2:$X$77,2,0)</f>
        <v>#N/A</v>
      </c>
      <c r="F10" s="2" t="e">
        <f>VLOOKUP($C10,Score!$B$2:$X$77,3,0)</f>
        <v>#N/A</v>
      </c>
      <c r="G10" s="2" t="e">
        <f>VLOOKUP($C10,Score!$B$2:$X$77,4,0)</f>
        <v>#N/A</v>
      </c>
      <c r="H10" s="2" t="e">
        <f>VLOOKUP($C10,Score!$B$2:$X$77,5,0)</f>
        <v>#N/A</v>
      </c>
      <c r="I10" s="2" t="e">
        <f>VLOOKUP($C10,Score!$B$2:$X$77,6,0)</f>
        <v>#N/A</v>
      </c>
      <c r="J10" s="2" t="e">
        <f>VLOOKUP($C10,Score!$B$2:$X$77,7,0)</f>
        <v>#N/A</v>
      </c>
      <c r="K10" s="2" t="e">
        <f>VLOOKUP($C10,Score!$B$2:$X$77,8,0)</f>
        <v>#N/A</v>
      </c>
      <c r="L10" s="2" t="e">
        <f>VLOOKUP($C10,Score!$B$2:$X$77,9,0)</f>
        <v>#N/A</v>
      </c>
      <c r="M10" s="2" t="e">
        <f>VLOOKUP($C10,Score!$B$2:$X$77,10,0)</f>
        <v>#N/A</v>
      </c>
      <c r="N10" s="2" t="e">
        <f>VLOOKUP($C10,Score!$B$2:$X$77,11,0)</f>
        <v>#N/A</v>
      </c>
      <c r="O10" s="2" t="e">
        <f>VLOOKUP($C10,Score!$B$2:$X$77,12,0)</f>
        <v>#N/A</v>
      </c>
      <c r="P10" s="2" t="e">
        <f>VLOOKUP($C10,Score!$B$2:$X$77,13,0)</f>
        <v>#N/A</v>
      </c>
      <c r="Q10" s="2" t="e">
        <f>VLOOKUP($C10,Score!$B$2:$X$77,14,0)</f>
        <v>#N/A</v>
      </c>
      <c r="R10" s="2" t="e">
        <f>VLOOKUP($C10,Score!$B$2:$X$77,15,0)</f>
        <v>#N/A</v>
      </c>
      <c r="S10" s="2" t="e">
        <f>VLOOKUP($C10,Score!$B$2:$X$77,16,0)</f>
        <v>#N/A</v>
      </c>
      <c r="T10" s="2" t="e">
        <f>VLOOKUP($C10,Score!$B$2:$X$77,17,0)</f>
        <v>#N/A</v>
      </c>
      <c r="U10" s="2" t="e">
        <f>VLOOKUP($C10,Score!$B$2:$X$77,18,0)</f>
        <v>#N/A</v>
      </c>
      <c r="V10" s="2" t="e">
        <f>VLOOKUP($C10,Score!$B$2:$X$77,19,0)</f>
        <v>#N/A</v>
      </c>
      <c r="W10" s="2" t="e">
        <f>VLOOKUP($C10,Score!$B$2:$X$77,20,0)</f>
        <v>#N/A</v>
      </c>
      <c r="X10" s="2" t="e">
        <f>VLOOKUP($C10,Score!$B$2:$Z$76,21,0)</f>
        <v>#N/A</v>
      </c>
      <c r="Y10" s="2" t="e">
        <f>VLOOKUP($C10,Score!$B$2:$Z$76,22,0)</f>
        <v>#N/A</v>
      </c>
      <c r="Z10" s="2" t="e">
        <f>VLOOKUP($C10,Score!$B$2:$Z$76,24,0)</f>
        <v>#N/A</v>
      </c>
      <c r="AA10" s="6" t="e">
        <f t="shared" si="0"/>
        <v>#N/A</v>
      </c>
      <c r="AB10">
        <f t="shared" si="1"/>
        <v>0</v>
      </c>
    </row>
    <row r="11" spans="3:28">
      <c r="C11"/>
      <c r="D11"/>
      <c r="E11" s="2" t="e">
        <f>VLOOKUP($C11,Score!$B$2:$X$77,2,0)</f>
        <v>#N/A</v>
      </c>
      <c r="F11" s="2" t="e">
        <f>VLOOKUP($C11,Score!$B$2:$X$77,3,0)</f>
        <v>#N/A</v>
      </c>
      <c r="G11" s="2" t="e">
        <f>VLOOKUP($C11,Score!$B$2:$X$77,4,0)</f>
        <v>#N/A</v>
      </c>
      <c r="H11" s="2" t="e">
        <f>VLOOKUP($C11,Score!$B$2:$X$77,5,0)</f>
        <v>#N/A</v>
      </c>
      <c r="I11" s="2" t="e">
        <f>VLOOKUP($C11,Score!$B$2:$X$77,6,0)</f>
        <v>#N/A</v>
      </c>
      <c r="J11" s="2" t="e">
        <f>VLOOKUP($C11,Score!$B$2:$X$77,7,0)</f>
        <v>#N/A</v>
      </c>
      <c r="K11" s="2" t="e">
        <f>VLOOKUP($C11,Score!$B$2:$X$77,8,0)</f>
        <v>#N/A</v>
      </c>
      <c r="L11" s="2" t="e">
        <f>VLOOKUP($C11,Score!$B$2:$X$77,9,0)</f>
        <v>#N/A</v>
      </c>
      <c r="M11" s="2" t="e">
        <f>VLOOKUP($C11,Score!$B$2:$X$77,10,0)</f>
        <v>#N/A</v>
      </c>
      <c r="N11" s="2" t="e">
        <f>VLOOKUP($C11,Score!$B$2:$X$77,11,0)</f>
        <v>#N/A</v>
      </c>
      <c r="O11" s="2" t="e">
        <f>VLOOKUP($C11,Score!$B$2:$X$77,12,0)</f>
        <v>#N/A</v>
      </c>
      <c r="P11" s="2" t="e">
        <f>VLOOKUP($C11,Score!$B$2:$X$77,13,0)</f>
        <v>#N/A</v>
      </c>
      <c r="Q11" s="2" t="e">
        <f>VLOOKUP($C11,Score!$B$2:$X$77,14,0)</f>
        <v>#N/A</v>
      </c>
      <c r="R11" s="2" t="e">
        <f>VLOOKUP($C11,Score!$B$2:$X$77,15,0)</f>
        <v>#N/A</v>
      </c>
      <c r="S11" s="2" t="e">
        <f>VLOOKUP($C11,Score!$B$2:$X$77,16,0)</f>
        <v>#N/A</v>
      </c>
      <c r="T11" s="2" t="e">
        <f>VLOOKUP($C11,Score!$B$2:$X$77,17,0)</f>
        <v>#N/A</v>
      </c>
      <c r="U11" s="2" t="e">
        <f>VLOOKUP($C11,Score!$B$2:$X$77,18,0)</f>
        <v>#N/A</v>
      </c>
      <c r="V11" s="2" t="e">
        <f>VLOOKUP($C11,Score!$B$2:$X$77,19,0)</f>
        <v>#N/A</v>
      </c>
      <c r="W11" s="2" t="e">
        <f>VLOOKUP($C11,Score!$B$2:$X$77,20,0)</f>
        <v>#N/A</v>
      </c>
      <c r="X11" s="2" t="e">
        <f>VLOOKUP($C11,Score!$B$2:$Z$76,21,0)</f>
        <v>#N/A</v>
      </c>
      <c r="Y11" s="2" t="e">
        <f>VLOOKUP($C11,Score!$B$2:$Z$76,22,0)</f>
        <v>#N/A</v>
      </c>
      <c r="Z11" s="2" t="e">
        <f>VLOOKUP($C11,Score!$B$2:$Z$76,24,0)</f>
        <v>#N/A</v>
      </c>
      <c r="AA11" s="6" t="e">
        <f t="shared" si="0"/>
        <v>#N/A</v>
      </c>
      <c r="AB11">
        <f t="shared" si="1"/>
        <v>0</v>
      </c>
    </row>
    <row r="12" spans="3:28">
      <c r="C12"/>
      <c r="D12"/>
      <c r="E12" s="2" t="e">
        <f>VLOOKUP($C12,Score!$B$2:$X$77,2,0)</f>
        <v>#N/A</v>
      </c>
      <c r="F12" s="2" t="e">
        <f>VLOOKUP($C12,Score!$B$2:$X$77,3,0)</f>
        <v>#N/A</v>
      </c>
      <c r="G12" s="2" t="e">
        <f>VLOOKUP($C12,Score!$B$2:$X$77,4,0)</f>
        <v>#N/A</v>
      </c>
      <c r="H12" s="2" t="e">
        <f>VLOOKUP($C12,Score!$B$2:$X$77,5,0)</f>
        <v>#N/A</v>
      </c>
      <c r="I12" s="2" t="e">
        <f>VLOOKUP($C12,Score!$B$2:$X$77,6,0)</f>
        <v>#N/A</v>
      </c>
      <c r="J12" s="2" t="e">
        <f>VLOOKUP($C12,Score!$B$2:$X$77,7,0)</f>
        <v>#N/A</v>
      </c>
      <c r="K12" s="2" t="e">
        <f>VLOOKUP($C12,Score!$B$2:$X$77,8,0)</f>
        <v>#N/A</v>
      </c>
      <c r="L12" s="2" t="e">
        <f>VLOOKUP($C12,Score!$B$2:$X$77,9,0)</f>
        <v>#N/A</v>
      </c>
      <c r="M12" s="2" t="e">
        <f>VLOOKUP($C12,Score!$B$2:$X$77,10,0)</f>
        <v>#N/A</v>
      </c>
      <c r="N12" s="2" t="e">
        <f>VLOOKUP($C12,Score!$B$2:$X$77,11,0)</f>
        <v>#N/A</v>
      </c>
      <c r="O12" s="2" t="e">
        <f>VLOOKUP($C12,Score!$B$2:$X$77,12,0)</f>
        <v>#N/A</v>
      </c>
      <c r="P12" s="2" t="e">
        <f>VLOOKUP($C12,Score!$B$2:$X$77,13,0)</f>
        <v>#N/A</v>
      </c>
      <c r="Q12" s="2" t="e">
        <f>VLOOKUP($C12,Score!$B$2:$X$77,14,0)</f>
        <v>#N/A</v>
      </c>
      <c r="R12" s="2" t="e">
        <f>VLOOKUP($C12,Score!$B$2:$X$77,15,0)</f>
        <v>#N/A</v>
      </c>
      <c r="S12" s="2" t="e">
        <f>VLOOKUP($C12,Score!$B$2:$X$77,16,0)</f>
        <v>#N/A</v>
      </c>
      <c r="T12" s="2" t="e">
        <f>VLOOKUP($C12,Score!$B$2:$X$77,17,0)</f>
        <v>#N/A</v>
      </c>
      <c r="U12" s="2" t="e">
        <f>VLOOKUP($C12,Score!$B$2:$X$77,18,0)</f>
        <v>#N/A</v>
      </c>
      <c r="V12" s="2" t="e">
        <f>VLOOKUP($C12,Score!$B$2:$X$77,19,0)</f>
        <v>#N/A</v>
      </c>
      <c r="W12" s="2" t="e">
        <f>VLOOKUP($C12,Score!$B$2:$X$77,20,0)</f>
        <v>#N/A</v>
      </c>
      <c r="X12" s="2" t="e">
        <f>VLOOKUP($C12,Score!$B$2:$Z$76,21,0)</f>
        <v>#N/A</v>
      </c>
      <c r="Y12" s="2" t="e">
        <f>VLOOKUP($C12,Score!$B$2:$Z$76,22,0)</f>
        <v>#N/A</v>
      </c>
      <c r="Z12" s="2" t="e">
        <f>VLOOKUP($C12,Score!$B$2:$Z$76,24,0)</f>
        <v>#N/A</v>
      </c>
      <c r="AA12" s="6" t="e">
        <f t="shared" si="0"/>
        <v>#N/A</v>
      </c>
      <c r="AB12">
        <f t="shared" si="1"/>
        <v>0</v>
      </c>
    </row>
    <row r="13" spans="3:28">
      <c r="C13"/>
      <c r="D13"/>
      <c r="E13" s="2" t="e">
        <f>VLOOKUP($C13,Score!$B$2:$X$77,2,0)</f>
        <v>#N/A</v>
      </c>
      <c r="F13" s="2" t="e">
        <f>VLOOKUP($C13,Score!$B$2:$X$77,3,0)</f>
        <v>#N/A</v>
      </c>
      <c r="G13" s="2" t="e">
        <f>VLOOKUP($C13,Score!$B$2:$X$77,4,0)</f>
        <v>#N/A</v>
      </c>
      <c r="H13" s="2" t="e">
        <f>VLOOKUP($C13,Score!$B$2:$X$77,5,0)</f>
        <v>#N/A</v>
      </c>
      <c r="I13" s="2" t="e">
        <f>VLOOKUP($C13,Score!$B$2:$X$77,6,0)</f>
        <v>#N/A</v>
      </c>
      <c r="J13" s="2" t="e">
        <f>VLOOKUP($C13,Score!$B$2:$X$77,7,0)</f>
        <v>#N/A</v>
      </c>
      <c r="K13" s="2" t="e">
        <f>VLOOKUP($C13,Score!$B$2:$X$77,8,0)</f>
        <v>#N/A</v>
      </c>
      <c r="L13" s="2" t="e">
        <f>VLOOKUP($C13,Score!$B$2:$X$77,9,0)</f>
        <v>#N/A</v>
      </c>
      <c r="M13" s="2" t="e">
        <f>VLOOKUP($C13,Score!$B$2:$X$77,10,0)</f>
        <v>#N/A</v>
      </c>
      <c r="N13" s="2" t="e">
        <f>VLOOKUP($C13,Score!$B$2:$X$77,11,0)</f>
        <v>#N/A</v>
      </c>
      <c r="O13" s="2" t="e">
        <f>VLOOKUP($C13,Score!$B$2:$X$77,12,0)</f>
        <v>#N/A</v>
      </c>
      <c r="P13" s="2" t="e">
        <f>VLOOKUP($C13,Score!$B$2:$X$77,13,0)</f>
        <v>#N/A</v>
      </c>
      <c r="Q13" s="2" t="e">
        <f>VLOOKUP($C13,Score!$B$2:$X$77,14,0)</f>
        <v>#N/A</v>
      </c>
      <c r="R13" s="2" t="e">
        <f>VLOOKUP($C13,Score!$B$2:$X$77,15,0)</f>
        <v>#N/A</v>
      </c>
      <c r="S13" s="2" t="e">
        <f>VLOOKUP($C13,Score!$B$2:$X$77,16,0)</f>
        <v>#N/A</v>
      </c>
      <c r="T13" s="2" t="e">
        <f>VLOOKUP($C13,Score!$B$2:$X$77,17,0)</f>
        <v>#N/A</v>
      </c>
      <c r="U13" s="2" t="e">
        <f>VLOOKUP($C13,Score!$B$2:$X$77,18,0)</f>
        <v>#N/A</v>
      </c>
      <c r="V13" s="2" t="e">
        <f>VLOOKUP($C13,Score!$B$2:$X$77,19,0)</f>
        <v>#N/A</v>
      </c>
      <c r="W13" s="2" t="e">
        <f>VLOOKUP($C13,Score!$B$2:$X$77,20,0)</f>
        <v>#N/A</v>
      </c>
      <c r="X13" s="2" t="e">
        <f>VLOOKUP($C13,Score!$B$2:$Z$76,21,0)</f>
        <v>#N/A</v>
      </c>
      <c r="Y13" s="2" t="e">
        <f>VLOOKUP($C13,Score!$B$2:$Z$76,22,0)</f>
        <v>#N/A</v>
      </c>
      <c r="Z13" s="2" t="e">
        <f>VLOOKUP($C13,Score!$B$2:$Z$76,24,0)</f>
        <v>#N/A</v>
      </c>
      <c r="AA13" s="6" t="e">
        <f t="shared" si="0"/>
        <v>#N/A</v>
      </c>
      <c r="AB13">
        <f t="shared" si="1"/>
        <v>0</v>
      </c>
    </row>
    <row r="14" spans="3:28">
      <c r="C14"/>
      <c r="D14"/>
      <c r="E14" s="2" t="e">
        <f>VLOOKUP($C14,Score!$B$2:$X$77,2,0)</f>
        <v>#N/A</v>
      </c>
      <c r="F14" s="2" t="e">
        <f>VLOOKUP($C14,Score!$B$2:$X$77,3,0)</f>
        <v>#N/A</v>
      </c>
      <c r="G14" s="2" t="e">
        <f>VLOOKUP($C14,Score!$B$2:$X$77,4,0)</f>
        <v>#N/A</v>
      </c>
      <c r="H14" s="2" t="e">
        <f>VLOOKUP($C14,Score!$B$2:$X$77,5,0)</f>
        <v>#N/A</v>
      </c>
      <c r="I14" s="2" t="e">
        <f>VLOOKUP($C14,Score!$B$2:$X$77,6,0)</f>
        <v>#N/A</v>
      </c>
      <c r="J14" s="2" t="e">
        <f>VLOOKUP($C14,Score!$B$2:$X$77,7,0)</f>
        <v>#N/A</v>
      </c>
      <c r="K14" s="2" t="e">
        <f>VLOOKUP($C14,Score!$B$2:$X$77,8,0)</f>
        <v>#N/A</v>
      </c>
      <c r="L14" s="2" t="e">
        <f>VLOOKUP($C14,Score!$B$2:$X$77,9,0)</f>
        <v>#N/A</v>
      </c>
      <c r="M14" s="2" t="e">
        <f>VLOOKUP($C14,Score!$B$2:$X$77,10,0)</f>
        <v>#N/A</v>
      </c>
      <c r="N14" s="2" t="e">
        <f>VLOOKUP($C14,Score!$B$2:$X$77,11,0)</f>
        <v>#N/A</v>
      </c>
      <c r="O14" s="2" t="e">
        <f>VLOOKUP($C14,Score!$B$2:$X$77,12,0)</f>
        <v>#N/A</v>
      </c>
      <c r="P14" s="2" t="e">
        <f>VLOOKUP($C14,Score!$B$2:$X$77,13,0)</f>
        <v>#N/A</v>
      </c>
      <c r="Q14" s="2" t="e">
        <f>VLOOKUP($C14,Score!$B$2:$X$77,14,0)</f>
        <v>#N/A</v>
      </c>
      <c r="R14" s="2" t="e">
        <f>VLOOKUP($C14,Score!$B$2:$X$77,15,0)</f>
        <v>#N/A</v>
      </c>
      <c r="S14" s="2" t="e">
        <f>VLOOKUP($C14,Score!$B$2:$X$77,16,0)</f>
        <v>#N/A</v>
      </c>
      <c r="T14" s="2" t="e">
        <f>VLOOKUP($C14,Score!$B$2:$X$77,17,0)</f>
        <v>#N/A</v>
      </c>
      <c r="U14" s="2" t="e">
        <f>VLOOKUP($C14,Score!$B$2:$X$77,18,0)</f>
        <v>#N/A</v>
      </c>
      <c r="V14" s="2" t="e">
        <f>VLOOKUP($C14,Score!$B$2:$X$77,19,0)</f>
        <v>#N/A</v>
      </c>
      <c r="W14" s="2" t="e">
        <f>VLOOKUP($C14,Score!$B$2:$X$77,20,0)</f>
        <v>#N/A</v>
      </c>
      <c r="X14" s="2" t="e">
        <f>VLOOKUP($C14,Score!$B$2:$Z$76,21,0)</f>
        <v>#N/A</v>
      </c>
      <c r="Y14" s="2" t="e">
        <f>VLOOKUP($C14,Score!$B$2:$Z$76,22,0)</f>
        <v>#N/A</v>
      </c>
      <c r="Z14" s="2" t="e">
        <f>VLOOKUP($C14,Score!$B$2:$Z$76,24,0)</f>
        <v>#N/A</v>
      </c>
      <c r="AA14" s="6" t="e">
        <f t="shared" si="0"/>
        <v>#N/A</v>
      </c>
      <c r="AB14">
        <f t="shared" si="1"/>
        <v>0</v>
      </c>
    </row>
    <row r="15" spans="3:28">
      <c r="C15"/>
      <c r="D15"/>
      <c r="E15" s="2" t="e">
        <f>VLOOKUP($C15,Score!$B$2:$X$77,2,0)</f>
        <v>#N/A</v>
      </c>
      <c r="F15" s="2" t="e">
        <f>VLOOKUP($C15,Score!$B$2:$X$77,3,0)</f>
        <v>#N/A</v>
      </c>
      <c r="G15" s="2" t="e">
        <f>VLOOKUP($C15,Score!$B$2:$X$77,4,0)</f>
        <v>#N/A</v>
      </c>
      <c r="H15" s="2" t="e">
        <f>VLOOKUP($C15,Score!$B$2:$X$77,5,0)</f>
        <v>#N/A</v>
      </c>
      <c r="I15" s="2" t="e">
        <f>VLOOKUP($C15,Score!$B$2:$X$77,6,0)</f>
        <v>#N/A</v>
      </c>
      <c r="J15" s="2" t="e">
        <f>VLOOKUP($C15,Score!$B$2:$X$77,7,0)</f>
        <v>#N/A</v>
      </c>
      <c r="K15" s="2" t="e">
        <f>VLOOKUP($C15,Score!$B$2:$X$77,8,0)</f>
        <v>#N/A</v>
      </c>
      <c r="L15" s="2" t="e">
        <f>VLOOKUP($C15,Score!$B$2:$X$77,9,0)</f>
        <v>#N/A</v>
      </c>
      <c r="M15" s="2" t="e">
        <f>VLOOKUP($C15,Score!$B$2:$X$77,10,0)</f>
        <v>#N/A</v>
      </c>
      <c r="N15" s="2" t="e">
        <f>VLOOKUP($C15,Score!$B$2:$X$77,11,0)</f>
        <v>#N/A</v>
      </c>
      <c r="O15" s="2" t="e">
        <f>VLOOKUP($C15,Score!$B$2:$X$77,12,0)</f>
        <v>#N/A</v>
      </c>
      <c r="P15" s="2" t="e">
        <f>VLOOKUP($C15,Score!$B$2:$X$77,13,0)</f>
        <v>#N/A</v>
      </c>
      <c r="Q15" s="2" t="e">
        <f>VLOOKUP($C15,Score!$B$2:$X$77,14,0)</f>
        <v>#N/A</v>
      </c>
      <c r="R15" s="2" t="e">
        <f>VLOOKUP($C15,Score!$B$2:$X$77,15,0)</f>
        <v>#N/A</v>
      </c>
      <c r="S15" s="2" t="e">
        <f>VLOOKUP($C15,Score!$B$2:$X$77,16,0)</f>
        <v>#N/A</v>
      </c>
      <c r="T15" s="2" t="e">
        <f>VLOOKUP($C15,Score!$B$2:$X$77,17,0)</f>
        <v>#N/A</v>
      </c>
      <c r="U15" s="2" t="e">
        <f>VLOOKUP($C15,Score!$B$2:$X$77,18,0)</f>
        <v>#N/A</v>
      </c>
      <c r="V15" s="2" t="e">
        <f>VLOOKUP($C15,Score!$B$2:$X$77,19,0)</f>
        <v>#N/A</v>
      </c>
      <c r="W15" s="2" t="e">
        <f>VLOOKUP($C15,Score!$B$2:$X$77,20,0)</f>
        <v>#N/A</v>
      </c>
      <c r="X15" s="2" t="e">
        <f>VLOOKUP($C15,Score!$B$2:$Z$76,21,0)</f>
        <v>#N/A</v>
      </c>
      <c r="Y15" s="2" t="e">
        <f>VLOOKUP($C15,Score!$B$2:$Z$76,22,0)</f>
        <v>#N/A</v>
      </c>
      <c r="Z15" s="2" t="e">
        <f>VLOOKUP($C15,Score!$B$2:$Z$76,24,0)</f>
        <v>#N/A</v>
      </c>
      <c r="AA15" s="6" t="e">
        <f t="shared" si="0"/>
        <v>#N/A</v>
      </c>
      <c r="AB15">
        <f t="shared" si="1"/>
        <v>0</v>
      </c>
    </row>
    <row r="16" spans="3:28">
      <c r="C16"/>
      <c r="D16"/>
      <c r="E16" s="2" t="e">
        <f>VLOOKUP($C16,Score!$B$2:$X$77,2,0)</f>
        <v>#N/A</v>
      </c>
      <c r="F16" s="2" t="e">
        <f>VLOOKUP($C16,Score!$B$2:$X$77,3,0)</f>
        <v>#N/A</v>
      </c>
      <c r="G16" s="2" t="e">
        <f>VLOOKUP($C16,Score!$B$2:$X$77,4,0)</f>
        <v>#N/A</v>
      </c>
      <c r="H16" s="2" t="e">
        <f>VLOOKUP($C16,Score!$B$2:$X$77,5,0)</f>
        <v>#N/A</v>
      </c>
      <c r="I16" s="2" t="e">
        <f>VLOOKUP($C16,Score!$B$2:$X$77,6,0)</f>
        <v>#N/A</v>
      </c>
      <c r="J16" s="2" t="e">
        <f>VLOOKUP($C16,Score!$B$2:$X$77,7,0)</f>
        <v>#N/A</v>
      </c>
      <c r="K16" s="2" t="e">
        <f>VLOOKUP($C16,Score!$B$2:$X$77,8,0)</f>
        <v>#N/A</v>
      </c>
      <c r="L16" s="2" t="e">
        <f>VLOOKUP($C16,Score!$B$2:$X$77,9,0)</f>
        <v>#N/A</v>
      </c>
      <c r="M16" s="2" t="e">
        <f>VLOOKUP($C16,Score!$B$2:$X$77,10,0)</f>
        <v>#N/A</v>
      </c>
      <c r="N16" s="2" t="e">
        <f>VLOOKUP($C16,Score!$B$2:$X$77,11,0)</f>
        <v>#N/A</v>
      </c>
      <c r="O16" s="2" t="e">
        <f>VLOOKUP($C16,Score!$B$2:$X$77,12,0)</f>
        <v>#N/A</v>
      </c>
      <c r="P16" s="2" t="e">
        <f>VLOOKUP($C16,Score!$B$2:$X$77,13,0)</f>
        <v>#N/A</v>
      </c>
      <c r="Q16" s="2" t="e">
        <f>VLOOKUP($C16,Score!$B$2:$X$77,14,0)</f>
        <v>#N/A</v>
      </c>
      <c r="R16" s="2" t="e">
        <f>VLOOKUP($C16,Score!$B$2:$X$77,15,0)</f>
        <v>#N/A</v>
      </c>
      <c r="S16" s="2" t="e">
        <f>VLOOKUP($C16,Score!$B$2:$X$77,16,0)</f>
        <v>#N/A</v>
      </c>
      <c r="T16" s="2" t="e">
        <f>VLOOKUP($C16,Score!$B$2:$X$77,17,0)</f>
        <v>#N/A</v>
      </c>
      <c r="U16" s="2" t="e">
        <f>VLOOKUP($C16,Score!$B$2:$X$77,18,0)</f>
        <v>#N/A</v>
      </c>
      <c r="V16" s="2" t="e">
        <f>VLOOKUP($C16,Score!$B$2:$X$77,19,0)</f>
        <v>#N/A</v>
      </c>
      <c r="W16" s="2" t="e">
        <f>VLOOKUP($C16,Score!$B$2:$X$77,20,0)</f>
        <v>#N/A</v>
      </c>
      <c r="X16" s="2" t="e">
        <f>VLOOKUP($C16,Score!$B$2:$Z$76,21,0)</f>
        <v>#N/A</v>
      </c>
      <c r="Y16" s="2" t="e">
        <f>VLOOKUP($C16,Score!$B$2:$Z$76,22,0)</f>
        <v>#N/A</v>
      </c>
      <c r="Z16" s="2" t="e">
        <f>VLOOKUP($C16,Score!$B$2:$Z$76,24,0)</f>
        <v>#N/A</v>
      </c>
      <c r="AA16" s="6" t="e">
        <f t="shared" si="0"/>
        <v>#N/A</v>
      </c>
      <c r="AB16">
        <f t="shared" si="1"/>
        <v>0</v>
      </c>
    </row>
    <row r="17" spans="3:28">
      <c r="C17"/>
      <c r="D17"/>
      <c r="E17" s="2" t="e">
        <f>VLOOKUP($C17,Score!$B$2:$X$77,2,0)</f>
        <v>#N/A</v>
      </c>
      <c r="F17" s="2" t="e">
        <f>VLOOKUP($C17,Score!$B$2:$X$77,3,0)</f>
        <v>#N/A</v>
      </c>
      <c r="G17" s="2" t="e">
        <f>VLOOKUP($C17,Score!$B$2:$X$77,4,0)</f>
        <v>#N/A</v>
      </c>
      <c r="H17" s="2" t="e">
        <f>VLOOKUP($C17,Score!$B$2:$X$77,5,0)</f>
        <v>#N/A</v>
      </c>
      <c r="I17" s="2" t="e">
        <f>VLOOKUP($C17,Score!$B$2:$X$77,6,0)</f>
        <v>#N/A</v>
      </c>
      <c r="J17" s="2" t="e">
        <f>VLOOKUP($C17,Score!$B$2:$X$77,7,0)</f>
        <v>#N/A</v>
      </c>
      <c r="K17" s="2" t="e">
        <f>VLOOKUP($C17,Score!$B$2:$X$77,8,0)</f>
        <v>#N/A</v>
      </c>
      <c r="L17" s="2" t="e">
        <f>VLOOKUP($C17,Score!$B$2:$X$77,9,0)</f>
        <v>#N/A</v>
      </c>
      <c r="M17" s="2" t="e">
        <f>VLOOKUP($C17,Score!$B$2:$X$77,10,0)</f>
        <v>#N/A</v>
      </c>
      <c r="N17" s="2" t="e">
        <f>VLOOKUP($C17,Score!$B$2:$X$77,11,0)</f>
        <v>#N/A</v>
      </c>
      <c r="O17" s="2" t="e">
        <f>VLOOKUP($C17,Score!$B$2:$X$77,12,0)</f>
        <v>#N/A</v>
      </c>
      <c r="P17" s="2" t="e">
        <f>VLOOKUP($C17,Score!$B$2:$X$77,13,0)</f>
        <v>#N/A</v>
      </c>
      <c r="Q17" s="2" t="e">
        <f>VLOOKUP($C17,Score!$B$2:$X$77,14,0)</f>
        <v>#N/A</v>
      </c>
      <c r="R17" s="2" t="e">
        <f>VLOOKUP($C17,Score!$B$2:$X$77,15,0)</f>
        <v>#N/A</v>
      </c>
      <c r="S17" s="2" t="e">
        <f>VLOOKUP($C17,Score!$B$2:$X$77,16,0)</f>
        <v>#N/A</v>
      </c>
      <c r="T17" s="2" t="e">
        <f>VLOOKUP($C17,Score!$B$2:$X$77,17,0)</f>
        <v>#N/A</v>
      </c>
      <c r="U17" s="2" t="e">
        <f>VLOOKUP($C17,Score!$B$2:$X$77,18,0)</f>
        <v>#N/A</v>
      </c>
      <c r="V17" s="2" t="e">
        <f>VLOOKUP($C17,Score!$B$2:$X$77,19,0)</f>
        <v>#N/A</v>
      </c>
      <c r="W17" s="2" t="e">
        <f>VLOOKUP($C17,Score!$B$2:$X$77,20,0)</f>
        <v>#N/A</v>
      </c>
      <c r="X17" s="2" t="e">
        <f>VLOOKUP($C17,Score!$B$2:$Z$76,21,0)</f>
        <v>#N/A</v>
      </c>
      <c r="Y17" s="2" t="e">
        <f>VLOOKUP($C17,Score!$B$2:$Z$76,22,0)</f>
        <v>#N/A</v>
      </c>
      <c r="Z17" s="2" t="e">
        <f>VLOOKUP($C17,Score!$B$2:$Z$76,24,0)</f>
        <v>#N/A</v>
      </c>
      <c r="AA17" s="6" t="e">
        <f t="shared" si="0"/>
        <v>#N/A</v>
      </c>
      <c r="AB17">
        <f t="shared" si="1"/>
        <v>0</v>
      </c>
    </row>
    <row r="18" spans="3:28">
      <c r="C18"/>
      <c r="D18"/>
      <c r="E18" s="2" t="e">
        <f>VLOOKUP($C18,Score!$B$2:$X$77,2,0)</f>
        <v>#N/A</v>
      </c>
      <c r="F18" s="2" t="e">
        <f>VLOOKUP($C18,Score!$B$2:$X$77,3,0)</f>
        <v>#N/A</v>
      </c>
      <c r="G18" s="2" t="e">
        <f>VLOOKUP($C18,Score!$B$2:$X$77,4,0)</f>
        <v>#N/A</v>
      </c>
      <c r="H18" s="2" t="e">
        <f>VLOOKUP($C18,Score!$B$2:$X$77,5,0)</f>
        <v>#N/A</v>
      </c>
      <c r="I18" s="2" t="e">
        <f>VLOOKUP($C18,Score!$B$2:$X$77,6,0)</f>
        <v>#N/A</v>
      </c>
      <c r="J18" s="2" t="e">
        <f>VLOOKUP($C18,Score!$B$2:$X$77,7,0)</f>
        <v>#N/A</v>
      </c>
      <c r="K18" s="2" t="e">
        <f>VLOOKUP($C18,Score!$B$2:$X$77,8,0)</f>
        <v>#N/A</v>
      </c>
      <c r="L18" s="2" t="e">
        <f>VLOOKUP($C18,Score!$B$2:$X$77,9,0)</f>
        <v>#N/A</v>
      </c>
      <c r="M18" s="2" t="e">
        <f>VLOOKUP($C18,Score!$B$2:$X$77,10,0)</f>
        <v>#N/A</v>
      </c>
      <c r="N18" s="2" t="e">
        <f>VLOOKUP($C18,Score!$B$2:$X$77,11,0)</f>
        <v>#N/A</v>
      </c>
      <c r="O18" s="2" t="e">
        <f>VLOOKUP($C18,Score!$B$2:$X$77,12,0)</f>
        <v>#N/A</v>
      </c>
      <c r="P18" s="2" t="e">
        <f>VLOOKUP($C18,Score!$B$2:$X$77,13,0)</f>
        <v>#N/A</v>
      </c>
      <c r="Q18" s="2" t="e">
        <f>VLOOKUP($C18,Score!$B$2:$X$77,14,0)</f>
        <v>#N/A</v>
      </c>
      <c r="R18" s="2" t="e">
        <f>VLOOKUP($C18,Score!$B$2:$X$77,15,0)</f>
        <v>#N/A</v>
      </c>
      <c r="S18" s="2" t="e">
        <f>VLOOKUP($C18,Score!$B$2:$X$77,16,0)</f>
        <v>#N/A</v>
      </c>
      <c r="T18" s="2" t="e">
        <f>VLOOKUP($C18,Score!$B$2:$X$77,17,0)</f>
        <v>#N/A</v>
      </c>
      <c r="U18" s="2" t="e">
        <f>VLOOKUP($C18,Score!$B$2:$X$77,18,0)</f>
        <v>#N/A</v>
      </c>
      <c r="V18" s="2" t="e">
        <f>VLOOKUP($C18,Score!$B$2:$X$77,19,0)</f>
        <v>#N/A</v>
      </c>
      <c r="W18" s="2" t="e">
        <f>VLOOKUP($C18,Score!$B$2:$X$77,20,0)</f>
        <v>#N/A</v>
      </c>
      <c r="X18" s="2" t="e">
        <f>VLOOKUP($C18,Score!$B$2:$Z$76,21,0)</f>
        <v>#N/A</v>
      </c>
      <c r="Y18" s="2" t="e">
        <f>VLOOKUP($C18,Score!$B$2:$Z$76,22,0)</f>
        <v>#N/A</v>
      </c>
      <c r="Z18" s="2" t="e">
        <f>VLOOKUP($C18,Score!$B$2:$Z$76,24,0)</f>
        <v>#N/A</v>
      </c>
      <c r="AA18" s="6" t="e">
        <f t="shared" si="0"/>
        <v>#N/A</v>
      </c>
      <c r="AB18">
        <f t="shared" si="1"/>
        <v>0</v>
      </c>
    </row>
    <row r="19" spans="3:28">
      <c r="C19"/>
      <c r="D19"/>
      <c r="E19" s="2" t="e">
        <f>VLOOKUP($C19,Score!$B$2:$X$77,2,0)</f>
        <v>#N/A</v>
      </c>
      <c r="F19" s="2" t="e">
        <f>VLOOKUP($C19,Score!$B$2:$X$77,3,0)</f>
        <v>#N/A</v>
      </c>
      <c r="G19" s="2" t="e">
        <f>VLOOKUP($C19,Score!$B$2:$X$77,4,0)</f>
        <v>#N/A</v>
      </c>
      <c r="H19" s="2" t="e">
        <f>VLOOKUP($C19,Score!$B$2:$X$77,5,0)</f>
        <v>#N/A</v>
      </c>
      <c r="I19" s="2" t="e">
        <f>VLOOKUP($C19,Score!$B$2:$X$77,6,0)</f>
        <v>#N/A</v>
      </c>
      <c r="J19" s="2" t="e">
        <f>VLOOKUP($C19,Score!$B$2:$X$77,7,0)</f>
        <v>#N/A</v>
      </c>
      <c r="K19" s="2" t="e">
        <f>VLOOKUP($C19,Score!$B$2:$X$77,8,0)</f>
        <v>#N/A</v>
      </c>
      <c r="L19" s="2" t="e">
        <f>VLOOKUP($C19,Score!$B$2:$X$77,9,0)</f>
        <v>#N/A</v>
      </c>
      <c r="M19" s="2" t="e">
        <f>VLOOKUP($C19,Score!$B$2:$X$77,10,0)</f>
        <v>#N/A</v>
      </c>
      <c r="N19" s="2" t="e">
        <f>VLOOKUP($C19,Score!$B$2:$X$77,11,0)</f>
        <v>#N/A</v>
      </c>
      <c r="O19" s="2" t="e">
        <f>VLOOKUP($C19,Score!$B$2:$X$77,12,0)</f>
        <v>#N/A</v>
      </c>
      <c r="P19" s="2" t="e">
        <f>VLOOKUP($C19,Score!$B$2:$X$77,13,0)</f>
        <v>#N/A</v>
      </c>
      <c r="Q19" s="2" t="e">
        <f>VLOOKUP($C19,Score!$B$2:$X$77,14,0)</f>
        <v>#N/A</v>
      </c>
      <c r="R19" s="2" t="e">
        <f>VLOOKUP($C19,Score!$B$2:$X$77,15,0)</f>
        <v>#N/A</v>
      </c>
      <c r="S19" s="2" t="e">
        <f>VLOOKUP($C19,Score!$B$2:$X$77,16,0)</f>
        <v>#N/A</v>
      </c>
      <c r="T19" s="2" t="e">
        <f>VLOOKUP($C19,Score!$B$2:$X$77,17,0)</f>
        <v>#N/A</v>
      </c>
      <c r="U19" s="2" t="e">
        <f>VLOOKUP($C19,Score!$B$2:$X$77,18,0)</f>
        <v>#N/A</v>
      </c>
      <c r="V19" s="2" t="e">
        <f>VLOOKUP($C19,Score!$B$2:$X$77,19,0)</f>
        <v>#N/A</v>
      </c>
      <c r="W19" s="2" t="e">
        <f>VLOOKUP($C19,Score!$B$2:$X$77,20,0)</f>
        <v>#N/A</v>
      </c>
      <c r="X19" s="2" t="e">
        <f>VLOOKUP($C19,Score!$B$2:$Z$76,21,0)</f>
        <v>#N/A</v>
      </c>
      <c r="Y19" s="2" t="e">
        <f>VLOOKUP($C19,Score!$B$2:$Z$76,22,0)</f>
        <v>#N/A</v>
      </c>
      <c r="Z19" s="2" t="e">
        <f>VLOOKUP($C19,Score!$B$2:$Z$76,24,0)</f>
        <v>#N/A</v>
      </c>
      <c r="AA19" s="6" t="e">
        <f t="shared" si="0"/>
        <v>#N/A</v>
      </c>
      <c r="AB19">
        <f t="shared" si="1"/>
        <v>0</v>
      </c>
    </row>
    <row r="20" spans="3:28">
      <c r="C20"/>
      <c r="D20"/>
      <c r="E20" s="2" t="e">
        <f>VLOOKUP($C20,Score!$B$2:$X$77,2,0)</f>
        <v>#N/A</v>
      </c>
      <c r="F20" s="2" t="e">
        <f>VLOOKUP($C20,Score!$B$2:$X$77,3,0)</f>
        <v>#N/A</v>
      </c>
      <c r="G20" s="2" t="e">
        <f>VLOOKUP($C20,Score!$B$2:$X$77,4,0)</f>
        <v>#N/A</v>
      </c>
      <c r="H20" s="2" t="e">
        <f>VLOOKUP($C20,Score!$B$2:$X$77,5,0)</f>
        <v>#N/A</v>
      </c>
      <c r="I20" s="2" t="e">
        <f>VLOOKUP($C20,Score!$B$2:$X$77,6,0)</f>
        <v>#N/A</v>
      </c>
      <c r="J20" s="2" t="e">
        <f>VLOOKUP($C20,Score!$B$2:$X$77,7,0)</f>
        <v>#N/A</v>
      </c>
      <c r="K20" s="2" t="e">
        <f>VLOOKUP($C20,Score!$B$2:$X$77,8,0)</f>
        <v>#N/A</v>
      </c>
      <c r="L20" s="2" t="e">
        <f>VLOOKUP($C20,Score!$B$2:$X$77,9,0)</f>
        <v>#N/A</v>
      </c>
      <c r="M20" s="2" t="e">
        <f>VLOOKUP($C20,Score!$B$2:$X$77,10,0)</f>
        <v>#N/A</v>
      </c>
      <c r="N20" s="2" t="e">
        <f>VLOOKUP($C20,Score!$B$2:$X$77,11,0)</f>
        <v>#N/A</v>
      </c>
      <c r="O20" s="2" t="e">
        <f>VLOOKUP($C20,Score!$B$2:$X$77,12,0)</f>
        <v>#N/A</v>
      </c>
      <c r="P20" s="2" t="e">
        <f>VLOOKUP($C20,Score!$B$2:$X$77,13,0)</f>
        <v>#N/A</v>
      </c>
      <c r="Q20" s="2" t="e">
        <f>VLOOKUP($C20,Score!$B$2:$X$77,14,0)</f>
        <v>#N/A</v>
      </c>
      <c r="R20" s="2" t="e">
        <f>VLOOKUP($C20,Score!$B$2:$X$77,15,0)</f>
        <v>#N/A</v>
      </c>
      <c r="S20" s="2" t="e">
        <f>VLOOKUP($C20,Score!$B$2:$X$77,16,0)</f>
        <v>#N/A</v>
      </c>
      <c r="T20" s="2" t="e">
        <f>VLOOKUP($C20,Score!$B$2:$X$77,17,0)</f>
        <v>#N/A</v>
      </c>
      <c r="U20" s="2" t="e">
        <f>VLOOKUP($C20,Score!$B$2:$X$77,18,0)</f>
        <v>#N/A</v>
      </c>
      <c r="V20" s="2" t="e">
        <f>VLOOKUP($C20,Score!$B$2:$X$77,19,0)</f>
        <v>#N/A</v>
      </c>
      <c r="W20" s="2" t="e">
        <f>VLOOKUP($C20,Score!$B$2:$X$77,20,0)</f>
        <v>#N/A</v>
      </c>
      <c r="X20" s="2" t="e">
        <f>VLOOKUP($C20,Score!$B$2:$Z$76,21,0)</f>
        <v>#N/A</v>
      </c>
      <c r="Y20" s="2" t="e">
        <f>VLOOKUP($C20,Score!$B$2:$Z$76,22,0)</f>
        <v>#N/A</v>
      </c>
      <c r="Z20" s="2" t="e">
        <f>VLOOKUP($C20,Score!$B$2:$Z$76,24,0)</f>
        <v>#N/A</v>
      </c>
      <c r="AA20" s="6" t="e">
        <f>SUM(E20:Z20)</f>
        <v>#N/A</v>
      </c>
      <c r="AB20">
        <f t="shared" si="1"/>
        <v>0</v>
      </c>
    </row>
    <row r="21" spans="3:28" s="68" customFormat="1">
      <c r="C21" s="68" t="s">
        <v>16</v>
      </c>
      <c r="E21" s="69"/>
      <c r="F21" s="70"/>
      <c r="G21" s="69"/>
      <c r="H21" s="69"/>
      <c r="I21" s="69"/>
      <c r="J21" s="69"/>
      <c r="K21" s="69"/>
      <c r="L21" s="69"/>
      <c r="M21" s="69"/>
      <c r="N21" s="69"/>
      <c r="O21" s="69"/>
      <c r="P21" s="69"/>
      <c r="Q21" s="69"/>
      <c r="R21" s="69"/>
      <c r="S21" s="69"/>
      <c r="T21" s="69"/>
      <c r="U21" s="69"/>
      <c r="V21" s="69"/>
      <c r="W21" s="69"/>
      <c r="X21" s="69"/>
      <c r="Y21" s="69"/>
      <c r="Z21" s="69"/>
      <c r="AA21" s="72"/>
    </row>
    <row r="22" spans="3:28" s="1" customFormat="1">
      <c r="C22"/>
      <c r="D22"/>
      <c r="E22" s="66" t="e">
        <f t="shared" ref="E22:AA22" si="2">SUM(E4:E21)</f>
        <v>#N/A</v>
      </c>
      <c r="F22" s="66" t="e">
        <f t="shared" si="2"/>
        <v>#N/A</v>
      </c>
      <c r="G22" s="66" t="e">
        <f t="shared" si="2"/>
        <v>#N/A</v>
      </c>
      <c r="H22" s="66" t="e">
        <f t="shared" si="2"/>
        <v>#N/A</v>
      </c>
      <c r="I22" s="66" t="e">
        <f t="shared" si="2"/>
        <v>#N/A</v>
      </c>
      <c r="J22" s="66" t="e">
        <f t="shared" si="2"/>
        <v>#N/A</v>
      </c>
      <c r="K22" s="66" t="e">
        <f t="shared" si="2"/>
        <v>#N/A</v>
      </c>
      <c r="L22" s="66" t="e">
        <f t="shared" si="2"/>
        <v>#N/A</v>
      </c>
      <c r="M22" s="66" t="e">
        <f t="shared" si="2"/>
        <v>#N/A</v>
      </c>
      <c r="N22" s="66" t="e">
        <f t="shared" si="2"/>
        <v>#N/A</v>
      </c>
      <c r="O22" s="66" t="e">
        <f t="shared" si="2"/>
        <v>#N/A</v>
      </c>
      <c r="P22" s="66" t="e">
        <f t="shared" si="2"/>
        <v>#N/A</v>
      </c>
      <c r="Q22" s="66" t="e">
        <f t="shared" si="2"/>
        <v>#N/A</v>
      </c>
      <c r="R22" s="66" t="e">
        <f t="shared" si="2"/>
        <v>#N/A</v>
      </c>
      <c r="S22" s="66" t="e">
        <f t="shared" si="2"/>
        <v>#N/A</v>
      </c>
      <c r="T22" s="66" t="e">
        <f t="shared" si="2"/>
        <v>#N/A</v>
      </c>
      <c r="U22" s="66" t="e">
        <f t="shared" si="2"/>
        <v>#N/A</v>
      </c>
      <c r="V22" s="66" t="e">
        <f t="shared" si="2"/>
        <v>#N/A</v>
      </c>
      <c r="W22" s="66" t="e">
        <f t="shared" si="2"/>
        <v>#N/A</v>
      </c>
      <c r="X22" s="66" t="e">
        <f t="shared" si="2"/>
        <v>#N/A</v>
      </c>
      <c r="Y22" s="66" t="e">
        <f t="shared" si="2"/>
        <v>#N/A</v>
      </c>
      <c r="Z22" s="66" t="e">
        <f t="shared" si="2"/>
        <v>#N/A</v>
      </c>
      <c r="AA22" s="67" t="e">
        <f t="shared" si="2"/>
        <v>#N/A</v>
      </c>
    </row>
    <row r="23" spans="3:28" s="51" customFormat="1">
      <c r="C23"/>
      <c r="D23"/>
      <c r="E23" s="52"/>
      <c r="F23" s="52"/>
      <c r="G23" s="47"/>
      <c r="H23" s="52"/>
      <c r="I23" s="52"/>
      <c r="J23" s="52"/>
      <c r="K23" s="52"/>
      <c r="L23" s="52"/>
      <c r="M23" s="52"/>
      <c r="N23" s="52"/>
      <c r="O23" s="52"/>
      <c r="P23" s="52"/>
      <c r="Q23" s="52"/>
      <c r="R23" s="52"/>
      <c r="S23" s="52"/>
      <c r="T23" s="52"/>
      <c r="U23" s="52"/>
      <c r="V23" s="52"/>
      <c r="W23" s="52"/>
      <c r="X23" s="52"/>
      <c r="Y23" s="52"/>
      <c r="Z23" s="52"/>
      <c r="AA23" s="60"/>
    </row>
    <row r="24" spans="3:28" s="63" customFormat="1">
      <c r="C24" s="61"/>
      <c r="D24" s="61"/>
      <c r="E24" s="62" t="e">
        <f>VLOOKUP($C24,Score!$B$2:$X$77,2,0)</f>
        <v>#N/A</v>
      </c>
      <c r="F24" s="62" t="e">
        <f>VLOOKUP($C24,Score!$B$2:$X$77,2,0)</f>
        <v>#N/A</v>
      </c>
      <c r="G24" s="62" t="e">
        <f>VLOOKUP($C24,Score!$B$2:$X$77,2,0)</f>
        <v>#N/A</v>
      </c>
      <c r="H24" s="62" t="e">
        <f>VLOOKUP($C24,Score!$B$2:$X$77,2,0)</f>
        <v>#N/A</v>
      </c>
      <c r="I24" s="62" t="e">
        <f>VLOOKUP($C24,Score!$B$2:$X$77,2,0)</f>
        <v>#N/A</v>
      </c>
      <c r="J24" s="62" t="e">
        <f>VLOOKUP($C24,Score!$B$2:$X$77,2,0)</f>
        <v>#N/A</v>
      </c>
      <c r="K24" s="62" t="e">
        <f>VLOOKUP($C24,Score!$B$2:$X$77,2,0)</f>
        <v>#N/A</v>
      </c>
      <c r="L24" s="62" t="e">
        <f>VLOOKUP($C24,Score!$B$2:$X$77,2,0)</f>
        <v>#N/A</v>
      </c>
      <c r="M24" s="62" t="e">
        <f>VLOOKUP($C24,Score!$B$2:$X$77,2,0)</f>
        <v>#N/A</v>
      </c>
      <c r="N24" s="62" t="e">
        <f>VLOOKUP($C24,Score!$B$2:$X$77,2,0)</f>
        <v>#N/A</v>
      </c>
      <c r="O24" s="62" t="e">
        <f>VLOOKUP($C24,Score!$B$2:$X$77,2,0)</f>
        <v>#N/A</v>
      </c>
      <c r="P24" s="62" t="e">
        <f>VLOOKUP($C24,Score!$B$2:$X$77,2,0)</f>
        <v>#N/A</v>
      </c>
      <c r="Q24" s="62" t="e">
        <f>VLOOKUP($C24,Score!$B$2:$X$77,2,0)</f>
        <v>#N/A</v>
      </c>
      <c r="R24" s="62" t="e">
        <f>VLOOKUP($C24,Score!$B$2:$X$77,2,0)</f>
        <v>#N/A</v>
      </c>
      <c r="S24" s="62" t="e">
        <f>VLOOKUP($C24,Score!$B$2:$X$77,2,0)</f>
        <v>#N/A</v>
      </c>
      <c r="T24" s="62" t="e">
        <f>VLOOKUP($C24,Score!$B$2:$X$77,2,0)</f>
        <v>#N/A</v>
      </c>
      <c r="U24" s="62" t="e">
        <f>VLOOKUP($C24,Score!$B$2:$X$77,2,0)</f>
        <v>#N/A</v>
      </c>
      <c r="V24" s="62" t="e">
        <f>VLOOKUP($C24,Score!$B$2:$X$77,2,0)</f>
        <v>#N/A</v>
      </c>
      <c r="W24" s="62" t="e">
        <f>VLOOKUP($C24,Score!$B$2:$X$77,2,0)</f>
        <v>#N/A</v>
      </c>
      <c r="X24" s="62" t="e">
        <f>VLOOKUP($C24,Score!$B$2:$X$77,2,0)</f>
        <v>#N/A</v>
      </c>
      <c r="Y24" s="62" t="e">
        <f>VLOOKUP($C24,Score!$B$2:$X$77,2,0)</f>
        <v>#N/A</v>
      </c>
      <c r="Z24" s="62" t="e">
        <f>VLOOKUP($C24,Score!$B$2:$X$77,2,0)</f>
        <v>#N/A</v>
      </c>
      <c r="AA24" s="62" t="e">
        <f>VLOOKUP($C24,Score!$B$2:$X$77,2,0)</f>
        <v>#N/A</v>
      </c>
    </row>
    <row r="25" spans="3:28" s="63" customFormat="1">
      <c r="C25" s="61"/>
      <c r="D25" s="61"/>
      <c r="E25" s="62" t="e">
        <f>VLOOKUP($C25,Score!$B$2:$X$77,2,0)</f>
        <v>#N/A</v>
      </c>
      <c r="F25" s="62" t="e">
        <f>VLOOKUP($C25,Score!$B$2:$X$77,2,0)</f>
        <v>#N/A</v>
      </c>
      <c r="G25" s="62" t="e">
        <f>VLOOKUP($C25,Score!$B$2:$X$77,2,0)</f>
        <v>#N/A</v>
      </c>
      <c r="H25" s="62" t="e">
        <f>VLOOKUP($C25,Score!$B$2:$X$77,2,0)</f>
        <v>#N/A</v>
      </c>
      <c r="I25" s="62" t="e">
        <f>VLOOKUP($C25,Score!$B$2:$X$77,2,0)</f>
        <v>#N/A</v>
      </c>
      <c r="J25" s="62" t="e">
        <f>VLOOKUP($C25,Score!$B$2:$X$77,2,0)</f>
        <v>#N/A</v>
      </c>
      <c r="K25" s="62" t="e">
        <f>VLOOKUP($C25,Score!$B$2:$X$77,2,0)</f>
        <v>#N/A</v>
      </c>
      <c r="L25" s="62" t="e">
        <f>VLOOKUP($C25,Score!$B$2:$X$77,2,0)</f>
        <v>#N/A</v>
      </c>
      <c r="M25" s="62" t="e">
        <f>VLOOKUP($C25,Score!$B$2:$X$77,2,0)</f>
        <v>#N/A</v>
      </c>
      <c r="N25" s="62" t="e">
        <f>VLOOKUP($C25,Score!$B$2:$X$77,2,0)</f>
        <v>#N/A</v>
      </c>
      <c r="O25" s="62" t="e">
        <f>VLOOKUP($C25,Score!$B$2:$X$77,2,0)</f>
        <v>#N/A</v>
      </c>
      <c r="P25" s="62" t="e">
        <f>VLOOKUP($C25,Score!$B$2:$X$77,2,0)</f>
        <v>#N/A</v>
      </c>
      <c r="Q25" s="62" t="e">
        <f>VLOOKUP($C25,Score!$B$2:$X$77,2,0)</f>
        <v>#N/A</v>
      </c>
      <c r="R25" s="62" t="e">
        <f>VLOOKUP($C25,Score!$B$2:$X$77,2,0)</f>
        <v>#N/A</v>
      </c>
      <c r="S25" s="62" t="e">
        <f>VLOOKUP($C25,Score!$B$2:$X$77,2,0)</f>
        <v>#N/A</v>
      </c>
      <c r="T25" s="62" t="e">
        <f>VLOOKUP($C25,Score!$B$2:$X$77,2,0)</f>
        <v>#N/A</v>
      </c>
      <c r="U25" s="62" t="e">
        <f>VLOOKUP($C25,Score!$B$2:$X$77,2,0)</f>
        <v>#N/A</v>
      </c>
      <c r="V25" s="62" t="e">
        <f>VLOOKUP($C25,Score!$B$2:$X$77,2,0)</f>
        <v>#N/A</v>
      </c>
      <c r="W25" s="62" t="e">
        <f>VLOOKUP($C25,Score!$B$2:$X$77,2,0)</f>
        <v>#N/A</v>
      </c>
      <c r="X25" s="62" t="e">
        <f>VLOOKUP($C25,Score!$B$2:$X$77,2,0)</f>
        <v>#N/A</v>
      </c>
      <c r="Y25" s="62" t="e">
        <f>VLOOKUP($C25,Score!$B$2:$X$77,2,0)</f>
        <v>#N/A</v>
      </c>
      <c r="Z25" s="62" t="e">
        <f>VLOOKUP($C25,Score!$B$2:$X$77,2,0)</f>
        <v>#N/A</v>
      </c>
      <c r="AA25" s="62" t="e">
        <f>VLOOKUP($C25,Score!$B$2:$X$77,2,0)</f>
        <v>#N/A</v>
      </c>
    </row>
    <row r="26" spans="3:28" s="63" customFormat="1">
      <c r="C26" s="61"/>
      <c r="D26" s="61"/>
      <c r="E26" s="62" t="e">
        <f>VLOOKUP($C26,Score!$B$2:$X$77,2,0)</f>
        <v>#N/A</v>
      </c>
      <c r="F26" s="62" t="e">
        <f>VLOOKUP($C26,Score!$B$2:$X$77,2,0)</f>
        <v>#N/A</v>
      </c>
      <c r="G26" s="62" t="e">
        <f>VLOOKUP($C26,Score!$B$2:$X$77,2,0)</f>
        <v>#N/A</v>
      </c>
      <c r="H26" s="62" t="e">
        <f>VLOOKUP($C26,Score!$B$2:$X$77,2,0)</f>
        <v>#N/A</v>
      </c>
      <c r="I26" s="62" t="e">
        <f>VLOOKUP($C26,Score!$B$2:$X$77,2,0)</f>
        <v>#N/A</v>
      </c>
      <c r="J26" s="62" t="e">
        <f>VLOOKUP($C26,Score!$B$2:$X$77,2,0)</f>
        <v>#N/A</v>
      </c>
      <c r="K26" s="62" t="e">
        <f>VLOOKUP($C26,Score!$B$2:$X$77,2,0)</f>
        <v>#N/A</v>
      </c>
      <c r="L26" s="62" t="e">
        <f>VLOOKUP($C26,Score!$B$2:$X$77,2,0)</f>
        <v>#N/A</v>
      </c>
      <c r="M26" s="62" t="e">
        <f>VLOOKUP($C26,Score!$B$2:$X$77,2,0)</f>
        <v>#N/A</v>
      </c>
      <c r="N26" s="62" t="e">
        <f>VLOOKUP($C26,Score!$B$2:$X$77,2,0)</f>
        <v>#N/A</v>
      </c>
      <c r="O26" s="62" t="e">
        <f>VLOOKUP($C26,Score!$B$2:$X$77,2,0)</f>
        <v>#N/A</v>
      </c>
      <c r="P26" s="62" t="e">
        <f>VLOOKUP($C26,Score!$B$2:$X$77,2,0)</f>
        <v>#N/A</v>
      </c>
      <c r="Q26" s="62" t="e">
        <f>VLOOKUP($C26,Score!$B$2:$X$77,2,0)</f>
        <v>#N/A</v>
      </c>
      <c r="R26" s="62" t="e">
        <f>VLOOKUP($C26,Score!$B$2:$X$77,2,0)</f>
        <v>#N/A</v>
      </c>
      <c r="S26" s="62" t="e">
        <f>VLOOKUP($C26,Score!$B$2:$X$77,2,0)</f>
        <v>#N/A</v>
      </c>
      <c r="T26" s="62" t="e">
        <f>VLOOKUP($C26,Score!$B$2:$X$77,2,0)</f>
        <v>#N/A</v>
      </c>
      <c r="U26" s="62" t="e">
        <f>VLOOKUP($C26,Score!$B$2:$X$77,2,0)</f>
        <v>#N/A</v>
      </c>
      <c r="V26" s="62" t="e">
        <f>VLOOKUP($C26,Score!$B$2:$X$77,2,0)</f>
        <v>#N/A</v>
      </c>
      <c r="W26" s="62" t="e">
        <f>VLOOKUP($C26,Score!$B$2:$X$77,2,0)</f>
        <v>#N/A</v>
      </c>
      <c r="X26" s="62" t="e">
        <f>VLOOKUP($C26,Score!$B$2:$X$77,2,0)</f>
        <v>#N/A</v>
      </c>
      <c r="Y26" s="62" t="e">
        <f>VLOOKUP($C26,Score!$B$2:$X$77,2,0)</f>
        <v>#N/A</v>
      </c>
      <c r="Z26" s="62" t="e">
        <f>VLOOKUP($C26,Score!$B$2:$X$77,2,0)</f>
        <v>#N/A</v>
      </c>
      <c r="AA26" s="62" t="e">
        <f>VLOOKUP($C26,Score!$B$2:$X$77,2,0)</f>
        <v>#N/A</v>
      </c>
    </row>
    <row r="27" spans="3:28" s="49" customFormat="1">
      <c r="C27" s="54"/>
      <c r="D27" s="54"/>
      <c r="E27" s="38"/>
      <c r="F27" s="38"/>
      <c r="G27" s="39"/>
      <c r="H27" s="38"/>
      <c r="I27" s="38"/>
      <c r="J27" s="38"/>
      <c r="K27" s="38"/>
      <c r="L27" s="38"/>
      <c r="M27" s="38"/>
      <c r="N27" s="38"/>
      <c r="O27" s="38"/>
      <c r="AA27" s="42"/>
    </row>
    <row r="28" spans="3:28" s="49" customFormat="1">
      <c r="C28" s="27"/>
      <c r="D28" s="27"/>
      <c r="E28" s="38"/>
      <c r="F28" s="38"/>
      <c r="G28" s="39"/>
      <c r="H28" s="38"/>
      <c r="I28" s="38"/>
      <c r="J28" s="38"/>
      <c r="K28" s="38"/>
      <c r="L28" s="38"/>
      <c r="M28" s="38"/>
      <c r="N28" s="38"/>
      <c r="O28" s="38"/>
      <c r="AA28" s="42"/>
    </row>
    <row r="29" spans="3:28" s="49" customFormat="1">
      <c r="C29" s="30"/>
      <c r="D29" s="30"/>
      <c r="E29" s="38"/>
      <c r="F29" s="38"/>
      <c r="G29" s="39"/>
      <c r="H29" s="38"/>
      <c r="I29" s="38"/>
      <c r="J29" s="38"/>
      <c r="K29" s="38"/>
      <c r="L29" s="38"/>
      <c r="M29" s="38"/>
      <c r="N29" s="38"/>
      <c r="O29" s="38"/>
      <c r="AA29" s="42"/>
    </row>
    <row r="30" spans="3:28" s="49" customFormat="1">
      <c r="C30" s="30"/>
      <c r="D30" s="30"/>
      <c r="E30" s="38"/>
      <c r="F30" s="38"/>
      <c r="G30" s="39"/>
      <c r="H30" s="38"/>
      <c r="I30" s="38"/>
      <c r="J30" s="38"/>
      <c r="K30" s="38"/>
      <c r="L30" s="38"/>
      <c r="M30" s="38"/>
      <c r="N30" s="38"/>
      <c r="O30" s="38"/>
      <c r="AA30" s="42"/>
    </row>
    <row r="31" spans="3:28" s="49" customFormat="1">
      <c r="C31" s="30"/>
      <c r="D31" s="30"/>
      <c r="E31" s="38"/>
      <c r="F31" s="38"/>
      <c r="G31" s="39"/>
      <c r="H31" s="38"/>
      <c r="I31" s="38"/>
      <c r="J31" s="38"/>
      <c r="K31" s="38"/>
      <c r="L31" s="38"/>
      <c r="M31" s="38"/>
      <c r="N31" s="38"/>
      <c r="O31" s="38"/>
      <c r="AA31" s="42"/>
    </row>
    <row r="32" spans="3:28" s="14" customFormat="1">
      <c r="C32" s="16"/>
      <c r="D32" s="16"/>
      <c r="E32" s="10"/>
      <c r="F32" s="10"/>
      <c r="G32" s="11"/>
      <c r="H32" s="12"/>
      <c r="I32" s="12"/>
      <c r="J32" s="12"/>
      <c r="K32" s="12"/>
      <c r="L32" s="12"/>
      <c r="M32" s="12"/>
      <c r="N32" s="12"/>
      <c r="O32" s="12"/>
      <c r="P32" s="13"/>
      <c r="AA32" s="15"/>
    </row>
    <row r="33" spans="3:27" s="14" customFormat="1">
      <c r="C33" s="16"/>
      <c r="D33" s="16"/>
      <c r="E33" s="10"/>
      <c r="F33" s="10"/>
      <c r="G33" s="11"/>
      <c r="H33" s="12"/>
      <c r="I33" s="12"/>
      <c r="J33" s="12"/>
      <c r="K33" s="12"/>
      <c r="L33" s="12"/>
      <c r="M33" s="12"/>
      <c r="N33" s="12"/>
      <c r="O33" s="12"/>
      <c r="P33" s="13"/>
      <c r="AA33" s="15"/>
    </row>
    <row r="34" spans="3:27" s="14" customFormat="1">
      <c r="C34" s="16"/>
      <c r="D34" s="16"/>
      <c r="E34" s="10"/>
      <c r="F34" s="10"/>
      <c r="G34" s="11"/>
      <c r="H34" s="12"/>
      <c r="I34" s="12"/>
      <c r="J34" s="12"/>
      <c r="K34" s="12"/>
      <c r="L34" s="12"/>
      <c r="M34" s="12"/>
      <c r="N34" s="12"/>
      <c r="O34" s="12"/>
      <c r="P34" s="13"/>
      <c r="AA34" s="15"/>
    </row>
    <row r="35" spans="3:27" s="14" customFormat="1">
      <c r="C35" s="16"/>
      <c r="D35" s="16"/>
      <c r="E35" s="10"/>
      <c r="F35" s="10"/>
      <c r="G35" s="11"/>
      <c r="H35" s="12"/>
      <c r="I35" s="12"/>
      <c r="J35" s="12"/>
      <c r="K35" s="12"/>
      <c r="L35" s="12"/>
      <c r="M35" s="12"/>
      <c r="N35" s="12"/>
      <c r="O35" s="12"/>
      <c r="P35" s="13"/>
      <c r="AA35" s="15"/>
    </row>
    <row r="36" spans="3:27" s="14" customFormat="1">
      <c r="C36" s="16"/>
      <c r="D36" s="16"/>
      <c r="E36" s="10"/>
      <c r="F36" s="10"/>
      <c r="G36" s="11"/>
      <c r="H36" s="12"/>
      <c r="I36" s="12"/>
      <c r="J36" s="12"/>
      <c r="K36" s="12"/>
      <c r="L36" s="12"/>
      <c r="M36" s="12"/>
      <c r="N36" s="12"/>
      <c r="O36" s="12"/>
      <c r="P36" s="13"/>
      <c r="AA36" s="15"/>
    </row>
    <row r="37" spans="3:27" s="14" customFormat="1">
      <c r="C37" s="16"/>
      <c r="D37" s="16"/>
      <c r="E37" s="10"/>
      <c r="F37" s="10"/>
      <c r="G37" s="11"/>
      <c r="H37" s="12"/>
      <c r="I37" s="12"/>
      <c r="J37" s="12"/>
      <c r="K37" s="12"/>
      <c r="L37" s="12"/>
      <c r="M37" s="12"/>
      <c r="N37" s="12"/>
      <c r="O37" s="12"/>
      <c r="P37" s="13"/>
      <c r="AA37" s="15"/>
    </row>
    <row r="38" spans="3:27" s="14" customFormat="1">
      <c r="C38" s="16"/>
      <c r="D38" s="16"/>
      <c r="E38" s="10"/>
      <c r="F38" s="10"/>
      <c r="G38" s="11"/>
      <c r="H38" s="12"/>
      <c r="I38" s="12"/>
      <c r="J38" s="12"/>
      <c r="K38" s="12"/>
      <c r="L38" s="12"/>
      <c r="M38" s="12"/>
      <c r="N38" s="12"/>
      <c r="O38" s="12"/>
      <c r="P38" s="13"/>
      <c r="AA38" s="15"/>
    </row>
    <row r="39" spans="3:27" s="14" customFormat="1">
      <c r="C39" s="16"/>
      <c r="D39" s="16"/>
      <c r="E39" s="10"/>
      <c r="F39" s="10"/>
      <c r="G39" s="11"/>
      <c r="H39" s="12"/>
      <c r="I39" s="12"/>
      <c r="J39" s="12"/>
      <c r="K39" s="12"/>
      <c r="L39" s="12"/>
      <c r="M39" s="12"/>
      <c r="N39" s="12"/>
      <c r="O39" s="12"/>
      <c r="P39" s="13"/>
      <c r="AA39" s="15"/>
    </row>
    <row r="40" spans="3:27" s="14" customFormat="1">
      <c r="C40" s="16"/>
      <c r="D40" s="16"/>
      <c r="E40" s="10"/>
      <c r="F40" s="10"/>
      <c r="G40" s="11"/>
      <c r="H40" s="12"/>
      <c r="I40" s="12"/>
      <c r="J40" s="12"/>
      <c r="K40" s="12"/>
      <c r="L40" s="12"/>
      <c r="M40" s="12"/>
      <c r="N40" s="12"/>
      <c r="O40" s="12"/>
      <c r="P40" s="13"/>
      <c r="AA40" s="15"/>
    </row>
    <row r="41" spans="3:27" s="14" customFormat="1">
      <c r="C41" s="50"/>
      <c r="D41" s="50"/>
      <c r="E41" s="10"/>
      <c r="F41" s="10"/>
      <c r="G41" s="11"/>
      <c r="H41" s="12"/>
      <c r="I41" s="12"/>
      <c r="J41" s="12"/>
      <c r="K41" s="12"/>
      <c r="L41" s="12"/>
      <c r="M41" s="12"/>
      <c r="N41" s="12"/>
      <c r="O41" s="12"/>
      <c r="P41" s="13"/>
      <c r="AA41" s="15"/>
    </row>
    <row r="42" spans="3:27" s="14" customFormat="1">
      <c r="C42" s="50"/>
      <c r="D42" s="50"/>
      <c r="E42" s="10"/>
      <c r="F42" s="10"/>
      <c r="G42" s="11"/>
      <c r="H42" s="12"/>
      <c r="I42" s="12"/>
      <c r="J42" s="12"/>
      <c r="K42" s="12"/>
      <c r="L42" s="12"/>
      <c r="M42" s="12"/>
      <c r="N42" s="12"/>
      <c r="O42" s="12"/>
      <c r="P42" s="13"/>
      <c r="AA42" s="15"/>
    </row>
    <row r="43" spans="3:27" s="14" customFormat="1">
      <c r="C43" s="50"/>
      <c r="D43" s="50"/>
      <c r="E43" s="10"/>
      <c r="F43" s="10"/>
      <c r="G43" s="11"/>
      <c r="H43" s="12"/>
      <c r="I43" s="12"/>
      <c r="J43" s="12"/>
      <c r="K43" s="12"/>
      <c r="L43" s="12"/>
      <c r="M43" s="12"/>
      <c r="N43" s="12"/>
      <c r="O43" s="12"/>
      <c r="P43" s="13"/>
      <c r="AA43" s="15"/>
    </row>
    <row r="44" spans="3:27" s="14" customFormat="1">
      <c r="C44" s="50"/>
      <c r="D44" s="50"/>
      <c r="E44" s="10"/>
      <c r="F44" s="10"/>
      <c r="G44" s="11"/>
      <c r="H44" s="12"/>
      <c r="I44" s="12"/>
      <c r="J44" s="12"/>
      <c r="K44" s="12"/>
      <c r="L44" s="12"/>
      <c r="M44" s="12"/>
      <c r="N44" s="12"/>
      <c r="O44" s="12"/>
      <c r="P44" s="13"/>
      <c r="AA44" s="15"/>
    </row>
    <row r="45" spans="3:27" s="14" customFormat="1">
      <c r="C45" s="50"/>
      <c r="D45" s="50"/>
      <c r="E45" s="10"/>
      <c r="F45" s="10"/>
      <c r="G45" s="11"/>
      <c r="H45" s="12"/>
      <c r="I45" s="12"/>
      <c r="J45" s="12"/>
      <c r="K45" s="12"/>
      <c r="L45" s="12"/>
      <c r="M45" s="12"/>
      <c r="N45" s="12"/>
      <c r="O45" s="12"/>
      <c r="P45" s="13"/>
      <c r="AA45" s="15"/>
    </row>
    <row r="46" spans="3:27" s="14" customFormat="1">
      <c r="C46" s="50"/>
      <c r="D46" s="50"/>
      <c r="E46" s="10"/>
      <c r="F46" s="10"/>
      <c r="G46" s="11"/>
      <c r="H46" s="12"/>
      <c r="I46" s="12"/>
      <c r="J46" s="12"/>
      <c r="K46" s="12"/>
      <c r="L46" s="12"/>
      <c r="M46" s="12"/>
      <c r="N46" s="12"/>
      <c r="O46" s="12"/>
      <c r="P46" s="13"/>
      <c r="AA46" s="15"/>
    </row>
    <row r="47" spans="3:27" s="14" customFormat="1">
      <c r="C47" s="50"/>
      <c r="D47" s="50"/>
      <c r="E47" s="10"/>
      <c r="F47" s="10"/>
      <c r="G47" s="11"/>
      <c r="H47" s="12"/>
      <c r="I47" s="12"/>
      <c r="J47" s="12"/>
      <c r="K47" s="12"/>
      <c r="L47" s="12"/>
      <c r="M47" s="12"/>
      <c r="N47" s="12"/>
      <c r="O47" s="12"/>
      <c r="P47" s="13"/>
      <c r="AA47" s="15"/>
    </row>
    <row r="48" spans="3:27" s="14" customFormat="1">
      <c r="C48" s="50"/>
      <c r="D48" s="50"/>
      <c r="E48" s="10"/>
      <c r="F48" s="10"/>
      <c r="G48" s="11"/>
      <c r="H48" s="12"/>
      <c r="I48" s="12"/>
      <c r="J48" s="12"/>
      <c r="K48" s="12"/>
      <c r="L48" s="12"/>
      <c r="M48" s="12"/>
      <c r="N48" s="12"/>
      <c r="O48" s="12"/>
      <c r="P48" s="13"/>
      <c r="AA48" s="15"/>
    </row>
    <row r="49" spans="3:27" s="14" customFormat="1">
      <c r="C49" s="50"/>
      <c r="D49" s="50"/>
      <c r="E49" s="10"/>
      <c r="F49" s="10"/>
      <c r="G49" s="11"/>
      <c r="H49" s="12"/>
      <c r="I49" s="12"/>
      <c r="J49" s="12"/>
      <c r="K49" s="12"/>
      <c r="L49" s="12"/>
      <c r="M49" s="12"/>
      <c r="N49" s="12"/>
      <c r="O49" s="12"/>
      <c r="P49" s="13"/>
      <c r="AA49" s="15"/>
    </row>
    <row r="50" spans="3:27" s="14" customFormat="1">
      <c r="C50" s="50"/>
      <c r="D50" s="50"/>
      <c r="E50" s="10"/>
      <c r="F50" s="10"/>
      <c r="G50" s="11"/>
      <c r="H50" s="12"/>
      <c r="I50" s="12"/>
      <c r="J50" s="12"/>
      <c r="K50" s="12"/>
      <c r="L50" s="12"/>
      <c r="M50" s="12"/>
      <c r="N50" s="12"/>
      <c r="O50" s="12"/>
      <c r="P50" s="13"/>
      <c r="AA50" s="15"/>
    </row>
    <row r="51" spans="3:27" s="14" customFormat="1">
      <c r="C51" s="50"/>
      <c r="D51" s="50"/>
      <c r="E51" s="10"/>
      <c r="F51" s="10"/>
      <c r="G51" s="11"/>
      <c r="H51" s="12"/>
      <c r="I51" s="12"/>
      <c r="J51" s="12"/>
      <c r="K51" s="12"/>
      <c r="L51" s="12"/>
      <c r="M51" s="12"/>
      <c r="N51" s="12"/>
      <c r="O51" s="12"/>
      <c r="P51" s="13"/>
      <c r="AA51" s="15"/>
    </row>
    <row r="52" spans="3:27" s="14" customFormat="1">
      <c r="C52" s="50"/>
      <c r="D52" s="50"/>
      <c r="E52" s="10"/>
      <c r="F52" s="10"/>
      <c r="G52" s="11"/>
      <c r="H52" s="12"/>
      <c r="I52" s="12"/>
      <c r="J52" s="12"/>
      <c r="K52" s="12"/>
      <c r="L52" s="12"/>
      <c r="M52" s="12"/>
      <c r="N52" s="12"/>
      <c r="O52" s="12"/>
      <c r="P52" s="13"/>
      <c r="AA52" s="15"/>
    </row>
    <row r="53" spans="3:27" s="14" customFormat="1">
      <c r="C53" s="50"/>
      <c r="D53" s="50"/>
      <c r="E53" s="10"/>
      <c r="F53" s="10"/>
      <c r="G53" s="11"/>
      <c r="H53" s="12"/>
      <c r="I53" s="12"/>
      <c r="J53" s="12"/>
      <c r="K53" s="12"/>
      <c r="L53" s="12"/>
      <c r="M53" s="12"/>
      <c r="N53" s="12"/>
      <c r="O53" s="12"/>
      <c r="P53" s="13"/>
      <c r="AA53" s="15"/>
    </row>
    <row r="54" spans="3:27" s="14" customFormat="1">
      <c r="C54" s="50"/>
      <c r="D54" s="50"/>
      <c r="E54" s="10"/>
      <c r="F54" s="10"/>
      <c r="G54" s="11"/>
      <c r="H54" s="12"/>
      <c r="I54" s="12"/>
      <c r="J54" s="12"/>
      <c r="K54" s="12"/>
      <c r="L54" s="12"/>
      <c r="M54" s="12"/>
      <c r="N54" s="12"/>
      <c r="O54" s="12"/>
      <c r="P54" s="13"/>
      <c r="AA54" s="15"/>
    </row>
    <row r="55" spans="3:27" s="14" customFormat="1">
      <c r="C55" s="50"/>
      <c r="D55" s="50"/>
      <c r="E55" s="10"/>
      <c r="F55" s="10"/>
      <c r="G55" s="11"/>
      <c r="H55" s="12"/>
      <c r="I55" s="12"/>
      <c r="J55" s="12"/>
      <c r="K55" s="12"/>
      <c r="L55" s="12"/>
      <c r="M55" s="12"/>
      <c r="N55" s="12"/>
      <c r="O55" s="12"/>
      <c r="P55" s="13"/>
      <c r="AA55" s="15"/>
    </row>
    <row r="56" spans="3:27" s="14" customFormat="1">
      <c r="C56" s="50"/>
      <c r="D56" s="50"/>
      <c r="E56" s="10"/>
      <c r="F56" s="10"/>
      <c r="G56" s="11"/>
      <c r="H56" s="12"/>
      <c r="I56" s="12"/>
      <c r="J56" s="12"/>
      <c r="K56" s="12"/>
      <c r="L56" s="12"/>
      <c r="M56" s="12"/>
      <c r="N56" s="12"/>
      <c r="O56" s="12"/>
      <c r="P56" s="13"/>
      <c r="AA56" s="15"/>
    </row>
    <row r="57" spans="3:27" s="14" customFormat="1">
      <c r="C57" s="50"/>
      <c r="D57" s="50"/>
      <c r="E57" s="10"/>
      <c r="F57" s="10"/>
      <c r="G57" s="11"/>
      <c r="H57" s="12"/>
      <c r="I57" s="12"/>
      <c r="J57" s="12"/>
      <c r="K57" s="12"/>
      <c r="L57" s="12"/>
      <c r="M57" s="12"/>
      <c r="N57" s="12"/>
      <c r="O57" s="12"/>
      <c r="P57" s="13"/>
      <c r="AA57" s="15"/>
    </row>
    <row r="58" spans="3:27" s="14" customFormat="1">
      <c r="C58" s="50"/>
      <c r="D58" s="50"/>
      <c r="E58" s="10"/>
      <c r="F58" s="10"/>
      <c r="G58" s="11"/>
      <c r="H58" s="12"/>
      <c r="I58" s="12"/>
      <c r="J58" s="12"/>
      <c r="K58" s="12"/>
      <c r="L58" s="12"/>
      <c r="M58" s="12"/>
      <c r="N58" s="12"/>
      <c r="O58" s="12"/>
      <c r="P58" s="13"/>
      <c r="AA58" s="15"/>
    </row>
    <row r="59" spans="3:27" s="14" customFormat="1">
      <c r="C59" s="50"/>
      <c r="D59" s="50"/>
      <c r="E59" s="10"/>
      <c r="F59" s="10"/>
      <c r="G59" s="11"/>
      <c r="H59" s="12"/>
      <c r="I59" s="12"/>
      <c r="J59" s="12"/>
      <c r="K59" s="12"/>
      <c r="L59" s="12"/>
      <c r="M59" s="12"/>
      <c r="N59" s="12"/>
      <c r="O59" s="12"/>
      <c r="P59" s="13"/>
      <c r="AA59" s="15"/>
    </row>
    <row r="60" spans="3:27" s="14" customFormat="1">
      <c r="C60" s="50"/>
      <c r="D60" s="50"/>
      <c r="E60" s="10"/>
      <c r="F60" s="10"/>
      <c r="G60" s="11"/>
      <c r="H60" s="12"/>
      <c r="I60" s="12"/>
      <c r="J60" s="12"/>
      <c r="K60" s="12"/>
      <c r="L60" s="12"/>
      <c r="M60" s="12"/>
      <c r="N60" s="12"/>
      <c r="O60" s="12"/>
      <c r="P60" s="13"/>
      <c r="AA60" s="15"/>
    </row>
    <row r="61" spans="3:27" s="14" customFormat="1">
      <c r="C61" s="50"/>
      <c r="D61" s="50"/>
      <c r="E61" s="10"/>
      <c r="F61" s="10"/>
      <c r="G61" s="11"/>
      <c r="H61" s="12"/>
      <c r="I61" s="12"/>
      <c r="J61" s="12"/>
      <c r="K61" s="12"/>
      <c r="L61" s="12"/>
      <c r="M61" s="12"/>
      <c r="N61" s="12"/>
      <c r="O61" s="12"/>
      <c r="P61" s="13"/>
      <c r="AA61" s="15"/>
    </row>
    <row r="62" spans="3:27" s="14" customFormat="1">
      <c r="C62" s="50"/>
      <c r="D62" s="50"/>
      <c r="E62" s="10"/>
      <c r="F62" s="10"/>
      <c r="G62" s="11"/>
      <c r="H62" s="12"/>
      <c r="I62" s="12"/>
      <c r="J62" s="12"/>
      <c r="K62" s="12"/>
      <c r="L62" s="12"/>
      <c r="M62" s="12"/>
      <c r="N62" s="12"/>
      <c r="O62" s="12"/>
      <c r="P62" s="13"/>
      <c r="AA62" s="15"/>
    </row>
    <row r="63" spans="3:27" s="14" customFormat="1">
      <c r="C63" s="50"/>
      <c r="D63" s="50"/>
      <c r="E63" s="10"/>
      <c r="F63" s="10"/>
      <c r="G63" s="11"/>
      <c r="H63" s="12"/>
      <c r="I63" s="12"/>
      <c r="J63" s="12"/>
      <c r="K63" s="12"/>
      <c r="L63" s="12"/>
      <c r="M63" s="12"/>
      <c r="N63" s="12"/>
      <c r="O63" s="12"/>
      <c r="P63" s="13"/>
      <c r="AA63" s="15"/>
    </row>
    <row r="64" spans="3:27" s="14" customFormat="1">
      <c r="C64" s="50"/>
      <c r="D64" s="50"/>
      <c r="E64" s="10"/>
      <c r="F64" s="10"/>
      <c r="G64" s="11"/>
      <c r="H64" s="12"/>
      <c r="I64" s="12"/>
      <c r="J64" s="12"/>
      <c r="K64" s="12"/>
      <c r="L64" s="12"/>
      <c r="M64" s="12"/>
      <c r="N64" s="12"/>
      <c r="O64" s="12"/>
      <c r="P64" s="13"/>
      <c r="AA64" s="15"/>
    </row>
    <row r="65" spans="3:27" s="14" customFormat="1">
      <c r="C65" s="50"/>
      <c r="D65" s="50"/>
      <c r="E65" s="10"/>
      <c r="F65" s="10"/>
      <c r="G65" s="11"/>
      <c r="H65" s="12"/>
      <c r="I65" s="12"/>
      <c r="J65" s="12"/>
      <c r="K65" s="12"/>
      <c r="L65" s="12"/>
      <c r="M65" s="12"/>
      <c r="N65" s="12"/>
      <c r="O65" s="12"/>
      <c r="P65" s="13"/>
      <c r="AA65" s="15"/>
    </row>
    <row r="66" spans="3:27" s="14" customFormat="1">
      <c r="C66" s="50"/>
      <c r="D66" s="50"/>
      <c r="E66" s="10"/>
      <c r="F66" s="10"/>
      <c r="G66" s="11"/>
      <c r="H66" s="12"/>
      <c r="I66" s="12"/>
      <c r="J66" s="12"/>
      <c r="K66" s="12"/>
      <c r="L66" s="12"/>
      <c r="M66" s="12"/>
      <c r="N66" s="12"/>
      <c r="O66" s="12"/>
      <c r="P66" s="13"/>
      <c r="AA66" s="15"/>
    </row>
    <row r="67" spans="3:27" s="14" customFormat="1">
      <c r="C67" s="50"/>
      <c r="D67" s="50"/>
      <c r="E67" s="10"/>
      <c r="F67" s="10"/>
      <c r="G67" s="11"/>
      <c r="H67" s="12"/>
      <c r="I67" s="12"/>
      <c r="J67" s="12"/>
      <c r="K67" s="12"/>
      <c r="L67" s="12"/>
      <c r="M67" s="12"/>
      <c r="N67" s="12"/>
      <c r="O67" s="12"/>
      <c r="P67" s="13"/>
      <c r="AA67" s="15"/>
    </row>
    <row r="68" spans="3:27" s="14" customFormat="1">
      <c r="C68" s="50"/>
      <c r="D68" s="50"/>
      <c r="E68" s="10"/>
      <c r="F68" s="10"/>
      <c r="G68" s="11"/>
      <c r="H68" s="12"/>
      <c r="I68" s="12"/>
      <c r="J68" s="12"/>
      <c r="K68" s="12"/>
      <c r="L68" s="12"/>
      <c r="M68" s="12"/>
      <c r="N68" s="12"/>
      <c r="O68" s="12"/>
      <c r="P68" s="13"/>
      <c r="AA68" s="15"/>
    </row>
    <row r="69" spans="3:27" s="14" customFormat="1">
      <c r="C69" s="50"/>
      <c r="D69" s="50"/>
      <c r="E69" s="10"/>
      <c r="F69" s="10"/>
      <c r="G69" s="11"/>
      <c r="H69" s="12"/>
      <c r="I69" s="12"/>
      <c r="J69" s="12"/>
      <c r="K69" s="12"/>
      <c r="L69" s="12"/>
      <c r="M69" s="12"/>
      <c r="N69" s="12"/>
      <c r="O69" s="12"/>
      <c r="P69" s="13"/>
      <c r="AA69" s="15"/>
    </row>
    <row r="70" spans="3:27" s="14" customFormat="1">
      <c r="C70" s="50"/>
      <c r="D70" s="50"/>
      <c r="E70" s="10"/>
      <c r="F70" s="10"/>
      <c r="G70" s="11"/>
      <c r="H70" s="12"/>
      <c r="I70" s="12"/>
      <c r="J70" s="12"/>
      <c r="K70" s="12"/>
      <c r="L70" s="12"/>
      <c r="M70" s="12"/>
      <c r="N70" s="12"/>
      <c r="O70" s="12"/>
      <c r="P70" s="13"/>
      <c r="AA70" s="15"/>
    </row>
    <row r="71" spans="3:27" s="14" customFormat="1">
      <c r="C71" s="50"/>
      <c r="D71" s="50"/>
      <c r="E71" s="10"/>
      <c r="F71" s="10"/>
      <c r="G71" s="11"/>
      <c r="H71" s="12"/>
      <c r="I71" s="12"/>
      <c r="J71" s="12"/>
      <c r="K71" s="12"/>
      <c r="L71" s="12"/>
      <c r="M71" s="12"/>
      <c r="N71" s="12"/>
      <c r="O71" s="12"/>
      <c r="P71" s="13"/>
      <c r="AA71" s="15"/>
    </row>
  </sheetData>
  <phoneticPr fontId="0"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sheetPr codeName="Blad20" enableFormatConditionsCalculation="0">
    <tabColor indexed="12"/>
  </sheetPr>
  <dimension ref="C1:AB71"/>
  <sheetViews>
    <sheetView showZeros="0" workbookViewId="0">
      <selection activeCell="Y31" sqref="Y31"/>
    </sheetView>
  </sheetViews>
  <sheetFormatPr defaultRowHeight="12.75"/>
  <cols>
    <col min="1" max="1" width="2.7109375" customWidth="1"/>
    <col min="2" max="2" width="3.42578125" customWidth="1"/>
    <col min="3" max="4" width="12.28515625" style="8" customWidth="1"/>
    <col min="5" max="6" width="5.28515625" style="2" customWidth="1"/>
    <col min="7" max="7" width="5.42578125" style="5" customWidth="1"/>
    <col min="8" max="15" width="5.42578125" style="3" customWidth="1"/>
    <col min="16" max="16" width="5.42578125" style="4" customWidth="1"/>
    <col min="17" max="26" width="5.42578125" customWidth="1"/>
    <col min="27" max="27" width="6.28515625" style="1" customWidth="1"/>
    <col min="28" max="28" width="15" customWidth="1"/>
  </cols>
  <sheetData>
    <row r="1" spans="3:28">
      <c r="C1" s="17" t="s">
        <v>43</v>
      </c>
      <c r="D1" s="17"/>
    </row>
    <row r="2" spans="3:28">
      <c r="C2" s="1"/>
      <c r="D2" s="1"/>
      <c r="G2" s="3"/>
    </row>
    <row r="3" spans="3:28" s="4" customFormat="1" ht="13.5" thickBot="1">
      <c r="C3"/>
      <c r="D3"/>
      <c r="E3" s="9">
        <f>Score!C1</f>
        <v>1</v>
      </c>
      <c r="F3" s="9">
        <f>Score!E1</f>
        <v>3</v>
      </c>
      <c r="G3" s="9">
        <f>Score!F1</f>
        <v>4</v>
      </c>
      <c r="H3" s="9">
        <f>Score!G1</f>
        <v>5</v>
      </c>
      <c r="I3" s="9">
        <f>Score!H1</f>
        <v>6</v>
      </c>
      <c r="J3" s="9">
        <f>Score!I1</f>
        <v>7</v>
      </c>
      <c r="K3" s="9">
        <f>Score!J1</f>
        <v>8</v>
      </c>
      <c r="L3" s="9">
        <f>Score!K1</f>
        <v>9</v>
      </c>
      <c r="M3" s="9">
        <f>Score!L1</f>
        <v>10</v>
      </c>
      <c r="N3" s="9">
        <f>Score!M1</f>
        <v>11</v>
      </c>
      <c r="O3" s="9">
        <f>Score!N1</f>
        <v>12</v>
      </c>
      <c r="P3" s="9">
        <f>Score!O1</f>
        <v>13</v>
      </c>
      <c r="Q3" s="9">
        <f>Score!P1</f>
        <v>14</v>
      </c>
      <c r="R3" s="9">
        <f>Score!Q1</f>
        <v>15</v>
      </c>
      <c r="S3" s="9">
        <f>Score!R1</f>
        <v>16</v>
      </c>
      <c r="T3" s="9">
        <f>Score!S1</f>
        <v>17</v>
      </c>
      <c r="U3" s="9">
        <f>Score!T1</f>
        <v>18</v>
      </c>
      <c r="V3" s="9">
        <f>Score!U1</f>
        <v>19</v>
      </c>
      <c r="W3" s="9">
        <f>Score!V1</f>
        <v>20</v>
      </c>
      <c r="X3" s="9">
        <f>Score!W1</f>
        <v>21</v>
      </c>
      <c r="Y3" s="9" t="e">
        <f>Score!#REF!</f>
        <v>#REF!</v>
      </c>
      <c r="Z3" s="9" t="s">
        <v>2</v>
      </c>
      <c r="AA3" s="7"/>
    </row>
    <row r="4" spans="3:28">
      <c r="C4"/>
      <c r="D4"/>
      <c r="E4" s="2" t="e">
        <f>VLOOKUP($C4,Score!$B$2:$X$77,2,0)</f>
        <v>#N/A</v>
      </c>
      <c r="F4" s="2" t="e">
        <f>VLOOKUP($C4,Score!$B$2:$X$77,3,0)</f>
        <v>#N/A</v>
      </c>
      <c r="G4" s="2" t="e">
        <f>VLOOKUP($C4,Score!$B$2:$X$77,4,0)</f>
        <v>#N/A</v>
      </c>
      <c r="H4" s="2" t="e">
        <f>VLOOKUP($C4,Score!$B$2:$X$77,5,0)</f>
        <v>#N/A</v>
      </c>
      <c r="I4" s="2" t="e">
        <f>VLOOKUP($C4,Score!$B$2:$X$77,6,0)</f>
        <v>#N/A</v>
      </c>
      <c r="J4" s="2" t="e">
        <f>VLOOKUP($C4,Score!$B$2:$X$77,7,0)</f>
        <v>#N/A</v>
      </c>
      <c r="K4" s="2" t="e">
        <f>VLOOKUP($C4,Score!$B$2:$X$77,8,0)</f>
        <v>#N/A</v>
      </c>
      <c r="L4" s="2" t="e">
        <f>VLOOKUP($C4,Score!$B$2:$X$77,9,0)</f>
        <v>#N/A</v>
      </c>
      <c r="M4" s="2" t="e">
        <f>VLOOKUP($C4,Score!$B$2:$X$77,10,0)</f>
        <v>#N/A</v>
      </c>
      <c r="N4" s="2" t="e">
        <f>VLOOKUP($C4,Score!$B$2:$X$77,11,0)</f>
        <v>#N/A</v>
      </c>
      <c r="O4" s="2" t="e">
        <f>VLOOKUP($C4,Score!$B$2:$X$77,12,0)</f>
        <v>#N/A</v>
      </c>
      <c r="P4" s="2" t="e">
        <f>VLOOKUP($C4,Score!$B$2:$X$77,13,0)</f>
        <v>#N/A</v>
      </c>
      <c r="Q4" s="2" t="e">
        <f>VLOOKUP($C4,Score!$B$2:$X$77,14,0)</f>
        <v>#N/A</v>
      </c>
      <c r="R4" s="2" t="e">
        <f>VLOOKUP($C4,Score!$B$2:$X$77,15,0)</f>
        <v>#N/A</v>
      </c>
      <c r="S4" s="2" t="e">
        <f>VLOOKUP($C4,Score!$B$2:$X$77,16,0)</f>
        <v>#N/A</v>
      </c>
      <c r="T4" s="2" t="e">
        <f>VLOOKUP($C4,Score!$B$2:$X$77,17,0)</f>
        <v>#N/A</v>
      </c>
      <c r="U4" s="2" t="e">
        <f>VLOOKUP($C4,Score!$B$2:$X$77,18,0)</f>
        <v>#N/A</v>
      </c>
      <c r="V4" s="2" t="e">
        <f>VLOOKUP($C4,Score!$B$2:$X$77,19,0)</f>
        <v>#N/A</v>
      </c>
      <c r="W4" s="2" t="e">
        <f>VLOOKUP($C4,Score!$B$2:$X$77,20,0)</f>
        <v>#N/A</v>
      </c>
      <c r="X4" s="2" t="e">
        <f>VLOOKUP($C4,Score!$B$2:$Z$76,21,0)</f>
        <v>#N/A</v>
      </c>
      <c r="Y4" s="2" t="e">
        <f>VLOOKUP($C4,Score!$B$2:$Z$76,22,0)</f>
        <v>#N/A</v>
      </c>
      <c r="Z4" s="2" t="e">
        <f>VLOOKUP($C4,Score!$B$2:$Z$76,24,0)</f>
        <v>#N/A</v>
      </c>
      <c r="AA4" s="6" t="e">
        <f t="shared" ref="AA4:AA19" si="0">SUM(E4:Z4)</f>
        <v>#N/A</v>
      </c>
      <c r="AB4">
        <f t="shared" ref="AB4:AB20" si="1">C4</f>
        <v>0</v>
      </c>
    </row>
    <row r="5" spans="3:28">
      <c r="C5"/>
      <c r="D5"/>
      <c r="E5" s="2" t="e">
        <f>VLOOKUP($C5,Score!$B$2:$X$77,2,0)</f>
        <v>#N/A</v>
      </c>
      <c r="F5" s="2" t="e">
        <f>VLOOKUP($C5,Score!$B$2:$X$77,3,0)</f>
        <v>#N/A</v>
      </c>
      <c r="G5" s="2" t="e">
        <f>VLOOKUP($C5,Score!$B$2:$X$77,4,0)</f>
        <v>#N/A</v>
      </c>
      <c r="H5" s="2" t="e">
        <f>VLOOKUP($C5,Score!$B$2:$X$77,5,0)</f>
        <v>#N/A</v>
      </c>
      <c r="I5" s="2" t="e">
        <f>VLOOKUP($C5,Score!$B$2:$X$77,6,0)</f>
        <v>#N/A</v>
      </c>
      <c r="J5" s="2" t="e">
        <f>VLOOKUP($C5,Score!$B$2:$X$77,7,0)</f>
        <v>#N/A</v>
      </c>
      <c r="K5" s="2" t="e">
        <f>VLOOKUP($C5,Score!$B$2:$X$77,8,0)</f>
        <v>#N/A</v>
      </c>
      <c r="L5" s="2" t="e">
        <f>VLOOKUP($C5,Score!$B$2:$X$77,9,0)</f>
        <v>#N/A</v>
      </c>
      <c r="M5" s="2" t="e">
        <f>VLOOKUP($C5,Score!$B$2:$X$77,10,0)</f>
        <v>#N/A</v>
      </c>
      <c r="N5" s="2" t="e">
        <f>VLOOKUP($C5,Score!$B$2:$X$77,11,0)</f>
        <v>#N/A</v>
      </c>
      <c r="O5" s="2" t="e">
        <f>VLOOKUP($C5,Score!$B$2:$X$77,12,0)</f>
        <v>#N/A</v>
      </c>
      <c r="P5" s="2" t="e">
        <f>VLOOKUP($C5,Score!$B$2:$X$77,13,0)</f>
        <v>#N/A</v>
      </c>
      <c r="Q5" s="2" t="e">
        <f>VLOOKUP($C5,Score!$B$2:$X$77,14,0)</f>
        <v>#N/A</v>
      </c>
      <c r="R5" s="2" t="e">
        <f>VLOOKUP($C5,Score!$B$2:$X$77,15,0)</f>
        <v>#N/A</v>
      </c>
      <c r="S5" s="2" t="e">
        <f>VLOOKUP($C5,Score!$B$2:$X$77,16,0)</f>
        <v>#N/A</v>
      </c>
      <c r="T5" s="2" t="e">
        <f>VLOOKUP($C5,Score!$B$2:$X$77,17,0)</f>
        <v>#N/A</v>
      </c>
      <c r="U5" s="2" t="e">
        <f>VLOOKUP($C5,Score!$B$2:$X$77,18,0)</f>
        <v>#N/A</v>
      </c>
      <c r="V5" s="2" t="e">
        <f>VLOOKUP($C5,Score!$B$2:$X$77,19,0)</f>
        <v>#N/A</v>
      </c>
      <c r="W5" s="2" t="e">
        <f>VLOOKUP($C5,Score!$B$2:$X$77,20,0)</f>
        <v>#N/A</v>
      </c>
      <c r="X5" s="2" t="e">
        <f>VLOOKUP($C5,Score!$B$2:$Z$76,21,0)</f>
        <v>#N/A</v>
      </c>
      <c r="Y5" s="2" t="e">
        <f>VLOOKUP($C5,Score!$B$2:$Z$76,22,0)</f>
        <v>#N/A</v>
      </c>
      <c r="Z5" s="2" t="e">
        <f>VLOOKUP($C5,Score!$B$2:$Z$76,24,0)</f>
        <v>#N/A</v>
      </c>
      <c r="AA5" s="6" t="e">
        <f t="shared" si="0"/>
        <v>#N/A</v>
      </c>
      <c r="AB5">
        <f t="shared" si="1"/>
        <v>0</v>
      </c>
    </row>
    <row r="6" spans="3:28">
      <c r="C6"/>
      <c r="D6"/>
      <c r="E6" s="2" t="e">
        <f>VLOOKUP($C6,Score!$B$2:$X$77,2,0)</f>
        <v>#N/A</v>
      </c>
      <c r="F6" s="2" t="e">
        <f>VLOOKUP($C6,Score!$B$2:$X$77,3,0)</f>
        <v>#N/A</v>
      </c>
      <c r="G6" s="2" t="e">
        <f>VLOOKUP($C6,Score!$B$2:$X$77,4,0)</f>
        <v>#N/A</v>
      </c>
      <c r="H6" s="2" t="e">
        <f>VLOOKUP($C6,Score!$B$2:$X$77,5,0)</f>
        <v>#N/A</v>
      </c>
      <c r="I6" s="2" t="e">
        <f>VLOOKUP($C6,Score!$B$2:$X$77,6,0)</f>
        <v>#N/A</v>
      </c>
      <c r="J6" s="2" t="e">
        <f>VLOOKUP($C6,Score!$B$2:$X$77,7,0)</f>
        <v>#N/A</v>
      </c>
      <c r="K6" s="2" t="e">
        <f>VLOOKUP($C6,Score!$B$2:$X$77,8,0)</f>
        <v>#N/A</v>
      </c>
      <c r="L6" s="2" t="e">
        <f>VLOOKUP($C6,Score!$B$2:$X$77,9,0)</f>
        <v>#N/A</v>
      </c>
      <c r="M6" s="2" t="e">
        <f>VLOOKUP($C6,Score!$B$2:$X$77,10,0)</f>
        <v>#N/A</v>
      </c>
      <c r="N6" s="2" t="e">
        <f>VLOOKUP($C6,Score!$B$2:$X$77,11,0)</f>
        <v>#N/A</v>
      </c>
      <c r="O6" s="2" t="e">
        <f>VLOOKUP($C6,Score!$B$2:$X$77,12,0)</f>
        <v>#N/A</v>
      </c>
      <c r="P6" s="2" t="e">
        <f>VLOOKUP($C6,Score!$B$2:$X$77,13,0)</f>
        <v>#N/A</v>
      </c>
      <c r="Q6" s="2" t="e">
        <f>VLOOKUP($C6,Score!$B$2:$X$77,14,0)</f>
        <v>#N/A</v>
      </c>
      <c r="R6" s="2" t="e">
        <f>VLOOKUP($C6,Score!$B$2:$X$77,15,0)</f>
        <v>#N/A</v>
      </c>
      <c r="S6" s="2" t="e">
        <f>VLOOKUP($C6,Score!$B$2:$X$77,16,0)</f>
        <v>#N/A</v>
      </c>
      <c r="T6" s="2" t="e">
        <f>VLOOKUP($C6,Score!$B$2:$X$77,17,0)</f>
        <v>#N/A</v>
      </c>
      <c r="U6" s="2" t="e">
        <f>VLOOKUP($C6,Score!$B$2:$X$77,18,0)</f>
        <v>#N/A</v>
      </c>
      <c r="V6" s="2" t="e">
        <f>VLOOKUP($C6,Score!$B$2:$X$77,19,0)</f>
        <v>#N/A</v>
      </c>
      <c r="W6" s="2" t="e">
        <f>VLOOKUP($C6,Score!$B$2:$X$77,20,0)</f>
        <v>#N/A</v>
      </c>
      <c r="X6" s="2" t="e">
        <f>VLOOKUP($C6,Score!$B$2:$Z$76,21,0)</f>
        <v>#N/A</v>
      </c>
      <c r="Y6" s="2" t="e">
        <f>VLOOKUP($C6,Score!$B$2:$Z$76,22,0)</f>
        <v>#N/A</v>
      </c>
      <c r="Z6" s="2" t="e">
        <f>VLOOKUP($C6,Score!$B$2:$Z$76,24,0)</f>
        <v>#N/A</v>
      </c>
      <c r="AA6" s="6" t="e">
        <f t="shared" si="0"/>
        <v>#N/A</v>
      </c>
      <c r="AB6">
        <f t="shared" si="1"/>
        <v>0</v>
      </c>
    </row>
    <row r="7" spans="3:28">
      <c r="C7"/>
      <c r="D7"/>
      <c r="E7" s="2" t="e">
        <f>VLOOKUP($C7,Score!$B$2:$X$77,2,0)</f>
        <v>#N/A</v>
      </c>
      <c r="F7" s="2" t="e">
        <f>VLOOKUP($C7,Score!$B$2:$X$77,3,0)</f>
        <v>#N/A</v>
      </c>
      <c r="G7" s="2" t="e">
        <f>VLOOKUP($C7,Score!$B$2:$X$77,4,0)</f>
        <v>#N/A</v>
      </c>
      <c r="H7" s="2" t="e">
        <f>VLOOKUP($C7,Score!$B$2:$X$77,5,0)</f>
        <v>#N/A</v>
      </c>
      <c r="I7" s="2" t="e">
        <f>VLOOKUP($C7,Score!$B$2:$X$77,6,0)</f>
        <v>#N/A</v>
      </c>
      <c r="J7" s="2" t="e">
        <f>VLOOKUP($C7,Score!$B$2:$X$77,7,0)</f>
        <v>#N/A</v>
      </c>
      <c r="K7" s="2" t="e">
        <f>VLOOKUP($C7,Score!$B$2:$X$77,8,0)</f>
        <v>#N/A</v>
      </c>
      <c r="L7" s="2" t="e">
        <f>VLOOKUP($C7,Score!$B$2:$X$77,9,0)</f>
        <v>#N/A</v>
      </c>
      <c r="M7" s="2" t="e">
        <f>VLOOKUP($C7,Score!$B$2:$X$77,10,0)</f>
        <v>#N/A</v>
      </c>
      <c r="N7" s="2" t="e">
        <f>VLOOKUP($C7,Score!$B$2:$X$77,11,0)</f>
        <v>#N/A</v>
      </c>
      <c r="O7" s="2" t="e">
        <f>VLOOKUP($C7,Score!$B$2:$X$77,12,0)</f>
        <v>#N/A</v>
      </c>
      <c r="P7" s="2" t="e">
        <f>VLOOKUP($C7,Score!$B$2:$X$77,13,0)</f>
        <v>#N/A</v>
      </c>
      <c r="Q7" s="2" t="e">
        <f>VLOOKUP($C7,Score!$B$2:$X$77,14,0)</f>
        <v>#N/A</v>
      </c>
      <c r="R7" s="2" t="e">
        <f>VLOOKUP($C7,Score!$B$2:$X$77,15,0)</f>
        <v>#N/A</v>
      </c>
      <c r="S7" s="2" t="e">
        <f>VLOOKUP($C7,Score!$B$2:$X$77,16,0)</f>
        <v>#N/A</v>
      </c>
      <c r="T7" s="2" t="e">
        <f>VLOOKUP($C7,Score!$B$2:$X$77,17,0)</f>
        <v>#N/A</v>
      </c>
      <c r="U7" s="2" t="e">
        <f>VLOOKUP($C7,Score!$B$2:$X$77,18,0)</f>
        <v>#N/A</v>
      </c>
      <c r="V7" s="2" t="e">
        <f>VLOOKUP($C7,Score!$B$2:$X$77,19,0)</f>
        <v>#N/A</v>
      </c>
      <c r="W7" s="2" t="e">
        <f>VLOOKUP($C7,Score!$B$2:$X$77,20,0)</f>
        <v>#N/A</v>
      </c>
      <c r="X7" s="2" t="e">
        <f>VLOOKUP($C7,Score!$B$2:$Z$76,21,0)</f>
        <v>#N/A</v>
      </c>
      <c r="Y7" s="2" t="e">
        <f>VLOOKUP($C7,Score!$B$2:$Z$76,22,0)</f>
        <v>#N/A</v>
      </c>
      <c r="Z7" s="2" t="e">
        <f>VLOOKUP($C7,Score!$B$2:$Z$76,24,0)</f>
        <v>#N/A</v>
      </c>
      <c r="AA7" s="6" t="e">
        <f t="shared" si="0"/>
        <v>#N/A</v>
      </c>
      <c r="AB7">
        <f t="shared" si="1"/>
        <v>0</v>
      </c>
    </row>
    <row r="8" spans="3:28">
      <c r="C8"/>
      <c r="D8"/>
      <c r="E8" s="2" t="e">
        <f>VLOOKUP($C8,Score!$B$2:$X$77,2,0)</f>
        <v>#N/A</v>
      </c>
      <c r="F8" s="2" t="e">
        <f>VLOOKUP($C8,Score!$B$2:$X$77,3,0)</f>
        <v>#N/A</v>
      </c>
      <c r="G8" s="2" t="e">
        <f>VLOOKUP($C8,Score!$B$2:$X$77,4,0)</f>
        <v>#N/A</v>
      </c>
      <c r="H8" s="2" t="e">
        <f>VLOOKUP($C8,Score!$B$2:$X$77,5,0)</f>
        <v>#N/A</v>
      </c>
      <c r="I8" s="2" t="e">
        <f>VLOOKUP($C8,Score!$B$2:$X$77,6,0)</f>
        <v>#N/A</v>
      </c>
      <c r="J8" s="2" t="e">
        <f>VLOOKUP($C8,Score!$B$2:$X$77,7,0)</f>
        <v>#N/A</v>
      </c>
      <c r="K8" s="2" t="e">
        <f>VLOOKUP($C8,Score!$B$2:$X$77,8,0)</f>
        <v>#N/A</v>
      </c>
      <c r="L8" s="2" t="e">
        <f>VLOOKUP($C8,Score!$B$2:$X$77,9,0)</f>
        <v>#N/A</v>
      </c>
      <c r="M8" s="2" t="e">
        <f>VLOOKUP($C8,Score!$B$2:$X$77,10,0)</f>
        <v>#N/A</v>
      </c>
      <c r="N8" s="2" t="e">
        <f>VLOOKUP($C8,Score!$B$2:$X$77,11,0)</f>
        <v>#N/A</v>
      </c>
      <c r="O8" s="2" t="e">
        <f>VLOOKUP($C8,Score!$B$2:$X$77,12,0)</f>
        <v>#N/A</v>
      </c>
      <c r="P8" s="2" t="e">
        <f>VLOOKUP($C8,Score!$B$2:$X$77,13,0)</f>
        <v>#N/A</v>
      </c>
      <c r="Q8" s="2" t="e">
        <f>VLOOKUP($C8,Score!$B$2:$X$77,14,0)</f>
        <v>#N/A</v>
      </c>
      <c r="R8" s="2" t="e">
        <f>VLOOKUP($C8,Score!$B$2:$X$77,15,0)</f>
        <v>#N/A</v>
      </c>
      <c r="S8" s="2" t="e">
        <f>VLOOKUP($C8,Score!$B$2:$X$77,16,0)</f>
        <v>#N/A</v>
      </c>
      <c r="T8" s="2" t="e">
        <f>VLOOKUP($C8,Score!$B$2:$X$77,17,0)</f>
        <v>#N/A</v>
      </c>
      <c r="U8" s="2" t="e">
        <f>VLOOKUP($C8,Score!$B$2:$X$77,18,0)</f>
        <v>#N/A</v>
      </c>
      <c r="V8" s="2" t="e">
        <f>VLOOKUP($C8,Score!$B$2:$X$77,19,0)</f>
        <v>#N/A</v>
      </c>
      <c r="W8" s="2" t="e">
        <f>VLOOKUP($C8,Score!$B$2:$X$77,20,0)</f>
        <v>#N/A</v>
      </c>
      <c r="X8" s="2" t="e">
        <f>VLOOKUP($C8,Score!$B$2:$Z$76,21,0)</f>
        <v>#N/A</v>
      </c>
      <c r="Y8" s="2" t="e">
        <f>VLOOKUP($C8,Score!$B$2:$Z$76,22,0)</f>
        <v>#N/A</v>
      </c>
      <c r="Z8" s="2" t="e">
        <f>VLOOKUP($C8,Score!$B$2:$Z$76,24,0)</f>
        <v>#N/A</v>
      </c>
      <c r="AA8" s="6" t="e">
        <f t="shared" si="0"/>
        <v>#N/A</v>
      </c>
      <c r="AB8">
        <f t="shared" si="1"/>
        <v>0</v>
      </c>
    </row>
    <row r="9" spans="3:28">
      <c r="C9"/>
      <c r="D9"/>
      <c r="E9" s="2" t="e">
        <f>VLOOKUP($C9,Score!$B$2:$X$77,2,0)</f>
        <v>#N/A</v>
      </c>
      <c r="F9" s="2" t="e">
        <f>VLOOKUP($C9,Score!$B$2:$X$77,3,0)</f>
        <v>#N/A</v>
      </c>
      <c r="G9" s="2" t="e">
        <f>VLOOKUP($C9,Score!$B$2:$X$77,4,0)</f>
        <v>#N/A</v>
      </c>
      <c r="H9" s="2" t="e">
        <f>VLOOKUP($C9,Score!$B$2:$X$77,5,0)</f>
        <v>#N/A</v>
      </c>
      <c r="I9" s="2" t="e">
        <f>VLOOKUP($C9,Score!$B$2:$X$77,6,0)</f>
        <v>#N/A</v>
      </c>
      <c r="J9" s="2" t="e">
        <f>VLOOKUP($C9,Score!$B$2:$X$77,7,0)</f>
        <v>#N/A</v>
      </c>
      <c r="K9" s="2" t="e">
        <f>VLOOKUP($C9,Score!$B$2:$X$77,8,0)</f>
        <v>#N/A</v>
      </c>
      <c r="L9" s="2" t="e">
        <f>VLOOKUP($C9,Score!$B$2:$X$77,9,0)</f>
        <v>#N/A</v>
      </c>
      <c r="M9" s="2" t="e">
        <f>VLOOKUP($C9,Score!$B$2:$X$77,10,0)</f>
        <v>#N/A</v>
      </c>
      <c r="N9" s="2" t="e">
        <f>VLOOKUP($C9,Score!$B$2:$X$77,11,0)</f>
        <v>#N/A</v>
      </c>
      <c r="O9" s="2" t="e">
        <f>VLOOKUP($C9,Score!$B$2:$X$77,12,0)</f>
        <v>#N/A</v>
      </c>
      <c r="P9" s="2" t="e">
        <f>VLOOKUP($C9,Score!$B$2:$X$77,13,0)</f>
        <v>#N/A</v>
      </c>
      <c r="Q9" s="2" t="e">
        <f>VLOOKUP($C9,Score!$B$2:$X$77,14,0)</f>
        <v>#N/A</v>
      </c>
      <c r="R9" s="2" t="e">
        <f>VLOOKUP($C9,Score!$B$2:$X$77,15,0)</f>
        <v>#N/A</v>
      </c>
      <c r="S9" s="2" t="e">
        <f>VLOOKUP($C9,Score!$B$2:$X$77,16,0)</f>
        <v>#N/A</v>
      </c>
      <c r="T9" s="2" t="e">
        <f>VLOOKUP($C9,Score!$B$2:$X$77,17,0)</f>
        <v>#N/A</v>
      </c>
      <c r="U9" s="2" t="e">
        <f>VLOOKUP($C9,Score!$B$2:$X$77,18,0)</f>
        <v>#N/A</v>
      </c>
      <c r="V9" s="2" t="e">
        <f>VLOOKUP($C9,Score!$B$2:$X$77,19,0)</f>
        <v>#N/A</v>
      </c>
      <c r="W9" s="2" t="e">
        <f>VLOOKUP($C9,Score!$B$2:$X$77,20,0)</f>
        <v>#N/A</v>
      </c>
      <c r="X9" s="2" t="e">
        <f>VLOOKUP($C9,Score!$B$2:$Z$76,21,0)</f>
        <v>#N/A</v>
      </c>
      <c r="Y9" s="2" t="e">
        <f>VLOOKUP($C9,Score!$B$2:$Z$76,22,0)</f>
        <v>#N/A</v>
      </c>
      <c r="Z9" s="2" t="e">
        <f>VLOOKUP($C9,Score!$B$2:$Z$76,24,0)</f>
        <v>#N/A</v>
      </c>
      <c r="AA9" s="6" t="e">
        <f t="shared" si="0"/>
        <v>#N/A</v>
      </c>
      <c r="AB9">
        <f t="shared" si="1"/>
        <v>0</v>
      </c>
    </row>
    <row r="10" spans="3:28">
      <c r="C10"/>
      <c r="D10"/>
      <c r="E10" s="2" t="e">
        <f>VLOOKUP($C10,Score!$B$2:$X$77,2,0)</f>
        <v>#N/A</v>
      </c>
      <c r="F10" s="2" t="e">
        <f>VLOOKUP($C10,Score!$B$2:$X$77,3,0)</f>
        <v>#N/A</v>
      </c>
      <c r="G10" s="2" t="e">
        <f>VLOOKUP($C10,Score!$B$2:$X$77,4,0)</f>
        <v>#N/A</v>
      </c>
      <c r="H10" s="2" t="e">
        <f>VLOOKUP($C10,Score!$B$2:$X$77,5,0)</f>
        <v>#N/A</v>
      </c>
      <c r="I10" s="2" t="e">
        <f>VLOOKUP($C10,Score!$B$2:$X$77,6,0)</f>
        <v>#N/A</v>
      </c>
      <c r="J10" s="2" t="e">
        <f>VLOOKUP($C10,Score!$B$2:$X$77,7,0)</f>
        <v>#N/A</v>
      </c>
      <c r="K10" s="2" t="e">
        <f>VLOOKUP($C10,Score!$B$2:$X$77,8,0)</f>
        <v>#N/A</v>
      </c>
      <c r="L10" s="2" t="e">
        <f>VLOOKUP($C10,Score!$B$2:$X$77,9,0)</f>
        <v>#N/A</v>
      </c>
      <c r="M10" s="2" t="e">
        <f>VLOOKUP($C10,Score!$B$2:$X$77,10,0)</f>
        <v>#N/A</v>
      </c>
      <c r="N10" s="2" t="e">
        <f>VLOOKUP($C10,Score!$B$2:$X$77,11,0)</f>
        <v>#N/A</v>
      </c>
      <c r="O10" s="2" t="e">
        <f>VLOOKUP($C10,Score!$B$2:$X$77,12,0)</f>
        <v>#N/A</v>
      </c>
      <c r="P10" s="2" t="e">
        <f>VLOOKUP($C10,Score!$B$2:$X$77,13,0)</f>
        <v>#N/A</v>
      </c>
      <c r="Q10" s="2" t="e">
        <f>VLOOKUP($C10,Score!$B$2:$X$77,14,0)</f>
        <v>#N/A</v>
      </c>
      <c r="R10" s="2" t="e">
        <f>VLOOKUP($C10,Score!$B$2:$X$77,15,0)</f>
        <v>#N/A</v>
      </c>
      <c r="S10" s="2" t="e">
        <f>VLOOKUP($C10,Score!$B$2:$X$77,16,0)</f>
        <v>#N/A</v>
      </c>
      <c r="T10" s="2" t="e">
        <f>VLOOKUP($C10,Score!$B$2:$X$77,17,0)</f>
        <v>#N/A</v>
      </c>
      <c r="U10" s="2" t="e">
        <f>VLOOKUP($C10,Score!$B$2:$X$77,18,0)</f>
        <v>#N/A</v>
      </c>
      <c r="V10" s="2" t="e">
        <f>VLOOKUP($C10,Score!$B$2:$X$77,19,0)</f>
        <v>#N/A</v>
      </c>
      <c r="W10" s="2" t="e">
        <f>VLOOKUP($C10,Score!$B$2:$X$77,20,0)</f>
        <v>#N/A</v>
      </c>
      <c r="X10" s="2" t="e">
        <f>VLOOKUP($C10,Score!$B$2:$Z$76,21,0)</f>
        <v>#N/A</v>
      </c>
      <c r="Y10" s="2" t="e">
        <f>VLOOKUP($C10,Score!$B$2:$Z$76,22,0)</f>
        <v>#N/A</v>
      </c>
      <c r="Z10" s="2" t="e">
        <f>VLOOKUP($C10,Score!$B$2:$Z$76,24,0)</f>
        <v>#N/A</v>
      </c>
      <c r="AA10" s="6" t="e">
        <f t="shared" si="0"/>
        <v>#N/A</v>
      </c>
      <c r="AB10">
        <f t="shared" si="1"/>
        <v>0</v>
      </c>
    </row>
    <row r="11" spans="3:28">
      <c r="C11"/>
      <c r="D11"/>
      <c r="E11" s="2" t="e">
        <f>VLOOKUP($C11,Score!$B$2:$X$77,2,0)</f>
        <v>#N/A</v>
      </c>
      <c r="F11" s="2" t="e">
        <f>VLOOKUP($C11,Score!$B$2:$X$77,3,0)</f>
        <v>#N/A</v>
      </c>
      <c r="G11" s="2" t="e">
        <f>VLOOKUP($C11,Score!$B$2:$X$77,4,0)</f>
        <v>#N/A</v>
      </c>
      <c r="H11" s="2" t="e">
        <f>VLOOKUP($C11,Score!$B$2:$X$77,5,0)</f>
        <v>#N/A</v>
      </c>
      <c r="I11" s="2" t="e">
        <f>VLOOKUP($C11,Score!$B$2:$X$77,6,0)</f>
        <v>#N/A</v>
      </c>
      <c r="J11" s="2" t="e">
        <f>VLOOKUP($C11,Score!$B$2:$X$77,7,0)</f>
        <v>#N/A</v>
      </c>
      <c r="K11" s="2" t="e">
        <f>VLOOKUP($C11,Score!$B$2:$X$77,8,0)</f>
        <v>#N/A</v>
      </c>
      <c r="L11" s="2" t="e">
        <f>VLOOKUP($C11,Score!$B$2:$X$77,9,0)</f>
        <v>#N/A</v>
      </c>
      <c r="M11" s="2" t="e">
        <f>VLOOKUP($C11,Score!$B$2:$X$77,10,0)</f>
        <v>#N/A</v>
      </c>
      <c r="N11" s="2" t="e">
        <f>VLOOKUP($C11,Score!$B$2:$X$77,11,0)</f>
        <v>#N/A</v>
      </c>
      <c r="O11" s="2" t="e">
        <f>VLOOKUP($C11,Score!$B$2:$X$77,12,0)</f>
        <v>#N/A</v>
      </c>
      <c r="P11" s="2" t="e">
        <f>VLOOKUP($C11,Score!$B$2:$X$77,13,0)</f>
        <v>#N/A</v>
      </c>
      <c r="Q11" s="2" t="e">
        <f>VLOOKUP($C11,Score!$B$2:$X$77,14,0)</f>
        <v>#N/A</v>
      </c>
      <c r="R11" s="2" t="e">
        <f>VLOOKUP($C11,Score!$B$2:$X$77,15,0)</f>
        <v>#N/A</v>
      </c>
      <c r="S11" s="2" t="e">
        <f>VLOOKUP($C11,Score!$B$2:$X$77,16,0)</f>
        <v>#N/A</v>
      </c>
      <c r="T11" s="2" t="e">
        <f>VLOOKUP($C11,Score!$B$2:$X$77,17,0)</f>
        <v>#N/A</v>
      </c>
      <c r="U11" s="2" t="e">
        <f>VLOOKUP($C11,Score!$B$2:$X$77,18,0)</f>
        <v>#N/A</v>
      </c>
      <c r="V11" s="2" t="e">
        <f>VLOOKUP($C11,Score!$B$2:$X$77,19,0)</f>
        <v>#N/A</v>
      </c>
      <c r="W11" s="2" t="e">
        <f>VLOOKUP($C11,Score!$B$2:$X$77,20,0)</f>
        <v>#N/A</v>
      </c>
      <c r="X11" s="2" t="e">
        <f>VLOOKUP($C11,Score!$B$2:$Z$76,21,0)</f>
        <v>#N/A</v>
      </c>
      <c r="Y11" s="2" t="e">
        <f>VLOOKUP($C11,Score!$B$2:$Z$76,22,0)</f>
        <v>#N/A</v>
      </c>
      <c r="Z11" s="2" t="e">
        <f>VLOOKUP($C11,Score!$B$2:$Z$76,24,0)</f>
        <v>#N/A</v>
      </c>
      <c r="AA11" s="6" t="e">
        <f t="shared" si="0"/>
        <v>#N/A</v>
      </c>
      <c r="AB11">
        <f t="shared" si="1"/>
        <v>0</v>
      </c>
    </row>
    <row r="12" spans="3:28">
      <c r="C12"/>
      <c r="D12"/>
      <c r="E12" s="2" t="e">
        <f>VLOOKUP($C12,Score!$B$2:$X$77,2,0)</f>
        <v>#N/A</v>
      </c>
      <c r="F12" s="2" t="e">
        <f>VLOOKUP($C12,Score!$B$2:$X$77,3,0)</f>
        <v>#N/A</v>
      </c>
      <c r="G12" s="2" t="e">
        <f>VLOOKUP($C12,Score!$B$2:$X$77,4,0)</f>
        <v>#N/A</v>
      </c>
      <c r="H12" s="2" t="e">
        <f>VLOOKUP($C12,Score!$B$2:$X$77,5,0)</f>
        <v>#N/A</v>
      </c>
      <c r="I12" s="2" t="e">
        <f>VLOOKUP($C12,Score!$B$2:$X$77,6,0)</f>
        <v>#N/A</v>
      </c>
      <c r="J12" s="2" t="e">
        <f>VLOOKUP($C12,Score!$B$2:$X$77,7,0)</f>
        <v>#N/A</v>
      </c>
      <c r="K12" s="2" t="e">
        <f>VLOOKUP($C12,Score!$B$2:$X$77,8,0)</f>
        <v>#N/A</v>
      </c>
      <c r="L12" s="2" t="e">
        <f>VLOOKUP($C12,Score!$B$2:$X$77,9,0)</f>
        <v>#N/A</v>
      </c>
      <c r="M12" s="2" t="e">
        <f>VLOOKUP($C12,Score!$B$2:$X$77,10,0)</f>
        <v>#N/A</v>
      </c>
      <c r="N12" s="2" t="e">
        <f>VLOOKUP($C12,Score!$B$2:$X$77,11,0)</f>
        <v>#N/A</v>
      </c>
      <c r="O12" s="2" t="e">
        <f>VLOOKUP($C12,Score!$B$2:$X$77,12,0)</f>
        <v>#N/A</v>
      </c>
      <c r="P12" s="2" t="e">
        <f>VLOOKUP($C12,Score!$B$2:$X$77,13,0)</f>
        <v>#N/A</v>
      </c>
      <c r="Q12" s="2" t="e">
        <f>VLOOKUP($C12,Score!$B$2:$X$77,14,0)</f>
        <v>#N/A</v>
      </c>
      <c r="R12" s="2" t="e">
        <f>VLOOKUP($C12,Score!$B$2:$X$77,15,0)</f>
        <v>#N/A</v>
      </c>
      <c r="S12" s="2" t="e">
        <f>VLOOKUP($C12,Score!$B$2:$X$77,16,0)</f>
        <v>#N/A</v>
      </c>
      <c r="T12" s="2" t="e">
        <f>VLOOKUP($C12,Score!$B$2:$X$77,17,0)</f>
        <v>#N/A</v>
      </c>
      <c r="U12" s="2" t="e">
        <f>VLOOKUP($C12,Score!$B$2:$X$77,18,0)</f>
        <v>#N/A</v>
      </c>
      <c r="V12" s="2" t="e">
        <f>VLOOKUP($C12,Score!$B$2:$X$77,19,0)</f>
        <v>#N/A</v>
      </c>
      <c r="W12" s="2" t="e">
        <f>VLOOKUP($C12,Score!$B$2:$X$77,20,0)</f>
        <v>#N/A</v>
      </c>
      <c r="X12" s="2" t="e">
        <f>VLOOKUP($C12,Score!$B$2:$Z$76,21,0)</f>
        <v>#N/A</v>
      </c>
      <c r="Y12" s="2" t="e">
        <f>VLOOKUP($C12,Score!$B$2:$Z$76,22,0)</f>
        <v>#N/A</v>
      </c>
      <c r="Z12" s="2" t="e">
        <f>VLOOKUP($C12,Score!$B$2:$Z$76,24,0)</f>
        <v>#N/A</v>
      </c>
      <c r="AA12" s="6" t="e">
        <f t="shared" si="0"/>
        <v>#N/A</v>
      </c>
      <c r="AB12">
        <f t="shared" si="1"/>
        <v>0</v>
      </c>
    </row>
    <row r="13" spans="3:28">
      <c r="C13"/>
      <c r="D13"/>
      <c r="E13" s="2" t="e">
        <f>VLOOKUP($C13,Score!$B$2:$X$77,2,0)</f>
        <v>#N/A</v>
      </c>
      <c r="F13" s="2" t="e">
        <f>VLOOKUP($C13,Score!$B$2:$X$77,3,0)</f>
        <v>#N/A</v>
      </c>
      <c r="G13" s="2" t="e">
        <f>VLOOKUP($C13,Score!$B$2:$X$77,4,0)</f>
        <v>#N/A</v>
      </c>
      <c r="H13" s="2" t="e">
        <f>VLOOKUP($C13,Score!$B$2:$X$77,5,0)</f>
        <v>#N/A</v>
      </c>
      <c r="I13" s="2" t="e">
        <f>VLOOKUP($C13,Score!$B$2:$X$77,6,0)</f>
        <v>#N/A</v>
      </c>
      <c r="J13" s="2" t="e">
        <f>VLOOKUP($C13,Score!$B$2:$X$77,7,0)</f>
        <v>#N/A</v>
      </c>
      <c r="K13" s="2" t="e">
        <f>VLOOKUP($C13,Score!$B$2:$X$77,8,0)</f>
        <v>#N/A</v>
      </c>
      <c r="L13" s="2" t="e">
        <f>VLOOKUP($C13,Score!$B$2:$X$77,9,0)</f>
        <v>#N/A</v>
      </c>
      <c r="M13" s="2" t="e">
        <f>VLOOKUP($C13,Score!$B$2:$X$77,10,0)</f>
        <v>#N/A</v>
      </c>
      <c r="N13" s="2" t="e">
        <f>VLOOKUP($C13,Score!$B$2:$X$77,11,0)</f>
        <v>#N/A</v>
      </c>
      <c r="O13" s="2" t="e">
        <f>VLOOKUP($C13,Score!$B$2:$X$77,12,0)</f>
        <v>#N/A</v>
      </c>
      <c r="P13" s="2" t="e">
        <f>VLOOKUP($C13,Score!$B$2:$X$77,13,0)</f>
        <v>#N/A</v>
      </c>
      <c r="Q13" s="2" t="e">
        <f>VLOOKUP($C13,Score!$B$2:$X$77,14,0)</f>
        <v>#N/A</v>
      </c>
      <c r="R13" s="2" t="e">
        <f>VLOOKUP($C13,Score!$B$2:$X$77,15,0)</f>
        <v>#N/A</v>
      </c>
      <c r="S13" s="2" t="e">
        <f>VLOOKUP($C13,Score!$B$2:$X$77,16,0)</f>
        <v>#N/A</v>
      </c>
      <c r="T13" s="2" t="e">
        <f>VLOOKUP($C13,Score!$B$2:$X$77,17,0)</f>
        <v>#N/A</v>
      </c>
      <c r="U13" s="2" t="e">
        <f>VLOOKUP($C13,Score!$B$2:$X$77,18,0)</f>
        <v>#N/A</v>
      </c>
      <c r="V13" s="2" t="e">
        <f>VLOOKUP($C13,Score!$B$2:$X$77,19,0)</f>
        <v>#N/A</v>
      </c>
      <c r="W13" s="2" t="e">
        <f>VLOOKUP($C13,Score!$B$2:$X$77,20,0)</f>
        <v>#N/A</v>
      </c>
      <c r="X13" s="2" t="e">
        <f>VLOOKUP($C13,Score!$B$2:$Z$76,21,0)</f>
        <v>#N/A</v>
      </c>
      <c r="Y13" s="2" t="e">
        <f>VLOOKUP($C13,Score!$B$2:$Z$76,22,0)</f>
        <v>#N/A</v>
      </c>
      <c r="Z13" s="2" t="e">
        <f>VLOOKUP($C13,Score!$B$2:$Z$76,24,0)</f>
        <v>#N/A</v>
      </c>
      <c r="AA13" s="6" t="e">
        <f t="shared" si="0"/>
        <v>#N/A</v>
      </c>
      <c r="AB13">
        <f t="shared" si="1"/>
        <v>0</v>
      </c>
    </row>
    <row r="14" spans="3:28">
      <c r="C14"/>
      <c r="D14"/>
      <c r="E14" s="2" t="e">
        <f>VLOOKUP($C14,Score!$B$2:$X$77,2,0)</f>
        <v>#N/A</v>
      </c>
      <c r="F14" s="2" t="e">
        <f>VLOOKUP($C14,Score!$B$2:$X$77,3,0)</f>
        <v>#N/A</v>
      </c>
      <c r="G14" s="2" t="e">
        <f>VLOOKUP($C14,Score!$B$2:$X$77,4,0)</f>
        <v>#N/A</v>
      </c>
      <c r="H14" s="2" t="e">
        <f>VLOOKUP($C14,Score!$B$2:$X$77,5,0)</f>
        <v>#N/A</v>
      </c>
      <c r="I14" s="2" t="e">
        <f>VLOOKUP($C14,Score!$B$2:$X$77,6,0)</f>
        <v>#N/A</v>
      </c>
      <c r="J14" s="2" t="e">
        <f>VLOOKUP($C14,Score!$B$2:$X$77,7,0)</f>
        <v>#N/A</v>
      </c>
      <c r="K14" s="2" t="e">
        <f>VLOOKUP($C14,Score!$B$2:$X$77,8,0)</f>
        <v>#N/A</v>
      </c>
      <c r="L14" s="2" t="e">
        <f>VLOOKUP($C14,Score!$B$2:$X$77,9,0)</f>
        <v>#N/A</v>
      </c>
      <c r="M14" s="2" t="e">
        <f>VLOOKUP($C14,Score!$B$2:$X$77,10,0)</f>
        <v>#N/A</v>
      </c>
      <c r="N14" s="2" t="e">
        <f>VLOOKUP($C14,Score!$B$2:$X$77,11,0)</f>
        <v>#N/A</v>
      </c>
      <c r="O14" s="2" t="e">
        <f>VLOOKUP($C14,Score!$B$2:$X$77,12,0)</f>
        <v>#N/A</v>
      </c>
      <c r="P14" s="2" t="e">
        <f>VLOOKUP($C14,Score!$B$2:$X$77,13,0)</f>
        <v>#N/A</v>
      </c>
      <c r="Q14" s="2" t="e">
        <f>VLOOKUP($C14,Score!$B$2:$X$77,14,0)</f>
        <v>#N/A</v>
      </c>
      <c r="R14" s="2" t="e">
        <f>VLOOKUP($C14,Score!$B$2:$X$77,15,0)</f>
        <v>#N/A</v>
      </c>
      <c r="S14" s="2" t="e">
        <f>VLOOKUP($C14,Score!$B$2:$X$77,16,0)</f>
        <v>#N/A</v>
      </c>
      <c r="T14" s="2" t="e">
        <f>VLOOKUP($C14,Score!$B$2:$X$77,17,0)</f>
        <v>#N/A</v>
      </c>
      <c r="U14" s="2" t="e">
        <f>VLOOKUP($C14,Score!$B$2:$X$77,18,0)</f>
        <v>#N/A</v>
      </c>
      <c r="V14" s="2" t="e">
        <f>VLOOKUP($C14,Score!$B$2:$X$77,19,0)</f>
        <v>#N/A</v>
      </c>
      <c r="W14" s="2" t="e">
        <f>VLOOKUP($C14,Score!$B$2:$X$77,20,0)</f>
        <v>#N/A</v>
      </c>
      <c r="X14" s="2" t="e">
        <f>VLOOKUP($C14,Score!$B$2:$Z$76,21,0)</f>
        <v>#N/A</v>
      </c>
      <c r="Y14" s="2" t="e">
        <f>VLOOKUP($C14,Score!$B$2:$Z$76,22,0)</f>
        <v>#N/A</v>
      </c>
      <c r="Z14" s="2" t="e">
        <f>VLOOKUP($C14,Score!$B$2:$Z$76,24,0)</f>
        <v>#N/A</v>
      </c>
      <c r="AA14" s="6" t="e">
        <f t="shared" si="0"/>
        <v>#N/A</v>
      </c>
      <c r="AB14">
        <f t="shared" si="1"/>
        <v>0</v>
      </c>
    </row>
    <row r="15" spans="3:28">
      <c r="C15"/>
      <c r="D15"/>
      <c r="E15" s="2" t="e">
        <f>VLOOKUP($C15,Score!$B$2:$X$77,2,0)</f>
        <v>#N/A</v>
      </c>
      <c r="F15" s="2" t="e">
        <f>VLOOKUP($C15,Score!$B$2:$X$77,3,0)</f>
        <v>#N/A</v>
      </c>
      <c r="G15" s="2" t="e">
        <f>VLOOKUP($C15,Score!$B$2:$X$77,4,0)</f>
        <v>#N/A</v>
      </c>
      <c r="H15" s="2" t="e">
        <f>VLOOKUP($C15,Score!$B$2:$X$77,5,0)</f>
        <v>#N/A</v>
      </c>
      <c r="I15" s="2" t="e">
        <f>VLOOKUP($C15,Score!$B$2:$X$77,6,0)</f>
        <v>#N/A</v>
      </c>
      <c r="J15" s="2" t="e">
        <f>VLOOKUP($C15,Score!$B$2:$X$77,7,0)</f>
        <v>#N/A</v>
      </c>
      <c r="K15" s="2" t="e">
        <f>VLOOKUP($C15,Score!$B$2:$X$77,8,0)</f>
        <v>#N/A</v>
      </c>
      <c r="L15" s="2" t="e">
        <f>VLOOKUP($C15,Score!$B$2:$X$77,9,0)</f>
        <v>#N/A</v>
      </c>
      <c r="M15" s="2" t="e">
        <f>VLOOKUP($C15,Score!$B$2:$X$77,10,0)</f>
        <v>#N/A</v>
      </c>
      <c r="N15" s="2" t="e">
        <f>VLOOKUP($C15,Score!$B$2:$X$77,11,0)</f>
        <v>#N/A</v>
      </c>
      <c r="O15" s="2" t="e">
        <f>VLOOKUP($C15,Score!$B$2:$X$77,12,0)</f>
        <v>#N/A</v>
      </c>
      <c r="P15" s="2" t="e">
        <f>VLOOKUP($C15,Score!$B$2:$X$77,13,0)</f>
        <v>#N/A</v>
      </c>
      <c r="Q15" s="2" t="e">
        <f>VLOOKUP($C15,Score!$B$2:$X$77,14,0)</f>
        <v>#N/A</v>
      </c>
      <c r="R15" s="2" t="e">
        <f>VLOOKUP($C15,Score!$B$2:$X$77,15,0)</f>
        <v>#N/A</v>
      </c>
      <c r="S15" s="2" t="e">
        <f>VLOOKUP($C15,Score!$B$2:$X$77,16,0)</f>
        <v>#N/A</v>
      </c>
      <c r="T15" s="2" t="e">
        <f>VLOOKUP($C15,Score!$B$2:$X$77,17,0)</f>
        <v>#N/A</v>
      </c>
      <c r="U15" s="2" t="e">
        <f>VLOOKUP($C15,Score!$B$2:$X$77,18,0)</f>
        <v>#N/A</v>
      </c>
      <c r="V15" s="2" t="e">
        <f>VLOOKUP($C15,Score!$B$2:$X$77,19,0)</f>
        <v>#N/A</v>
      </c>
      <c r="W15" s="2" t="e">
        <f>VLOOKUP($C15,Score!$B$2:$X$77,20,0)</f>
        <v>#N/A</v>
      </c>
      <c r="X15" s="2" t="e">
        <f>VLOOKUP($C15,Score!$B$2:$Z$76,21,0)</f>
        <v>#N/A</v>
      </c>
      <c r="Y15" s="2" t="e">
        <f>VLOOKUP($C15,Score!$B$2:$Z$76,22,0)</f>
        <v>#N/A</v>
      </c>
      <c r="Z15" s="2" t="e">
        <f>VLOOKUP($C15,Score!$B$2:$Z$76,24,0)</f>
        <v>#N/A</v>
      </c>
      <c r="AA15" s="6" t="e">
        <f t="shared" si="0"/>
        <v>#N/A</v>
      </c>
      <c r="AB15">
        <f t="shared" si="1"/>
        <v>0</v>
      </c>
    </row>
    <row r="16" spans="3:28">
      <c r="C16"/>
      <c r="D16"/>
      <c r="E16" s="2" t="e">
        <f>VLOOKUP($C16,Score!$B$2:$X$77,2,0)</f>
        <v>#N/A</v>
      </c>
      <c r="F16" s="2" t="e">
        <f>VLOOKUP($C16,Score!$B$2:$X$77,3,0)</f>
        <v>#N/A</v>
      </c>
      <c r="G16" s="2" t="e">
        <f>VLOOKUP($C16,Score!$B$2:$X$77,4,0)</f>
        <v>#N/A</v>
      </c>
      <c r="H16" s="2" t="e">
        <f>VLOOKUP($C16,Score!$B$2:$X$77,5,0)</f>
        <v>#N/A</v>
      </c>
      <c r="I16" s="2" t="e">
        <f>VLOOKUP($C16,Score!$B$2:$X$77,6,0)</f>
        <v>#N/A</v>
      </c>
      <c r="J16" s="2" t="e">
        <f>VLOOKUP($C16,Score!$B$2:$X$77,7,0)</f>
        <v>#N/A</v>
      </c>
      <c r="K16" s="2" t="e">
        <f>VLOOKUP($C16,Score!$B$2:$X$77,8,0)</f>
        <v>#N/A</v>
      </c>
      <c r="L16" s="2" t="e">
        <f>VLOOKUP($C16,Score!$B$2:$X$77,9,0)</f>
        <v>#N/A</v>
      </c>
      <c r="M16" s="2" t="e">
        <f>VLOOKUP($C16,Score!$B$2:$X$77,10,0)</f>
        <v>#N/A</v>
      </c>
      <c r="N16" s="2" t="e">
        <f>VLOOKUP($C16,Score!$B$2:$X$77,11,0)</f>
        <v>#N/A</v>
      </c>
      <c r="O16" s="2" t="e">
        <f>VLOOKUP($C16,Score!$B$2:$X$77,12,0)</f>
        <v>#N/A</v>
      </c>
      <c r="P16" s="2" t="e">
        <f>VLOOKUP($C16,Score!$B$2:$X$77,13,0)</f>
        <v>#N/A</v>
      </c>
      <c r="Q16" s="2" t="e">
        <f>VLOOKUP($C16,Score!$B$2:$X$77,14,0)</f>
        <v>#N/A</v>
      </c>
      <c r="R16" s="2" t="e">
        <f>VLOOKUP($C16,Score!$B$2:$X$77,15,0)</f>
        <v>#N/A</v>
      </c>
      <c r="S16" s="2" t="e">
        <f>VLOOKUP($C16,Score!$B$2:$X$77,16,0)</f>
        <v>#N/A</v>
      </c>
      <c r="T16" s="2" t="e">
        <f>VLOOKUP($C16,Score!$B$2:$X$77,17,0)</f>
        <v>#N/A</v>
      </c>
      <c r="U16" s="2" t="e">
        <f>VLOOKUP($C16,Score!$B$2:$X$77,18,0)</f>
        <v>#N/A</v>
      </c>
      <c r="V16" s="2" t="e">
        <f>VLOOKUP($C16,Score!$B$2:$X$77,19,0)</f>
        <v>#N/A</v>
      </c>
      <c r="W16" s="2" t="e">
        <f>VLOOKUP($C16,Score!$B$2:$X$77,20,0)</f>
        <v>#N/A</v>
      </c>
      <c r="X16" s="2" t="e">
        <f>VLOOKUP($C16,Score!$B$2:$Z$76,21,0)</f>
        <v>#N/A</v>
      </c>
      <c r="Y16" s="2" t="e">
        <f>VLOOKUP($C16,Score!$B$2:$Z$76,22,0)</f>
        <v>#N/A</v>
      </c>
      <c r="Z16" s="2" t="e">
        <f>VLOOKUP($C16,Score!$B$2:$Z$76,24,0)</f>
        <v>#N/A</v>
      </c>
      <c r="AA16" s="6" t="e">
        <f t="shared" si="0"/>
        <v>#N/A</v>
      </c>
      <c r="AB16">
        <f t="shared" si="1"/>
        <v>0</v>
      </c>
    </row>
    <row r="17" spans="3:28">
      <c r="C17"/>
      <c r="D17"/>
      <c r="E17" s="2" t="e">
        <f>VLOOKUP($C17,Score!$B$2:$X$77,2,0)</f>
        <v>#N/A</v>
      </c>
      <c r="F17" s="2" t="e">
        <f>VLOOKUP($C17,Score!$B$2:$X$77,3,0)</f>
        <v>#N/A</v>
      </c>
      <c r="G17" s="2" t="e">
        <f>VLOOKUP($C17,Score!$B$2:$X$77,4,0)</f>
        <v>#N/A</v>
      </c>
      <c r="H17" s="2" t="e">
        <f>VLOOKUP($C17,Score!$B$2:$X$77,5,0)</f>
        <v>#N/A</v>
      </c>
      <c r="I17" s="2" t="e">
        <f>VLOOKUP($C17,Score!$B$2:$X$77,6,0)</f>
        <v>#N/A</v>
      </c>
      <c r="J17" s="2" t="e">
        <f>VLOOKUP($C17,Score!$B$2:$X$77,7,0)</f>
        <v>#N/A</v>
      </c>
      <c r="K17" s="2" t="e">
        <f>VLOOKUP($C17,Score!$B$2:$X$77,8,0)</f>
        <v>#N/A</v>
      </c>
      <c r="L17" s="2" t="e">
        <f>VLOOKUP($C17,Score!$B$2:$X$77,9,0)</f>
        <v>#N/A</v>
      </c>
      <c r="M17" s="2" t="e">
        <f>VLOOKUP($C17,Score!$B$2:$X$77,10,0)</f>
        <v>#N/A</v>
      </c>
      <c r="N17" s="2" t="e">
        <f>VLOOKUP($C17,Score!$B$2:$X$77,11,0)</f>
        <v>#N/A</v>
      </c>
      <c r="O17" s="2" t="e">
        <f>VLOOKUP($C17,Score!$B$2:$X$77,12,0)</f>
        <v>#N/A</v>
      </c>
      <c r="P17" s="2" t="e">
        <f>VLOOKUP($C17,Score!$B$2:$X$77,13,0)</f>
        <v>#N/A</v>
      </c>
      <c r="Q17" s="2" t="e">
        <f>VLOOKUP($C17,Score!$B$2:$X$77,14,0)</f>
        <v>#N/A</v>
      </c>
      <c r="R17" s="2" t="e">
        <f>VLOOKUP($C17,Score!$B$2:$X$77,15,0)</f>
        <v>#N/A</v>
      </c>
      <c r="S17" s="2" t="e">
        <f>VLOOKUP($C17,Score!$B$2:$X$77,16,0)</f>
        <v>#N/A</v>
      </c>
      <c r="T17" s="2" t="e">
        <f>VLOOKUP($C17,Score!$B$2:$X$77,17,0)</f>
        <v>#N/A</v>
      </c>
      <c r="U17" s="2" t="e">
        <f>VLOOKUP($C17,Score!$B$2:$X$77,18,0)</f>
        <v>#N/A</v>
      </c>
      <c r="V17" s="2" t="e">
        <f>VLOOKUP($C17,Score!$B$2:$X$77,19,0)</f>
        <v>#N/A</v>
      </c>
      <c r="W17" s="2" t="e">
        <f>VLOOKUP($C17,Score!$B$2:$X$77,20,0)</f>
        <v>#N/A</v>
      </c>
      <c r="X17" s="2" t="e">
        <f>VLOOKUP($C17,Score!$B$2:$Z$76,21,0)</f>
        <v>#N/A</v>
      </c>
      <c r="Y17" s="2" t="e">
        <f>VLOOKUP($C17,Score!$B$2:$Z$76,22,0)</f>
        <v>#N/A</v>
      </c>
      <c r="Z17" s="2" t="e">
        <f>VLOOKUP($C17,Score!$B$2:$Z$76,24,0)</f>
        <v>#N/A</v>
      </c>
      <c r="AA17" s="6" t="e">
        <f t="shared" si="0"/>
        <v>#N/A</v>
      </c>
      <c r="AB17">
        <f t="shared" si="1"/>
        <v>0</v>
      </c>
    </row>
    <row r="18" spans="3:28">
      <c r="C18"/>
      <c r="D18"/>
      <c r="E18" s="2" t="e">
        <f>VLOOKUP($C18,Score!$B$2:$X$77,2,0)</f>
        <v>#N/A</v>
      </c>
      <c r="F18" s="2" t="e">
        <f>VLOOKUP($C18,Score!$B$2:$X$77,3,0)</f>
        <v>#N/A</v>
      </c>
      <c r="G18" s="2" t="e">
        <f>VLOOKUP($C18,Score!$B$2:$X$77,4,0)</f>
        <v>#N/A</v>
      </c>
      <c r="H18" s="2" t="e">
        <f>VLOOKUP($C18,Score!$B$2:$X$77,5,0)</f>
        <v>#N/A</v>
      </c>
      <c r="I18" s="2" t="e">
        <f>VLOOKUP($C18,Score!$B$2:$X$77,6,0)</f>
        <v>#N/A</v>
      </c>
      <c r="J18" s="2" t="e">
        <f>VLOOKUP($C18,Score!$B$2:$X$77,7,0)</f>
        <v>#N/A</v>
      </c>
      <c r="K18" s="2" t="e">
        <f>VLOOKUP($C18,Score!$B$2:$X$77,8,0)</f>
        <v>#N/A</v>
      </c>
      <c r="L18" s="2" t="e">
        <f>VLOOKUP($C18,Score!$B$2:$X$77,9,0)</f>
        <v>#N/A</v>
      </c>
      <c r="M18" s="2" t="e">
        <f>VLOOKUP($C18,Score!$B$2:$X$77,10,0)</f>
        <v>#N/A</v>
      </c>
      <c r="N18" s="2" t="e">
        <f>VLOOKUP($C18,Score!$B$2:$X$77,11,0)</f>
        <v>#N/A</v>
      </c>
      <c r="O18" s="2" t="e">
        <f>VLOOKUP($C18,Score!$B$2:$X$77,12,0)</f>
        <v>#N/A</v>
      </c>
      <c r="P18" s="2" t="e">
        <f>VLOOKUP($C18,Score!$B$2:$X$77,13,0)</f>
        <v>#N/A</v>
      </c>
      <c r="Q18" s="2" t="e">
        <f>VLOOKUP($C18,Score!$B$2:$X$77,14,0)</f>
        <v>#N/A</v>
      </c>
      <c r="R18" s="2" t="e">
        <f>VLOOKUP($C18,Score!$B$2:$X$77,15,0)</f>
        <v>#N/A</v>
      </c>
      <c r="S18" s="2" t="e">
        <f>VLOOKUP($C18,Score!$B$2:$X$77,16,0)</f>
        <v>#N/A</v>
      </c>
      <c r="T18" s="2" t="e">
        <f>VLOOKUP($C18,Score!$B$2:$X$77,17,0)</f>
        <v>#N/A</v>
      </c>
      <c r="U18" s="2" t="e">
        <f>VLOOKUP($C18,Score!$B$2:$X$77,18,0)</f>
        <v>#N/A</v>
      </c>
      <c r="V18" s="2" t="e">
        <f>VLOOKUP($C18,Score!$B$2:$X$77,19,0)</f>
        <v>#N/A</v>
      </c>
      <c r="W18" s="2" t="e">
        <f>VLOOKUP($C18,Score!$B$2:$X$77,20,0)</f>
        <v>#N/A</v>
      </c>
      <c r="X18" s="2" t="e">
        <f>VLOOKUP($C18,Score!$B$2:$Z$76,21,0)</f>
        <v>#N/A</v>
      </c>
      <c r="Y18" s="2" t="e">
        <f>VLOOKUP($C18,Score!$B$2:$Z$76,22,0)</f>
        <v>#N/A</v>
      </c>
      <c r="Z18" s="2" t="e">
        <f>VLOOKUP($C18,Score!$B$2:$Z$76,24,0)</f>
        <v>#N/A</v>
      </c>
      <c r="AA18" s="6" t="e">
        <f t="shared" si="0"/>
        <v>#N/A</v>
      </c>
      <c r="AB18">
        <f t="shared" si="1"/>
        <v>0</v>
      </c>
    </row>
    <row r="19" spans="3:28">
      <c r="C19"/>
      <c r="D19"/>
      <c r="E19" s="2" t="e">
        <f>VLOOKUP($C19,Score!$B$2:$X$77,2,0)</f>
        <v>#N/A</v>
      </c>
      <c r="F19" s="2" t="e">
        <f>VLOOKUP($C19,Score!$B$2:$X$77,3,0)</f>
        <v>#N/A</v>
      </c>
      <c r="G19" s="2" t="e">
        <f>VLOOKUP($C19,Score!$B$2:$X$77,4,0)</f>
        <v>#N/A</v>
      </c>
      <c r="H19" s="2" t="e">
        <f>VLOOKUP($C19,Score!$B$2:$X$77,5,0)</f>
        <v>#N/A</v>
      </c>
      <c r="I19" s="2" t="e">
        <f>VLOOKUP($C19,Score!$B$2:$X$77,6,0)</f>
        <v>#N/A</v>
      </c>
      <c r="J19" s="2" t="e">
        <f>VLOOKUP($C19,Score!$B$2:$X$77,7,0)</f>
        <v>#N/A</v>
      </c>
      <c r="K19" s="2" t="e">
        <f>VLOOKUP($C19,Score!$B$2:$X$77,8,0)</f>
        <v>#N/A</v>
      </c>
      <c r="L19" s="2" t="e">
        <f>VLOOKUP($C19,Score!$B$2:$X$77,9,0)</f>
        <v>#N/A</v>
      </c>
      <c r="M19" s="2" t="e">
        <f>VLOOKUP($C19,Score!$B$2:$X$77,10,0)</f>
        <v>#N/A</v>
      </c>
      <c r="N19" s="2" t="e">
        <f>VLOOKUP($C19,Score!$B$2:$X$77,11,0)</f>
        <v>#N/A</v>
      </c>
      <c r="O19" s="2" t="e">
        <f>VLOOKUP($C19,Score!$B$2:$X$77,12,0)</f>
        <v>#N/A</v>
      </c>
      <c r="P19" s="2" t="e">
        <f>VLOOKUP($C19,Score!$B$2:$X$77,13,0)</f>
        <v>#N/A</v>
      </c>
      <c r="Q19" s="2" t="e">
        <f>VLOOKUP($C19,Score!$B$2:$X$77,14,0)</f>
        <v>#N/A</v>
      </c>
      <c r="R19" s="2" t="e">
        <f>VLOOKUP($C19,Score!$B$2:$X$77,15,0)</f>
        <v>#N/A</v>
      </c>
      <c r="S19" s="2" t="e">
        <f>VLOOKUP($C19,Score!$B$2:$X$77,16,0)</f>
        <v>#N/A</v>
      </c>
      <c r="T19" s="2" t="e">
        <f>VLOOKUP($C19,Score!$B$2:$X$77,17,0)</f>
        <v>#N/A</v>
      </c>
      <c r="U19" s="2" t="e">
        <f>VLOOKUP($C19,Score!$B$2:$X$77,18,0)</f>
        <v>#N/A</v>
      </c>
      <c r="V19" s="2" t="e">
        <f>VLOOKUP($C19,Score!$B$2:$X$77,19,0)</f>
        <v>#N/A</v>
      </c>
      <c r="W19" s="2" t="e">
        <f>VLOOKUP($C19,Score!$B$2:$X$77,20,0)</f>
        <v>#N/A</v>
      </c>
      <c r="X19" s="2" t="e">
        <f>VLOOKUP($C19,Score!$B$2:$Z$76,21,0)</f>
        <v>#N/A</v>
      </c>
      <c r="Y19" s="2" t="e">
        <f>VLOOKUP($C19,Score!$B$2:$Z$76,22,0)</f>
        <v>#N/A</v>
      </c>
      <c r="Z19" s="2" t="e">
        <f>VLOOKUP($C19,Score!$B$2:$Z$76,24,0)</f>
        <v>#N/A</v>
      </c>
      <c r="AA19" s="6" t="e">
        <f t="shared" si="0"/>
        <v>#N/A</v>
      </c>
      <c r="AB19">
        <f t="shared" si="1"/>
        <v>0</v>
      </c>
    </row>
    <row r="20" spans="3:28">
      <c r="C20"/>
      <c r="D20"/>
      <c r="E20" s="2" t="e">
        <f>VLOOKUP($C20,Score!$B$2:$X$77,2,0)</f>
        <v>#N/A</v>
      </c>
      <c r="F20" s="2" t="e">
        <f>VLOOKUP($C20,Score!$B$2:$X$77,3,0)</f>
        <v>#N/A</v>
      </c>
      <c r="G20" s="2" t="e">
        <f>VLOOKUP($C20,Score!$B$2:$X$77,4,0)</f>
        <v>#N/A</v>
      </c>
      <c r="H20" s="2" t="e">
        <f>VLOOKUP($C20,Score!$B$2:$X$77,5,0)</f>
        <v>#N/A</v>
      </c>
      <c r="I20" s="2" t="e">
        <f>VLOOKUP($C20,Score!$B$2:$X$77,6,0)</f>
        <v>#N/A</v>
      </c>
      <c r="J20" s="2" t="e">
        <f>VLOOKUP($C20,Score!$B$2:$X$77,7,0)</f>
        <v>#N/A</v>
      </c>
      <c r="K20" s="2" t="e">
        <f>VLOOKUP($C20,Score!$B$2:$X$77,8,0)</f>
        <v>#N/A</v>
      </c>
      <c r="L20" s="2" t="e">
        <f>VLOOKUP($C20,Score!$B$2:$X$77,9,0)</f>
        <v>#N/A</v>
      </c>
      <c r="M20" s="2" t="e">
        <f>VLOOKUP($C20,Score!$B$2:$X$77,10,0)</f>
        <v>#N/A</v>
      </c>
      <c r="N20" s="2" t="e">
        <f>VLOOKUP($C20,Score!$B$2:$X$77,11,0)</f>
        <v>#N/A</v>
      </c>
      <c r="O20" s="2" t="e">
        <f>VLOOKUP($C20,Score!$B$2:$X$77,12,0)</f>
        <v>#N/A</v>
      </c>
      <c r="P20" s="2" t="e">
        <f>VLOOKUP($C20,Score!$B$2:$X$77,13,0)</f>
        <v>#N/A</v>
      </c>
      <c r="Q20" s="2" t="e">
        <f>VLOOKUP($C20,Score!$B$2:$X$77,14,0)</f>
        <v>#N/A</v>
      </c>
      <c r="R20" s="2" t="e">
        <f>VLOOKUP($C20,Score!$B$2:$X$77,15,0)</f>
        <v>#N/A</v>
      </c>
      <c r="S20" s="2" t="e">
        <f>VLOOKUP($C20,Score!$B$2:$X$77,16,0)</f>
        <v>#N/A</v>
      </c>
      <c r="T20" s="2" t="e">
        <f>VLOOKUP($C20,Score!$B$2:$X$77,17,0)</f>
        <v>#N/A</v>
      </c>
      <c r="U20" s="2" t="e">
        <f>VLOOKUP($C20,Score!$B$2:$X$77,18,0)</f>
        <v>#N/A</v>
      </c>
      <c r="V20" s="2" t="e">
        <f>VLOOKUP($C20,Score!$B$2:$X$77,19,0)</f>
        <v>#N/A</v>
      </c>
      <c r="W20" s="2" t="e">
        <f>VLOOKUP($C20,Score!$B$2:$X$77,20,0)</f>
        <v>#N/A</v>
      </c>
      <c r="X20" s="2" t="e">
        <f>VLOOKUP($C20,Score!$B$2:$Z$76,21,0)</f>
        <v>#N/A</v>
      </c>
      <c r="Y20" s="2" t="e">
        <f>VLOOKUP($C20,Score!$B$2:$Z$76,22,0)</f>
        <v>#N/A</v>
      </c>
      <c r="Z20" s="2" t="e">
        <f>VLOOKUP($C20,Score!$B$2:$Z$76,24,0)</f>
        <v>#N/A</v>
      </c>
      <c r="AA20" s="6" t="e">
        <f>SUM(E20:Z20)</f>
        <v>#N/A</v>
      </c>
      <c r="AB20">
        <f t="shared" si="1"/>
        <v>0</v>
      </c>
    </row>
    <row r="21" spans="3:28" s="68" customFormat="1">
      <c r="C21" s="68" t="s">
        <v>16</v>
      </c>
      <c r="E21" s="69"/>
      <c r="F21" s="70"/>
      <c r="G21" s="69"/>
      <c r="H21" s="69"/>
      <c r="I21" s="69"/>
      <c r="J21" s="69"/>
      <c r="K21" s="69"/>
      <c r="L21" s="69"/>
      <c r="M21" s="69"/>
      <c r="N21" s="69"/>
      <c r="O21" s="69"/>
      <c r="P21" s="69"/>
      <c r="Q21" s="69"/>
      <c r="R21" s="69"/>
      <c r="S21" s="69"/>
      <c r="T21" s="69"/>
      <c r="U21" s="69"/>
      <c r="V21" s="69"/>
      <c r="W21" s="69"/>
      <c r="X21" s="69"/>
      <c r="Y21" s="69"/>
      <c r="Z21" s="69"/>
      <c r="AA21" s="72"/>
    </row>
    <row r="22" spans="3:28" s="1" customFormat="1">
      <c r="C22"/>
      <c r="D22"/>
      <c r="E22" s="66" t="e">
        <f t="shared" ref="E22:Z22" si="2">SUM(E4:E21)</f>
        <v>#N/A</v>
      </c>
      <c r="F22" s="66" t="e">
        <f t="shared" si="2"/>
        <v>#N/A</v>
      </c>
      <c r="G22" s="66" t="e">
        <f t="shared" si="2"/>
        <v>#N/A</v>
      </c>
      <c r="H22" s="66" t="e">
        <f t="shared" si="2"/>
        <v>#N/A</v>
      </c>
      <c r="I22" s="66" t="e">
        <f t="shared" si="2"/>
        <v>#N/A</v>
      </c>
      <c r="J22" s="66" t="e">
        <f t="shared" si="2"/>
        <v>#N/A</v>
      </c>
      <c r="K22" s="66" t="e">
        <f t="shared" si="2"/>
        <v>#N/A</v>
      </c>
      <c r="L22" s="66" t="e">
        <f t="shared" si="2"/>
        <v>#N/A</v>
      </c>
      <c r="M22" s="66" t="e">
        <f t="shared" si="2"/>
        <v>#N/A</v>
      </c>
      <c r="N22" s="66" t="e">
        <f t="shared" si="2"/>
        <v>#N/A</v>
      </c>
      <c r="O22" s="66" t="e">
        <f t="shared" si="2"/>
        <v>#N/A</v>
      </c>
      <c r="P22" s="66" t="e">
        <f t="shared" si="2"/>
        <v>#N/A</v>
      </c>
      <c r="Q22" s="66" t="e">
        <f t="shared" si="2"/>
        <v>#N/A</v>
      </c>
      <c r="R22" s="66" t="e">
        <f t="shared" si="2"/>
        <v>#N/A</v>
      </c>
      <c r="S22" s="66" t="e">
        <f t="shared" si="2"/>
        <v>#N/A</v>
      </c>
      <c r="T22" s="66" t="e">
        <f t="shared" si="2"/>
        <v>#N/A</v>
      </c>
      <c r="U22" s="66" t="e">
        <f t="shared" si="2"/>
        <v>#N/A</v>
      </c>
      <c r="V22" s="66" t="e">
        <f t="shared" si="2"/>
        <v>#N/A</v>
      </c>
      <c r="W22" s="66" t="e">
        <f t="shared" si="2"/>
        <v>#N/A</v>
      </c>
      <c r="X22" s="66" t="e">
        <f t="shared" si="2"/>
        <v>#N/A</v>
      </c>
      <c r="Y22" s="66" t="e">
        <f t="shared" si="2"/>
        <v>#N/A</v>
      </c>
      <c r="Z22" s="66" t="e">
        <f t="shared" si="2"/>
        <v>#N/A</v>
      </c>
      <c r="AA22" s="67" t="e">
        <f>SUM(AA4:AA21)</f>
        <v>#N/A</v>
      </c>
    </row>
    <row r="23" spans="3:28" s="51" customFormat="1">
      <c r="C23"/>
      <c r="D23"/>
      <c r="E23" s="52"/>
      <c r="F23" s="52"/>
      <c r="G23" s="47"/>
      <c r="H23" s="52"/>
      <c r="I23" s="52"/>
      <c r="J23" s="52"/>
      <c r="K23" s="52"/>
      <c r="L23" s="52"/>
      <c r="M23" s="52"/>
      <c r="N23" s="52"/>
      <c r="O23" s="52"/>
      <c r="P23" s="52"/>
      <c r="Q23" s="52"/>
      <c r="R23" s="52"/>
      <c r="S23" s="52"/>
      <c r="T23" s="52"/>
      <c r="U23" s="52"/>
      <c r="V23" s="52"/>
      <c r="W23" s="52"/>
      <c r="X23" s="52"/>
      <c r="Y23" s="52"/>
      <c r="Z23" s="52"/>
      <c r="AA23" s="60"/>
    </row>
    <row r="24" spans="3:28" s="63" customFormat="1">
      <c r="C24" s="61"/>
      <c r="D24" s="61"/>
      <c r="E24" s="62" t="e">
        <f>VLOOKUP($C24,Score!$B$2:$X$77,2,0)</f>
        <v>#N/A</v>
      </c>
      <c r="F24" s="62" t="e">
        <f>VLOOKUP($C24,Score!$B$2:$X$77,2,0)</f>
        <v>#N/A</v>
      </c>
      <c r="G24" s="62" t="e">
        <f>VLOOKUP($C24,Score!$B$2:$X$77,2,0)</f>
        <v>#N/A</v>
      </c>
      <c r="H24" s="62" t="e">
        <f>VLOOKUP($C24,Score!$B$2:$X$77,2,0)</f>
        <v>#N/A</v>
      </c>
      <c r="I24" s="62" t="e">
        <f>VLOOKUP($C24,Score!$B$2:$X$77,2,0)</f>
        <v>#N/A</v>
      </c>
      <c r="J24" s="62" t="e">
        <f>VLOOKUP($C24,Score!$B$2:$X$77,2,0)</f>
        <v>#N/A</v>
      </c>
      <c r="K24" s="62" t="e">
        <f>VLOOKUP($C24,Score!$B$2:$X$77,2,0)</f>
        <v>#N/A</v>
      </c>
      <c r="L24" s="62" t="e">
        <f>VLOOKUP($C24,Score!$B$2:$X$77,2,0)</f>
        <v>#N/A</v>
      </c>
      <c r="M24" s="62" t="e">
        <f>VLOOKUP($C24,Score!$B$2:$X$77,2,0)</f>
        <v>#N/A</v>
      </c>
      <c r="N24" s="62" t="e">
        <f>VLOOKUP($C24,Score!$B$2:$X$77,2,0)</f>
        <v>#N/A</v>
      </c>
      <c r="O24" s="62" t="e">
        <f>VLOOKUP($C24,Score!$B$2:$X$77,2,0)</f>
        <v>#N/A</v>
      </c>
      <c r="P24" s="62" t="e">
        <f>VLOOKUP($C24,Score!$B$2:$X$77,2,0)</f>
        <v>#N/A</v>
      </c>
      <c r="Q24" s="62" t="e">
        <f>VLOOKUP($C24,Score!$B$2:$X$77,2,0)</f>
        <v>#N/A</v>
      </c>
      <c r="R24" s="62" t="e">
        <f>VLOOKUP($C24,Score!$B$2:$X$77,2,0)</f>
        <v>#N/A</v>
      </c>
      <c r="S24" s="62" t="e">
        <f>VLOOKUP($C24,Score!$B$2:$X$77,2,0)</f>
        <v>#N/A</v>
      </c>
      <c r="T24" s="62" t="e">
        <f>VLOOKUP($C24,Score!$B$2:$X$77,2,0)</f>
        <v>#N/A</v>
      </c>
      <c r="U24" s="62" t="e">
        <f>VLOOKUP($C24,Score!$B$2:$X$77,2,0)</f>
        <v>#N/A</v>
      </c>
      <c r="V24" s="62" t="e">
        <f>VLOOKUP($C24,Score!$B$2:$X$77,2,0)</f>
        <v>#N/A</v>
      </c>
      <c r="W24" s="62" t="e">
        <f>VLOOKUP($C24,Score!$B$2:$X$77,2,0)</f>
        <v>#N/A</v>
      </c>
      <c r="X24" s="62" t="e">
        <f>VLOOKUP($C24,Score!$B$2:$X$77,2,0)</f>
        <v>#N/A</v>
      </c>
      <c r="Y24" s="62" t="e">
        <f>VLOOKUP($C24,Score!$B$2:$X$77,2,0)</f>
        <v>#N/A</v>
      </c>
      <c r="Z24" s="62" t="e">
        <f>VLOOKUP($C24,Score!$B$2:$X$77,2,0)</f>
        <v>#N/A</v>
      </c>
      <c r="AA24" s="62" t="e">
        <f>VLOOKUP($C24,Score!$B$2:$X$77,2,0)</f>
        <v>#N/A</v>
      </c>
    </row>
    <row r="25" spans="3:28" s="63" customFormat="1">
      <c r="C25" s="61"/>
      <c r="D25" s="61"/>
      <c r="E25" s="62" t="e">
        <f>VLOOKUP($C25,Score!$B$2:$X$77,2,0)</f>
        <v>#N/A</v>
      </c>
      <c r="F25" s="62" t="e">
        <f>VLOOKUP($C25,Score!$B$2:$X$77,2,0)</f>
        <v>#N/A</v>
      </c>
      <c r="G25" s="62" t="e">
        <f>VLOOKUP($C25,Score!$B$2:$X$77,2,0)</f>
        <v>#N/A</v>
      </c>
      <c r="H25" s="62" t="e">
        <f>VLOOKUP($C25,Score!$B$2:$X$77,2,0)</f>
        <v>#N/A</v>
      </c>
      <c r="I25" s="62" t="e">
        <f>VLOOKUP($C25,Score!$B$2:$X$77,2,0)</f>
        <v>#N/A</v>
      </c>
      <c r="J25" s="62" t="e">
        <f>VLOOKUP($C25,Score!$B$2:$X$77,2,0)</f>
        <v>#N/A</v>
      </c>
      <c r="K25" s="62" t="e">
        <f>VLOOKUP($C25,Score!$B$2:$X$77,2,0)</f>
        <v>#N/A</v>
      </c>
      <c r="L25" s="62" t="e">
        <f>VLOOKUP($C25,Score!$B$2:$X$77,2,0)</f>
        <v>#N/A</v>
      </c>
      <c r="M25" s="62" t="e">
        <f>VLOOKUP($C25,Score!$B$2:$X$77,2,0)</f>
        <v>#N/A</v>
      </c>
      <c r="N25" s="62" t="e">
        <f>VLOOKUP($C25,Score!$B$2:$X$77,2,0)</f>
        <v>#N/A</v>
      </c>
      <c r="O25" s="62" t="e">
        <f>VLOOKUP($C25,Score!$B$2:$X$77,2,0)</f>
        <v>#N/A</v>
      </c>
      <c r="P25" s="62" t="e">
        <f>VLOOKUP($C25,Score!$B$2:$X$77,2,0)</f>
        <v>#N/A</v>
      </c>
      <c r="Q25" s="62" t="e">
        <f>VLOOKUP($C25,Score!$B$2:$X$77,2,0)</f>
        <v>#N/A</v>
      </c>
      <c r="R25" s="62" t="e">
        <f>VLOOKUP($C25,Score!$B$2:$X$77,2,0)</f>
        <v>#N/A</v>
      </c>
      <c r="S25" s="62" t="e">
        <f>VLOOKUP($C25,Score!$B$2:$X$77,2,0)</f>
        <v>#N/A</v>
      </c>
      <c r="T25" s="62" t="e">
        <f>VLOOKUP($C25,Score!$B$2:$X$77,2,0)</f>
        <v>#N/A</v>
      </c>
      <c r="U25" s="62" t="e">
        <f>VLOOKUP($C25,Score!$B$2:$X$77,2,0)</f>
        <v>#N/A</v>
      </c>
      <c r="V25" s="62" t="e">
        <f>VLOOKUP($C25,Score!$B$2:$X$77,2,0)</f>
        <v>#N/A</v>
      </c>
      <c r="W25" s="62" t="e">
        <f>VLOOKUP($C25,Score!$B$2:$X$77,2,0)</f>
        <v>#N/A</v>
      </c>
      <c r="X25" s="62" t="e">
        <f>VLOOKUP($C25,Score!$B$2:$X$77,2,0)</f>
        <v>#N/A</v>
      </c>
      <c r="Y25" s="62" t="e">
        <f>VLOOKUP($C25,Score!$B$2:$X$77,2,0)</f>
        <v>#N/A</v>
      </c>
      <c r="Z25" s="62" t="e">
        <f>VLOOKUP($C25,Score!$B$2:$X$77,2,0)</f>
        <v>#N/A</v>
      </c>
      <c r="AA25" s="62" t="e">
        <f>VLOOKUP($C25,Score!$B$2:$X$77,2,0)</f>
        <v>#N/A</v>
      </c>
    </row>
    <row r="26" spans="3:28" s="63" customFormat="1">
      <c r="C26" s="61"/>
      <c r="D26" s="61"/>
      <c r="E26" s="62" t="e">
        <f>VLOOKUP($C26,Score!$B$2:$X$77,2,0)</f>
        <v>#N/A</v>
      </c>
      <c r="F26" s="62" t="e">
        <f>VLOOKUP($C26,Score!$B$2:$X$77,2,0)</f>
        <v>#N/A</v>
      </c>
      <c r="G26" s="62" t="e">
        <f>VLOOKUP($C26,Score!$B$2:$X$77,2,0)</f>
        <v>#N/A</v>
      </c>
      <c r="H26" s="62" t="e">
        <f>VLOOKUP($C26,Score!$B$2:$X$77,2,0)</f>
        <v>#N/A</v>
      </c>
      <c r="I26" s="62" t="e">
        <f>VLOOKUP($C26,Score!$B$2:$X$77,2,0)</f>
        <v>#N/A</v>
      </c>
      <c r="J26" s="62" t="e">
        <f>VLOOKUP($C26,Score!$B$2:$X$77,2,0)</f>
        <v>#N/A</v>
      </c>
      <c r="K26" s="62" t="e">
        <f>VLOOKUP($C26,Score!$B$2:$X$77,2,0)</f>
        <v>#N/A</v>
      </c>
      <c r="L26" s="62" t="e">
        <f>VLOOKUP($C26,Score!$B$2:$X$77,2,0)</f>
        <v>#N/A</v>
      </c>
      <c r="M26" s="62" t="e">
        <f>VLOOKUP($C26,Score!$B$2:$X$77,2,0)</f>
        <v>#N/A</v>
      </c>
      <c r="N26" s="62" t="e">
        <f>VLOOKUP($C26,Score!$B$2:$X$77,2,0)</f>
        <v>#N/A</v>
      </c>
      <c r="O26" s="62" t="e">
        <f>VLOOKUP($C26,Score!$B$2:$X$77,2,0)</f>
        <v>#N/A</v>
      </c>
      <c r="P26" s="62" t="e">
        <f>VLOOKUP($C26,Score!$B$2:$X$77,2,0)</f>
        <v>#N/A</v>
      </c>
      <c r="Q26" s="62" t="e">
        <f>VLOOKUP($C26,Score!$B$2:$X$77,2,0)</f>
        <v>#N/A</v>
      </c>
      <c r="R26" s="62" t="e">
        <f>VLOOKUP($C26,Score!$B$2:$X$77,2,0)</f>
        <v>#N/A</v>
      </c>
      <c r="S26" s="62" t="e">
        <f>VLOOKUP($C26,Score!$B$2:$X$77,2,0)</f>
        <v>#N/A</v>
      </c>
      <c r="T26" s="62" t="e">
        <f>VLOOKUP($C26,Score!$B$2:$X$77,2,0)</f>
        <v>#N/A</v>
      </c>
      <c r="U26" s="62" t="e">
        <f>VLOOKUP($C26,Score!$B$2:$X$77,2,0)</f>
        <v>#N/A</v>
      </c>
      <c r="V26" s="62" t="e">
        <f>VLOOKUP($C26,Score!$B$2:$X$77,2,0)</f>
        <v>#N/A</v>
      </c>
      <c r="W26" s="62" t="e">
        <f>VLOOKUP($C26,Score!$B$2:$X$77,2,0)</f>
        <v>#N/A</v>
      </c>
      <c r="X26" s="62" t="e">
        <f>VLOOKUP($C26,Score!$B$2:$X$77,2,0)</f>
        <v>#N/A</v>
      </c>
      <c r="Y26" s="62" t="e">
        <f>VLOOKUP($C26,Score!$B$2:$X$77,2,0)</f>
        <v>#N/A</v>
      </c>
      <c r="Z26" s="62" t="e">
        <f>VLOOKUP($C26,Score!$B$2:$X$77,2,0)</f>
        <v>#N/A</v>
      </c>
      <c r="AA26" s="62" t="e">
        <f>VLOOKUP($C26,Score!$B$2:$X$77,2,0)</f>
        <v>#N/A</v>
      </c>
    </row>
    <row r="27" spans="3:28" s="41" customFormat="1">
      <c r="E27" s="40"/>
      <c r="F27" s="40"/>
      <c r="G27" s="39"/>
      <c r="H27" s="40"/>
      <c r="I27" s="40"/>
      <c r="J27" s="40"/>
      <c r="K27" s="40"/>
      <c r="L27" s="40"/>
      <c r="M27" s="40"/>
      <c r="N27" s="40"/>
      <c r="O27" s="40"/>
      <c r="AA27" s="42"/>
    </row>
    <row r="28" spans="3:28" s="41" customFormat="1">
      <c r="C28" s="58"/>
      <c r="D28" s="58"/>
      <c r="E28" s="40"/>
      <c r="F28" s="40"/>
      <c r="G28" s="39"/>
      <c r="H28" s="40"/>
      <c r="I28" s="40"/>
      <c r="J28" s="40"/>
      <c r="K28" s="40"/>
      <c r="L28" s="40"/>
      <c r="M28" s="40"/>
      <c r="N28" s="40"/>
      <c r="O28" s="40"/>
      <c r="AA28" s="42"/>
    </row>
    <row r="29" spans="3:28" s="41" customFormat="1">
      <c r="C29" s="43"/>
      <c r="D29" s="43"/>
      <c r="E29" s="40"/>
      <c r="F29" s="40"/>
      <c r="G29" s="39"/>
      <c r="H29" s="40"/>
      <c r="I29" s="40"/>
      <c r="J29" s="40"/>
      <c r="K29" s="40"/>
      <c r="L29" s="40"/>
      <c r="M29" s="40"/>
      <c r="N29" s="40"/>
      <c r="O29" s="40"/>
      <c r="AA29" s="42"/>
    </row>
    <row r="30" spans="3:28" s="41" customFormat="1">
      <c r="C30" s="43"/>
      <c r="D30" s="43"/>
      <c r="E30" s="40"/>
      <c r="F30" s="40"/>
      <c r="G30" s="39"/>
      <c r="H30" s="40"/>
      <c r="I30" s="40"/>
      <c r="J30" s="40"/>
      <c r="K30" s="40"/>
      <c r="L30" s="40"/>
      <c r="M30" s="40"/>
      <c r="N30" s="40"/>
      <c r="O30" s="40"/>
      <c r="AA30" s="42"/>
    </row>
    <row r="31" spans="3:28" s="41" customFormat="1">
      <c r="E31" s="40"/>
      <c r="F31" s="40"/>
      <c r="G31" s="39"/>
      <c r="H31" s="40"/>
      <c r="I31" s="40"/>
      <c r="J31" s="40"/>
      <c r="K31" s="40"/>
      <c r="L31" s="40"/>
      <c r="M31" s="40"/>
      <c r="N31" s="40"/>
      <c r="O31" s="40"/>
      <c r="AA31" s="42"/>
    </row>
    <row r="32" spans="3:28" s="14" customFormat="1">
      <c r="C32" s="28"/>
      <c r="D32" s="28"/>
      <c r="E32" s="10"/>
      <c r="F32" s="10"/>
      <c r="G32" s="11"/>
      <c r="H32" s="12"/>
      <c r="I32" s="12"/>
      <c r="J32" s="12"/>
      <c r="K32" s="12"/>
      <c r="L32" s="12"/>
      <c r="M32" s="12"/>
      <c r="N32" s="12"/>
      <c r="O32" s="12"/>
      <c r="P32" s="13"/>
      <c r="AA32" s="15"/>
    </row>
    <row r="33" spans="3:27" s="14" customFormat="1">
      <c r="C33" s="28"/>
      <c r="D33" s="28"/>
      <c r="E33" s="10"/>
      <c r="F33" s="10"/>
      <c r="G33" s="11"/>
      <c r="H33" s="12"/>
      <c r="I33" s="12"/>
      <c r="J33" s="12"/>
      <c r="K33" s="12"/>
      <c r="L33" s="12"/>
      <c r="M33" s="12"/>
      <c r="N33" s="12"/>
      <c r="O33" s="12"/>
      <c r="P33" s="13"/>
      <c r="AA33" s="15"/>
    </row>
    <row r="34" spans="3:27" s="14" customFormat="1">
      <c r="C34" s="28"/>
      <c r="D34" s="28"/>
      <c r="E34" s="10"/>
      <c r="F34" s="10"/>
      <c r="G34" s="11"/>
      <c r="H34" s="12"/>
      <c r="I34" s="12"/>
      <c r="J34" s="12"/>
      <c r="K34" s="12"/>
      <c r="L34" s="12"/>
      <c r="M34" s="12"/>
      <c r="N34" s="12"/>
      <c r="O34" s="12"/>
      <c r="P34" s="13"/>
      <c r="AA34" s="15"/>
    </row>
    <row r="35" spans="3:27" s="14" customFormat="1">
      <c r="C35" s="28"/>
      <c r="D35" s="28"/>
      <c r="E35" s="10"/>
      <c r="F35" s="10"/>
      <c r="G35" s="11"/>
      <c r="H35" s="12"/>
      <c r="I35" s="12"/>
      <c r="J35" s="12"/>
      <c r="K35" s="12"/>
      <c r="L35" s="12"/>
      <c r="M35" s="12"/>
      <c r="N35" s="12"/>
      <c r="O35" s="12"/>
      <c r="P35" s="13"/>
      <c r="AA35" s="15"/>
    </row>
    <row r="36" spans="3:27" s="14" customFormat="1">
      <c r="C36" s="28"/>
      <c r="D36" s="28"/>
      <c r="E36" s="10"/>
      <c r="F36" s="10"/>
      <c r="G36" s="11"/>
      <c r="H36" s="12"/>
      <c r="I36" s="12"/>
      <c r="J36" s="12"/>
      <c r="K36" s="12"/>
      <c r="L36" s="12"/>
      <c r="M36" s="12"/>
      <c r="N36" s="12"/>
      <c r="O36" s="12"/>
      <c r="P36" s="13"/>
      <c r="AA36" s="15"/>
    </row>
    <row r="37" spans="3:27" s="14" customFormat="1">
      <c r="C37" s="28"/>
      <c r="D37" s="28"/>
      <c r="E37" s="10"/>
      <c r="F37" s="10"/>
      <c r="G37" s="11"/>
      <c r="H37" s="12"/>
      <c r="I37" s="12"/>
      <c r="J37" s="12"/>
      <c r="K37" s="12"/>
      <c r="L37" s="12"/>
      <c r="M37" s="12"/>
      <c r="N37" s="12"/>
      <c r="O37" s="12"/>
      <c r="P37" s="13"/>
      <c r="AA37" s="15"/>
    </row>
    <row r="38" spans="3:27" s="14" customFormat="1">
      <c r="C38" s="28"/>
      <c r="D38" s="28"/>
      <c r="E38" s="10"/>
      <c r="F38" s="10"/>
      <c r="G38" s="11"/>
      <c r="H38" s="12"/>
      <c r="I38" s="12"/>
      <c r="J38" s="12"/>
      <c r="K38" s="12"/>
      <c r="L38" s="12"/>
      <c r="M38" s="12"/>
      <c r="N38" s="12"/>
      <c r="O38" s="12"/>
      <c r="P38" s="13"/>
      <c r="AA38" s="15"/>
    </row>
    <row r="39" spans="3:27" s="14" customFormat="1">
      <c r="C39" s="28"/>
      <c r="D39" s="28"/>
      <c r="E39" s="10"/>
      <c r="F39" s="10"/>
      <c r="G39" s="11"/>
      <c r="H39" s="12"/>
      <c r="I39" s="12"/>
      <c r="J39" s="12"/>
      <c r="K39" s="12"/>
      <c r="L39" s="12"/>
      <c r="M39" s="12"/>
      <c r="N39" s="12"/>
      <c r="O39" s="12"/>
      <c r="P39" s="13"/>
      <c r="AA39" s="15"/>
    </row>
    <row r="40" spans="3:27" s="14" customFormat="1">
      <c r="C40" s="32"/>
      <c r="D40" s="32"/>
      <c r="E40" s="10"/>
      <c r="F40" s="10"/>
      <c r="G40" s="11"/>
      <c r="H40" s="12"/>
      <c r="I40" s="12"/>
      <c r="J40" s="12"/>
      <c r="K40" s="12"/>
      <c r="L40" s="12"/>
      <c r="M40" s="12"/>
      <c r="N40" s="12"/>
      <c r="O40" s="12"/>
      <c r="P40" s="13"/>
      <c r="AA40" s="15"/>
    </row>
    <row r="41" spans="3:27" s="14" customFormat="1">
      <c r="C41" s="32"/>
      <c r="D41" s="32"/>
      <c r="E41" s="10"/>
      <c r="F41" s="10"/>
      <c r="G41" s="11"/>
      <c r="H41" s="12"/>
      <c r="I41" s="12"/>
      <c r="J41" s="12"/>
      <c r="K41" s="12"/>
      <c r="L41" s="12"/>
      <c r="M41" s="12"/>
      <c r="N41" s="12"/>
      <c r="O41" s="12"/>
      <c r="P41" s="13"/>
      <c r="AA41" s="15"/>
    </row>
    <row r="42" spans="3:27" s="14" customFormat="1">
      <c r="C42" s="32"/>
      <c r="D42" s="32"/>
      <c r="E42" s="10"/>
      <c r="F42" s="10"/>
      <c r="G42" s="11"/>
      <c r="H42" s="12"/>
      <c r="I42" s="12"/>
      <c r="J42" s="12"/>
      <c r="K42" s="12"/>
      <c r="L42" s="12"/>
      <c r="M42" s="12"/>
      <c r="N42" s="12"/>
      <c r="O42" s="12"/>
      <c r="P42" s="13"/>
      <c r="AA42" s="15"/>
    </row>
    <row r="43" spans="3:27" s="14" customFormat="1">
      <c r="C43" s="32"/>
      <c r="D43" s="32"/>
      <c r="E43" s="10"/>
      <c r="F43" s="10"/>
      <c r="G43" s="11"/>
      <c r="H43" s="12"/>
      <c r="I43" s="12"/>
      <c r="J43" s="12"/>
      <c r="K43" s="12"/>
      <c r="L43" s="12"/>
      <c r="M43" s="12"/>
      <c r="N43" s="12"/>
      <c r="O43" s="12"/>
      <c r="P43" s="13"/>
      <c r="AA43" s="15"/>
    </row>
    <row r="44" spans="3:27" s="14" customFormat="1">
      <c r="C44" s="32"/>
      <c r="D44" s="32"/>
      <c r="E44" s="10"/>
      <c r="F44" s="10"/>
      <c r="G44" s="11"/>
      <c r="H44" s="12"/>
      <c r="I44" s="12"/>
      <c r="J44" s="12"/>
      <c r="K44" s="12"/>
      <c r="L44" s="12"/>
      <c r="M44" s="12"/>
      <c r="N44" s="12"/>
      <c r="O44" s="12"/>
      <c r="P44" s="13"/>
      <c r="AA44" s="15"/>
    </row>
    <row r="45" spans="3:27" s="14" customFormat="1">
      <c r="C45" s="32"/>
      <c r="D45" s="32"/>
      <c r="E45" s="10"/>
      <c r="F45" s="10"/>
      <c r="G45" s="11"/>
      <c r="H45" s="12"/>
      <c r="I45" s="12"/>
      <c r="J45" s="12"/>
      <c r="K45" s="12"/>
      <c r="L45" s="12"/>
      <c r="M45" s="12"/>
      <c r="N45" s="12"/>
      <c r="O45" s="12"/>
      <c r="P45" s="13"/>
      <c r="AA45" s="15"/>
    </row>
    <row r="46" spans="3:27" s="14" customFormat="1">
      <c r="C46" s="32"/>
      <c r="D46" s="32"/>
      <c r="E46" s="10"/>
      <c r="F46" s="10"/>
      <c r="G46" s="11"/>
      <c r="H46" s="12"/>
      <c r="I46" s="12"/>
      <c r="J46" s="12"/>
      <c r="K46" s="12"/>
      <c r="L46" s="12"/>
      <c r="M46" s="12"/>
      <c r="N46" s="12"/>
      <c r="O46" s="12"/>
      <c r="P46" s="13"/>
      <c r="AA46" s="15"/>
    </row>
    <row r="47" spans="3:27" s="14" customFormat="1">
      <c r="C47" s="32"/>
      <c r="D47" s="32"/>
      <c r="E47" s="10"/>
      <c r="F47" s="10"/>
      <c r="G47" s="11"/>
      <c r="H47" s="12"/>
      <c r="I47" s="12"/>
      <c r="J47" s="12"/>
      <c r="K47" s="12"/>
      <c r="L47" s="12"/>
      <c r="M47" s="12"/>
      <c r="N47" s="12"/>
      <c r="O47" s="12"/>
      <c r="P47" s="13"/>
      <c r="AA47" s="15"/>
    </row>
    <row r="48" spans="3:27" s="14" customFormat="1">
      <c r="C48" s="32"/>
      <c r="D48" s="32"/>
      <c r="E48" s="10"/>
      <c r="F48" s="10"/>
      <c r="G48" s="11"/>
      <c r="H48" s="12"/>
      <c r="I48" s="12"/>
      <c r="J48" s="12"/>
      <c r="K48" s="12"/>
      <c r="L48" s="12"/>
      <c r="M48" s="12"/>
      <c r="N48" s="12"/>
      <c r="O48" s="12"/>
      <c r="P48" s="13"/>
      <c r="AA48" s="15"/>
    </row>
    <row r="49" spans="3:27" s="14" customFormat="1">
      <c r="C49" s="32"/>
      <c r="D49" s="32"/>
      <c r="E49" s="10"/>
      <c r="F49" s="10"/>
      <c r="G49" s="11"/>
      <c r="H49" s="12"/>
      <c r="I49" s="12"/>
      <c r="J49" s="12"/>
      <c r="K49" s="12"/>
      <c r="L49" s="12"/>
      <c r="M49" s="12"/>
      <c r="N49" s="12"/>
      <c r="O49" s="12"/>
      <c r="P49" s="13"/>
      <c r="AA49" s="15"/>
    </row>
    <row r="50" spans="3:27" s="14" customFormat="1">
      <c r="C50" s="32"/>
      <c r="D50" s="32"/>
      <c r="E50" s="10"/>
      <c r="F50" s="10"/>
      <c r="G50" s="11"/>
      <c r="H50" s="12"/>
      <c r="I50" s="12"/>
      <c r="J50" s="12"/>
      <c r="K50" s="12"/>
      <c r="L50" s="12"/>
      <c r="M50" s="12"/>
      <c r="N50" s="12"/>
      <c r="O50" s="12"/>
      <c r="P50" s="13"/>
      <c r="AA50" s="15"/>
    </row>
    <row r="51" spans="3:27" s="14" customFormat="1">
      <c r="C51" s="32"/>
      <c r="D51" s="32"/>
      <c r="E51" s="10"/>
      <c r="F51" s="10"/>
      <c r="G51" s="11"/>
      <c r="H51" s="12"/>
      <c r="I51" s="12"/>
      <c r="J51" s="12"/>
      <c r="K51" s="12"/>
      <c r="L51" s="12"/>
      <c r="M51" s="12"/>
      <c r="N51" s="12"/>
      <c r="O51" s="12"/>
      <c r="P51" s="13"/>
      <c r="AA51" s="15"/>
    </row>
    <row r="52" spans="3:27" s="14" customFormat="1">
      <c r="C52" s="32"/>
      <c r="D52" s="32"/>
      <c r="E52" s="10"/>
      <c r="F52" s="10"/>
      <c r="G52" s="11"/>
      <c r="H52" s="12"/>
      <c r="I52" s="12"/>
      <c r="J52" s="12"/>
      <c r="K52" s="12"/>
      <c r="L52" s="12"/>
      <c r="M52" s="12"/>
      <c r="N52" s="12"/>
      <c r="O52" s="12"/>
      <c r="P52" s="13"/>
      <c r="AA52" s="15"/>
    </row>
    <row r="53" spans="3:27" s="14" customFormat="1">
      <c r="C53" s="32"/>
      <c r="D53" s="32"/>
      <c r="E53" s="10"/>
      <c r="F53" s="10"/>
      <c r="G53" s="11"/>
      <c r="H53" s="12"/>
      <c r="I53" s="12"/>
      <c r="J53" s="12"/>
      <c r="K53" s="12"/>
      <c r="L53" s="12"/>
      <c r="M53" s="12"/>
      <c r="N53" s="12"/>
      <c r="O53" s="12"/>
      <c r="P53" s="13"/>
      <c r="AA53" s="15"/>
    </row>
    <row r="54" spans="3:27" s="14" customFormat="1">
      <c r="C54" s="32"/>
      <c r="D54" s="32"/>
      <c r="E54" s="10"/>
      <c r="F54" s="10"/>
      <c r="G54" s="11"/>
      <c r="H54" s="12"/>
      <c r="I54" s="12"/>
      <c r="J54" s="12"/>
      <c r="K54" s="12"/>
      <c r="L54" s="12"/>
      <c r="M54" s="12"/>
      <c r="N54" s="12"/>
      <c r="O54" s="12"/>
      <c r="P54" s="13"/>
      <c r="AA54" s="15"/>
    </row>
    <row r="55" spans="3:27" s="14" customFormat="1">
      <c r="C55" s="32"/>
      <c r="D55" s="32"/>
      <c r="E55" s="10"/>
      <c r="F55" s="10"/>
      <c r="G55" s="11"/>
      <c r="H55" s="12"/>
      <c r="I55" s="12"/>
      <c r="J55" s="12"/>
      <c r="K55" s="12"/>
      <c r="L55" s="12"/>
      <c r="M55" s="12"/>
      <c r="N55" s="12"/>
      <c r="O55" s="12"/>
      <c r="P55" s="13"/>
      <c r="AA55" s="15"/>
    </row>
    <row r="56" spans="3:27" s="14" customFormat="1">
      <c r="C56" s="32"/>
      <c r="D56" s="32"/>
      <c r="E56" s="10"/>
      <c r="F56" s="10"/>
      <c r="G56" s="11"/>
      <c r="H56" s="12"/>
      <c r="I56" s="12"/>
      <c r="J56" s="12"/>
      <c r="K56" s="12"/>
      <c r="L56" s="12"/>
      <c r="M56" s="12"/>
      <c r="N56" s="12"/>
      <c r="O56" s="12"/>
      <c r="P56" s="13"/>
      <c r="AA56" s="15"/>
    </row>
    <row r="57" spans="3:27" s="14" customFormat="1">
      <c r="C57" s="32"/>
      <c r="D57" s="32"/>
      <c r="E57" s="10"/>
      <c r="F57" s="10"/>
      <c r="G57" s="11"/>
      <c r="H57" s="12"/>
      <c r="I57" s="12"/>
      <c r="J57" s="12"/>
      <c r="K57" s="12"/>
      <c r="L57" s="12"/>
      <c r="M57" s="12"/>
      <c r="N57" s="12"/>
      <c r="O57" s="12"/>
      <c r="P57" s="13"/>
      <c r="AA57" s="15"/>
    </row>
    <row r="58" spans="3:27" s="14" customFormat="1">
      <c r="C58" s="32"/>
      <c r="D58" s="32"/>
      <c r="E58" s="10"/>
      <c r="F58" s="10"/>
      <c r="G58" s="11"/>
      <c r="H58" s="12"/>
      <c r="I58" s="12"/>
      <c r="J58" s="12"/>
      <c r="K58" s="12"/>
      <c r="L58" s="12"/>
      <c r="M58" s="12"/>
      <c r="N58" s="12"/>
      <c r="O58" s="12"/>
      <c r="P58" s="13"/>
      <c r="AA58" s="15"/>
    </row>
    <row r="59" spans="3:27" s="14" customFormat="1">
      <c r="C59" s="32"/>
      <c r="D59" s="32"/>
      <c r="E59" s="10"/>
      <c r="F59" s="10"/>
      <c r="G59" s="11"/>
      <c r="H59" s="12"/>
      <c r="I59" s="12"/>
      <c r="J59" s="12"/>
      <c r="K59" s="12"/>
      <c r="L59" s="12"/>
      <c r="M59" s="12"/>
      <c r="N59" s="12"/>
      <c r="O59" s="12"/>
      <c r="P59" s="13"/>
      <c r="AA59" s="15"/>
    </row>
    <row r="60" spans="3:27" s="14" customFormat="1">
      <c r="C60" s="32"/>
      <c r="D60" s="32"/>
      <c r="E60" s="10"/>
      <c r="F60" s="10"/>
      <c r="G60" s="11"/>
      <c r="H60" s="12"/>
      <c r="I60" s="12"/>
      <c r="J60" s="12"/>
      <c r="K60" s="12"/>
      <c r="L60" s="12"/>
      <c r="M60" s="12"/>
      <c r="N60" s="12"/>
      <c r="O60" s="12"/>
      <c r="P60" s="13"/>
      <c r="AA60" s="15"/>
    </row>
    <row r="61" spans="3:27" s="14" customFormat="1">
      <c r="C61" s="32"/>
      <c r="D61" s="32"/>
      <c r="E61" s="10"/>
      <c r="F61" s="10"/>
      <c r="G61" s="11"/>
      <c r="H61" s="12"/>
      <c r="I61" s="12"/>
      <c r="J61" s="12"/>
      <c r="K61" s="12"/>
      <c r="L61" s="12"/>
      <c r="M61" s="12"/>
      <c r="N61" s="12"/>
      <c r="O61" s="12"/>
      <c r="P61" s="13"/>
      <c r="AA61" s="15"/>
    </row>
    <row r="62" spans="3:27" s="14" customFormat="1">
      <c r="C62" s="32"/>
      <c r="D62" s="32"/>
      <c r="E62" s="10"/>
      <c r="F62" s="10"/>
      <c r="G62" s="11"/>
      <c r="H62" s="12"/>
      <c r="I62" s="12"/>
      <c r="J62" s="12"/>
      <c r="K62" s="12"/>
      <c r="L62" s="12"/>
      <c r="M62" s="12"/>
      <c r="N62" s="12"/>
      <c r="O62" s="12"/>
      <c r="P62" s="13"/>
      <c r="AA62" s="15"/>
    </row>
    <row r="63" spans="3:27" s="14" customFormat="1">
      <c r="C63" s="32"/>
      <c r="D63" s="32"/>
      <c r="E63" s="10"/>
      <c r="F63" s="10"/>
      <c r="G63" s="11"/>
      <c r="H63" s="12"/>
      <c r="I63" s="12"/>
      <c r="J63" s="12"/>
      <c r="K63" s="12"/>
      <c r="L63" s="12"/>
      <c r="M63" s="12"/>
      <c r="N63" s="12"/>
      <c r="O63" s="12"/>
      <c r="P63" s="13"/>
      <c r="AA63" s="15"/>
    </row>
    <row r="64" spans="3:27" s="14" customFormat="1">
      <c r="C64" s="32"/>
      <c r="D64" s="32"/>
      <c r="E64" s="10"/>
      <c r="F64" s="10"/>
      <c r="G64" s="11"/>
      <c r="H64" s="12"/>
      <c r="I64" s="12"/>
      <c r="J64" s="12"/>
      <c r="K64" s="12"/>
      <c r="L64" s="12"/>
      <c r="M64" s="12"/>
      <c r="N64" s="12"/>
      <c r="O64" s="12"/>
      <c r="P64" s="13"/>
      <c r="AA64" s="15"/>
    </row>
    <row r="65" spans="3:27" s="14" customFormat="1">
      <c r="C65" s="32"/>
      <c r="D65" s="32"/>
      <c r="E65" s="10"/>
      <c r="F65" s="10"/>
      <c r="G65" s="11"/>
      <c r="H65" s="12"/>
      <c r="I65" s="12"/>
      <c r="J65" s="12"/>
      <c r="K65" s="12"/>
      <c r="L65" s="12"/>
      <c r="M65" s="12"/>
      <c r="N65" s="12"/>
      <c r="O65" s="12"/>
      <c r="P65" s="13"/>
      <c r="AA65" s="15"/>
    </row>
    <row r="66" spans="3:27" s="14" customFormat="1">
      <c r="C66" s="32"/>
      <c r="D66" s="32"/>
      <c r="E66" s="10"/>
      <c r="F66" s="10"/>
      <c r="G66" s="11"/>
      <c r="H66" s="12"/>
      <c r="I66" s="12"/>
      <c r="J66" s="12"/>
      <c r="K66" s="12"/>
      <c r="L66" s="12"/>
      <c r="M66" s="12"/>
      <c r="N66" s="12"/>
      <c r="O66" s="12"/>
      <c r="P66" s="13"/>
      <c r="AA66" s="15"/>
    </row>
    <row r="67" spans="3:27" s="14" customFormat="1">
      <c r="C67" s="32"/>
      <c r="D67" s="32"/>
      <c r="E67" s="10"/>
      <c r="F67" s="10"/>
      <c r="G67" s="11"/>
      <c r="H67" s="12"/>
      <c r="I67" s="12"/>
      <c r="J67" s="12"/>
      <c r="K67" s="12"/>
      <c r="L67" s="12"/>
      <c r="M67" s="12"/>
      <c r="N67" s="12"/>
      <c r="O67" s="12"/>
      <c r="P67" s="13"/>
      <c r="AA67" s="15"/>
    </row>
    <row r="68" spans="3:27" s="14" customFormat="1">
      <c r="C68" s="32"/>
      <c r="D68" s="32"/>
      <c r="E68" s="10"/>
      <c r="F68" s="10"/>
      <c r="G68" s="11"/>
      <c r="H68" s="12"/>
      <c r="I68" s="12"/>
      <c r="J68" s="12"/>
      <c r="K68" s="12"/>
      <c r="L68" s="12"/>
      <c r="M68" s="12"/>
      <c r="N68" s="12"/>
      <c r="O68" s="12"/>
      <c r="P68" s="13"/>
      <c r="AA68" s="15"/>
    </row>
    <row r="69" spans="3:27" s="14" customFormat="1">
      <c r="C69" s="32"/>
      <c r="D69" s="32"/>
      <c r="E69" s="10"/>
      <c r="F69" s="10"/>
      <c r="G69" s="11"/>
      <c r="H69" s="12"/>
      <c r="I69" s="12"/>
      <c r="J69" s="12"/>
      <c r="K69" s="12"/>
      <c r="L69" s="12"/>
      <c r="M69" s="12"/>
      <c r="N69" s="12"/>
      <c r="O69" s="12"/>
      <c r="P69" s="13"/>
      <c r="AA69" s="15"/>
    </row>
    <row r="70" spans="3:27" s="14" customFormat="1">
      <c r="C70" s="32"/>
      <c r="D70" s="32"/>
      <c r="E70" s="10"/>
      <c r="F70" s="10"/>
      <c r="G70" s="11"/>
      <c r="H70" s="12"/>
      <c r="I70" s="12"/>
      <c r="J70" s="12"/>
      <c r="K70" s="12"/>
      <c r="L70" s="12"/>
      <c r="M70" s="12"/>
      <c r="N70" s="12"/>
      <c r="O70" s="12"/>
      <c r="P70" s="13"/>
      <c r="AA70" s="15"/>
    </row>
    <row r="71" spans="3:27" s="14" customFormat="1">
      <c r="C71" s="32"/>
      <c r="D71" s="32"/>
      <c r="E71" s="10"/>
      <c r="F71" s="10"/>
      <c r="G71" s="11"/>
      <c r="H71" s="12"/>
      <c r="I71" s="12"/>
      <c r="J71" s="12"/>
      <c r="K71" s="12"/>
      <c r="L71" s="12"/>
      <c r="M71" s="12"/>
      <c r="N71" s="12"/>
      <c r="O71" s="12"/>
      <c r="P71" s="13"/>
      <c r="AA71" s="15"/>
    </row>
  </sheetData>
  <phoneticPr fontId="0" type="noConversion"/>
  <pageMargins left="0.75" right="0.75" top="1" bottom="1" header="0.5" footer="0.5"/>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sheetPr codeName="Blad10" enableFormatConditionsCalculation="0">
    <tabColor indexed="12"/>
  </sheetPr>
  <dimension ref="B1:AB30"/>
  <sheetViews>
    <sheetView showZeros="0" workbookViewId="0">
      <selection activeCell="D20" sqref="C4:D20"/>
    </sheetView>
  </sheetViews>
  <sheetFormatPr defaultRowHeight="12.75"/>
  <cols>
    <col min="1" max="1" width="2.7109375" style="116" customWidth="1"/>
    <col min="2" max="2" width="8.85546875" style="116" customWidth="1"/>
    <col min="3" max="4" width="13" style="121" customWidth="1"/>
    <col min="5" max="7" width="5" style="117" customWidth="1"/>
    <col min="8" max="8" width="5" style="148" customWidth="1"/>
    <col min="9" max="16" width="5" style="136" customWidth="1"/>
    <col min="17" max="17" width="5" style="134" customWidth="1"/>
    <col min="18" max="26" width="5" style="116" customWidth="1"/>
    <col min="27" max="27" width="5" style="120" customWidth="1"/>
    <col min="28" max="28" width="15" style="116" customWidth="1"/>
    <col min="29" max="16384" width="9.140625" style="116"/>
  </cols>
  <sheetData>
    <row r="1" spans="2:28">
      <c r="C1" s="273" t="s">
        <v>82</v>
      </c>
      <c r="D1" s="273"/>
    </row>
    <row r="2" spans="2:28">
      <c r="C2" s="177"/>
      <c r="D2" s="177"/>
      <c r="H2" s="136"/>
    </row>
    <row r="3" spans="2:28" s="134" customFormat="1" ht="13.5" thickBot="1">
      <c r="C3" s="274" t="s">
        <v>99</v>
      </c>
      <c r="D3" s="274"/>
      <c r="E3" s="119">
        <v>1</v>
      </c>
      <c r="F3" s="119">
        <v>2</v>
      </c>
      <c r="G3" s="119">
        <v>3</v>
      </c>
      <c r="H3" s="119">
        <v>4</v>
      </c>
      <c r="I3" s="119">
        <v>5</v>
      </c>
      <c r="J3" s="119">
        <v>6</v>
      </c>
      <c r="K3" s="119">
        <v>7</v>
      </c>
      <c r="L3" s="119">
        <v>8</v>
      </c>
      <c r="M3" s="119">
        <v>9</v>
      </c>
      <c r="N3" s="119">
        <v>10</v>
      </c>
      <c r="O3" s="119">
        <v>11</v>
      </c>
      <c r="P3" s="119">
        <v>12</v>
      </c>
      <c r="Q3" s="119">
        <v>13</v>
      </c>
      <c r="R3" s="119">
        <v>14</v>
      </c>
      <c r="S3" s="119">
        <v>15</v>
      </c>
      <c r="T3" s="119">
        <v>16</v>
      </c>
      <c r="U3" s="119">
        <v>17</v>
      </c>
      <c r="V3" s="119">
        <v>18</v>
      </c>
      <c r="W3" s="119">
        <v>19</v>
      </c>
      <c r="X3" s="119">
        <v>20</v>
      </c>
      <c r="Y3" s="119">
        <v>21</v>
      </c>
      <c r="Z3" s="119" t="s">
        <v>1</v>
      </c>
      <c r="AA3" s="154"/>
    </row>
    <row r="4" spans="2:28">
      <c r="B4" s="169"/>
      <c r="C4" s="275" t="s">
        <v>134</v>
      </c>
      <c r="D4" s="276" t="s">
        <v>117</v>
      </c>
      <c r="E4" s="117">
        <f t="shared" ref="E4:N13" si="0">INDEX(scorematrix,MATCH($C4,renners,0),MATCH(E$3,etappes,0))</f>
        <v>0</v>
      </c>
      <c r="F4" s="117">
        <f t="shared" si="0"/>
        <v>0</v>
      </c>
      <c r="G4" s="117">
        <f t="shared" si="0"/>
        <v>0</v>
      </c>
      <c r="H4" s="117">
        <f t="shared" si="0"/>
        <v>22</v>
      </c>
      <c r="I4" s="117">
        <f t="shared" si="0"/>
        <v>22</v>
      </c>
      <c r="J4" s="117">
        <f t="shared" si="0"/>
        <v>19</v>
      </c>
      <c r="K4" s="117">
        <f t="shared" si="0"/>
        <v>0</v>
      </c>
      <c r="L4" s="117">
        <f t="shared" si="0"/>
        <v>0</v>
      </c>
      <c r="M4" s="117">
        <f t="shared" si="0"/>
        <v>0</v>
      </c>
      <c r="N4" s="117">
        <f t="shared" si="0"/>
        <v>0</v>
      </c>
      <c r="O4" s="117">
        <f t="shared" ref="O4:Z13" si="1">INDEX(scorematrix,MATCH($C4,renners,0),MATCH(O$3,etappes,0))</f>
        <v>0</v>
      </c>
      <c r="P4" s="117">
        <f t="shared" si="1"/>
        <v>0</v>
      </c>
      <c r="Q4" s="117">
        <f t="shared" si="1"/>
        <v>0</v>
      </c>
      <c r="R4" s="117">
        <f t="shared" si="1"/>
        <v>0</v>
      </c>
      <c r="S4" s="117">
        <f t="shared" si="1"/>
        <v>22</v>
      </c>
      <c r="T4" s="117">
        <f t="shared" si="1"/>
        <v>7</v>
      </c>
      <c r="U4" s="117">
        <f t="shared" si="1"/>
        <v>0</v>
      </c>
      <c r="V4" s="117">
        <f t="shared" si="1"/>
        <v>0</v>
      </c>
      <c r="W4" s="117">
        <f t="shared" si="1"/>
        <v>0</v>
      </c>
      <c r="X4" s="117">
        <f t="shared" si="1"/>
        <v>0</v>
      </c>
      <c r="Y4" s="117">
        <f t="shared" si="1"/>
        <v>24</v>
      </c>
      <c r="Z4" s="117">
        <f t="shared" si="1"/>
        <v>0</v>
      </c>
      <c r="AA4" s="186">
        <f t="shared" ref="AA4:AA21" si="2">SUM(E4:Z4)</f>
        <v>116</v>
      </c>
      <c r="AB4" s="116" t="str">
        <f t="shared" ref="AB4:AB20" si="3">C4</f>
        <v>Boasson Hagen</v>
      </c>
    </row>
    <row r="5" spans="2:28">
      <c r="B5" s="169"/>
      <c r="C5" s="277" t="s">
        <v>111</v>
      </c>
      <c r="D5" s="276" t="s">
        <v>117</v>
      </c>
      <c r="E5" s="117">
        <f t="shared" si="0"/>
        <v>0</v>
      </c>
      <c r="F5" s="117">
        <f t="shared" si="0"/>
        <v>0</v>
      </c>
      <c r="G5" s="117">
        <f t="shared" si="0"/>
        <v>0</v>
      </c>
      <c r="H5" s="117">
        <f t="shared" si="0"/>
        <v>0</v>
      </c>
      <c r="I5" s="117">
        <f t="shared" si="0"/>
        <v>0</v>
      </c>
      <c r="J5" s="117">
        <f t="shared" si="0"/>
        <v>0</v>
      </c>
      <c r="K5" s="117">
        <f t="shared" si="0"/>
        <v>0</v>
      </c>
      <c r="L5" s="117">
        <f t="shared" si="0"/>
        <v>0</v>
      </c>
      <c r="M5" s="117">
        <f t="shared" si="0"/>
        <v>0</v>
      </c>
      <c r="N5" s="117">
        <f t="shared" si="0"/>
        <v>0</v>
      </c>
      <c r="O5" s="117">
        <f t="shared" si="1"/>
        <v>0</v>
      </c>
      <c r="P5" s="117">
        <f t="shared" si="1"/>
        <v>0</v>
      </c>
      <c r="Q5" s="117">
        <f t="shared" si="1"/>
        <v>0</v>
      </c>
      <c r="R5" s="117">
        <f t="shared" si="1"/>
        <v>0</v>
      </c>
      <c r="S5" s="117">
        <f t="shared" si="1"/>
        <v>0</v>
      </c>
      <c r="T5" s="117">
        <f t="shared" si="1"/>
        <v>0</v>
      </c>
      <c r="U5" s="117">
        <f t="shared" si="1"/>
        <v>0</v>
      </c>
      <c r="V5" s="117">
        <f t="shared" si="1"/>
        <v>0</v>
      </c>
      <c r="W5" s="117">
        <f t="shared" si="1"/>
        <v>0</v>
      </c>
      <c r="X5" s="117">
        <f t="shared" si="1"/>
        <v>0</v>
      </c>
      <c r="Y5" s="117">
        <f t="shared" si="1"/>
        <v>0</v>
      </c>
      <c r="Z5" s="117">
        <f t="shared" si="1"/>
        <v>0</v>
      </c>
      <c r="AA5" s="186">
        <f t="shared" si="2"/>
        <v>0</v>
      </c>
      <c r="AB5" s="116" t="str">
        <f t="shared" si="3"/>
        <v>Kwiatkowski</v>
      </c>
    </row>
    <row r="6" spans="2:28">
      <c r="B6" s="169"/>
      <c r="C6" s="277" t="s">
        <v>186</v>
      </c>
      <c r="D6" s="276" t="s">
        <v>117</v>
      </c>
      <c r="E6" s="117">
        <f t="shared" si="0"/>
        <v>43</v>
      </c>
      <c r="F6" s="117">
        <f t="shared" si="0"/>
        <v>27</v>
      </c>
      <c r="G6" s="117">
        <f t="shared" si="0"/>
        <v>9</v>
      </c>
      <c r="H6" s="117">
        <f t="shared" si="0"/>
        <v>47</v>
      </c>
      <c r="I6" s="117">
        <f t="shared" si="0"/>
        <v>11</v>
      </c>
      <c r="J6" s="117">
        <f t="shared" si="0"/>
        <v>10</v>
      </c>
      <c r="K6" s="117">
        <f t="shared" si="0"/>
        <v>0</v>
      </c>
      <c r="L6" s="117">
        <f t="shared" si="0"/>
        <v>0</v>
      </c>
      <c r="M6" s="117">
        <f t="shared" si="0"/>
        <v>0</v>
      </c>
      <c r="N6" s="117">
        <f t="shared" si="0"/>
        <v>0</v>
      </c>
      <c r="O6" s="117">
        <f t="shared" si="1"/>
        <v>0</v>
      </c>
      <c r="P6" s="117">
        <f t="shared" si="1"/>
        <v>0</v>
      </c>
      <c r="Q6" s="117">
        <f t="shared" si="1"/>
        <v>0</v>
      </c>
      <c r="R6" s="117">
        <f t="shared" si="1"/>
        <v>0</v>
      </c>
      <c r="S6" s="117">
        <f t="shared" si="1"/>
        <v>0</v>
      </c>
      <c r="T6" s="117">
        <f t="shared" si="1"/>
        <v>0</v>
      </c>
      <c r="U6" s="117">
        <f t="shared" si="1"/>
        <v>0</v>
      </c>
      <c r="V6" s="117">
        <f t="shared" si="1"/>
        <v>0</v>
      </c>
      <c r="W6" s="117">
        <f t="shared" si="1"/>
        <v>0</v>
      </c>
      <c r="X6" s="117">
        <f t="shared" si="1"/>
        <v>0</v>
      </c>
      <c r="Y6" s="117">
        <f t="shared" si="1"/>
        <v>0</v>
      </c>
      <c r="Z6" s="117">
        <f t="shared" si="1"/>
        <v>0</v>
      </c>
      <c r="AA6" s="186">
        <f t="shared" si="2"/>
        <v>147</v>
      </c>
      <c r="AB6" s="116" t="str">
        <f t="shared" si="3"/>
        <v>T.Martin</v>
      </c>
    </row>
    <row r="7" spans="2:28" s="170" customFormat="1">
      <c r="B7" s="169"/>
      <c r="C7" s="277" t="s">
        <v>116</v>
      </c>
      <c r="D7" s="276" t="s">
        <v>136</v>
      </c>
      <c r="E7" s="117">
        <f t="shared" si="0"/>
        <v>0</v>
      </c>
      <c r="F7" s="117">
        <f t="shared" si="0"/>
        <v>0</v>
      </c>
      <c r="G7" s="117">
        <f t="shared" si="0"/>
        <v>0</v>
      </c>
      <c r="H7" s="117">
        <f t="shared" si="0"/>
        <v>8</v>
      </c>
      <c r="I7" s="117">
        <f t="shared" si="0"/>
        <v>0</v>
      </c>
      <c r="J7" s="117">
        <f t="shared" si="0"/>
        <v>0</v>
      </c>
      <c r="K7" s="117">
        <f t="shared" si="0"/>
        <v>0</v>
      </c>
      <c r="L7" s="117">
        <f t="shared" si="0"/>
        <v>0</v>
      </c>
      <c r="M7" s="117">
        <f t="shared" si="0"/>
        <v>0</v>
      </c>
      <c r="N7" s="117">
        <f t="shared" si="0"/>
        <v>0</v>
      </c>
      <c r="O7" s="117">
        <f t="shared" si="1"/>
        <v>0</v>
      </c>
      <c r="P7" s="117">
        <f t="shared" si="1"/>
        <v>27</v>
      </c>
      <c r="Q7" s="117">
        <f t="shared" si="1"/>
        <v>1</v>
      </c>
      <c r="R7" s="117">
        <f t="shared" si="1"/>
        <v>27</v>
      </c>
      <c r="S7" s="117">
        <f t="shared" si="1"/>
        <v>1</v>
      </c>
      <c r="T7" s="117">
        <f t="shared" si="1"/>
        <v>1</v>
      </c>
      <c r="U7" s="117">
        <f t="shared" si="1"/>
        <v>0</v>
      </c>
      <c r="V7" s="117">
        <f t="shared" si="1"/>
        <v>40</v>
      </c>
      <c r="W7" s="117">
        <f t="shared" si="1"/>
        <v>29</v>
      </c>
      <c r="X7" s="117">
        <f t="shared" si="1"/>
        <v>13</v>
      </c>
      <c r="Y7" s="117">
        <f t="shared" si="1"/>
        <v>5</v>
      </c>
      <c r="Z7" s="117">
        <f t="shared" si="1"/>
        <v>39</v>
      </c>
      <c r="AA7" s="186">
        <f t="shared" si="2"/>
        <v>191</v>
      </c>
      <c r="AB7" s="116" t="str">
        <f t="shared" si="3"/>
        <v>Bardet</v>
      </c>
    </row>
    <row r="8" spans="2:28">
      <c r="B8" s="169"/>
      <c r="C8" s="277" t="s">
        <v>93</v>
      </c>
      <c r="D8" s="276" t="s">
        <v>136</v>
      </c>
      <c r="E8" s="117">
        <f t="shared" si="0"/>
        <v>0</v>
      </c>
      <c r="F8" s="117">
        <f t="shared" si="0"/>
        <v>0</v>
      </c>
      <c r="G8" s="117">
        <f t="shared" si="0"/>
        <v>0</v>
      </c>
      <c r="H8" s="117">
        <f t="shared" si="0"/>
        <v>0</v>
      </c>
      <c r="I8" s="117">
        <f t="shared" si="0"/>
        <v>0</v>
      </c>
      <c r="J8" s="117">
        <f t="shared" si="0"/>
        <v>0</v>
      </c>
      <c r="K8" s="117">
        <f t="shared" si="0"/>
        <v>0</v>
      </c>
      <c r="L8" s="117">
        <f t="shared" si="0"/>
        <v>0</v>
      </c>
      <c r="M8" s="117">
        <f t="shared" si="0"/>
        <v>0</v>
      </c>
      <c r="N8" s="117">
        <f t="shared" si="0"/>
        <v>0</v>
      </c>
      <c r="O8" s="117">
        <f t="shared" si="1"/>
        <v>0</v>
      </c>
      <c r="P8" s="117">
        <f t="shared" si="1"/>
        <v>0</v>
      </c>
      <c r="Q8" s="117">
        <f t="shared" si="1"/>
        <v>0</v>
      </c>
      <c r="R8" s="117">
        <f t="shared" si="1"/>
        <v>0</v>
      </c>
      <c r="S8" s="117">
        <f t="shared" si="1"/>
        <v>0</v>
      </c>
      <c r="T8" s="117">
        <f t="shared" si="1"/>
        <v>0</v>
      </c>
      <c r="U8" s="117">
        <f t="shared" si="1"/>
        <v>0</v>
      </c>
      <c r="V8" s="117">
        <f t="shared" si="1"/>
        <v>0</v>
      </c>
      <c r="W8" s="117">
        <f t="shared" si="1"/>
        <v>0</v>
      </c>
      <c r="X8" s="117">
        <f t="shared" si="1"/>
        <v>0</v>
      </c>
      <c r="Y8" s="117">
        <f t="shared" si="1"/>
        <v>0</v>
      </c>
      <c r="Z8" s="117">
        <f t="shared" si="1"/>
        <v>0</v>
      </c>
      <c r="AA8" s="186">
        <f t="shared" si="2"/>
        <v>0</v>
      </c>
      <c r="AB8" s="116" t="str">
        <f t="shared" si="3"/>
        <v>Costa</v>
      </c>
    </row>
    <row r="9" spans="2:28">
      <c r="B9" s="169"/>
      <c r="C9" s="277" t="s">
        <v>131</v>
      </c>
      <c r="D9" s="276" t="s">
        <v>136</v>
      </c>
      <c r="E9" s="117">
        <f t="shared" si="0"/>
        <v>15</v>
      </c>
      <c r="F9" s="117">
        <f t="shared" si="0"/>
        <v>0</v>
      </c>
      <c r="G9" s="117">
        <f t="shared" si="0"/>
        <v>12</v>
      </c>
      <c r="H9" s="117">
        <f t="shared" si="0"/>
        <v>12</v>
      </c>
      <c r="I9" s="117">
        <f t="shared" si="0"/>
        <v>0</v>
      </c>
      <c r="J9" s="117">
        <f t="shared" si="0"/>
        <v>14</v>
      </c>
      <c r="K9" s="117">
        <f t="shared" si="0"/>
        <v>0</v>
      </c>
      <c r="L9" s="117">
        <f t="shared" si="0"/>
        <v>7</v>
      </c>
      <c r="M9" s="117">
        <f t="shared" si="0"/>
        <v>0</v>
      </c>
      <c r="N9" s="117">
        <f t="shared" si="0"/>
        <v>29</v>
      </c>
      <c r="O9" s="117">
        <f t="shared" si="1"/>
        <v>15</v>
      </c>
      <c r="P9" s="117">
        <f t="shared" si="1"/>
        <v>12</v>
      </c>
      <c r="Q9" s="117">
        <f t="shared" si="1"/>
        <v>17</v>
      </c>
      <c r="R9" s="117">
        <f t="shared" si="1"/>
        <v>4</v>
      </c>
      <c r="S9" s="117">
        <f t="shared" si="1"/>
        <v>4</v>
      </c>
      <c r="T9" s="117">
        <f t="shared" si="1"/>
        <v>4</v>
      </c>
      <c r="U9" s="117">
        <f t="shared" si="1"/>
        <v>5</v>
      </c>
      <c r="V9" s="117">
        <f t="shared" si="1"/>
        <v>20</v>
      </c>
      <c r="W9" s="117">
        <f t="shared" si="1"/>
        <v>23</v>
      </c>
      <c r="X9" s="117">
        <f t="shared" si="1"/>
        <v>11</v>
      </c>
      <c r="Y9" s="117">
        <f t="shared" si="1"/>
        <v>5</v>
      </c>
      <c r="Z9" s="117">
        <f t="shared" si="1"/>
        <v>40</v>
      </c>
      <c r="AA9" s="186">
        <f t="shared" si="2"/>
        <v>249</v>
      </c>
      <c r="AB9" s="116" t="str">
        <f t="shared" si="3"/>
        <v>Gesink</v>
      </c>
    </row>
    <row r="10" spans="2:28">
      <c r="B10" s="169"/>
      <c r="C10" s="277" t="s">
        <v>118</v>
      </c>
      <c r="D10" s="276" t="s">
        <v>136</v>
      </c>
      <c r="E10" s="117">
        <f t="shared" si="0"/>
        <v>0</v>
      </c>
      <c r="F10" s="117">
        <f t="shared" si="0"/>
        <v>0</v>
      </c>
      <c r="G10" s="117">
        <f t="shared" si="0"/>
        <v>0</v>
      </c>
      <c r="H10" s="117">
        <f t="shared" si="0"/>
        <v>0</v>
      </c>
      <c r="I10" s="117">
        <f t="shared" si="0"/>
        <v>9</v>
      </c>
      <c r="J10" s="117">
        <f t="shared" si="0"/>
        <v>0</v>
      </c>
      <c r="K10" s="117">
        <f t="shared" si="0"/>
        <v>0</v>
      </c>
      <c r="L10" s="117">
        <f t="shared" si="0"/>
        <v>0</v>
      </c>
      <c r="M10" s="117">
        <f t="shared" si="0"/>
        <v>0</v>
      </c>
      <c r="N10" s="117">
        <f t="shared" si="0"/>
        <v>0</v>
      </c>
      <c r="O10" s="117">
        <f t="shared" si="1"/>
        <v>0</v>
      </c>
      <c r="P10" s="117">
        <f t="shared" si="1"/>
        <v>0</v>
      </c>
      <c r="Q10" s="117">
        <f t="shared" si="1"/>
        <v>0</v>
      </c>
      <c r="R10" s="117">
        <f t="shared" si="1"/>
        <v>0</v>
      </c>
      <c r="S10" s="117">
        <f t="shared" si="1"/>
        <v>0</v>
      </c>
      <c r="T10" s="117">
        <f t="shared" si="1"/>
        <v>0</v>
      </c>
      <c r="U10" s="117">
        <f t="shared" si="1"/>
        <v>0</v>
      </c>
      <c r="V10" s="117">
        <f t="shared" si="1"/>
        <v>0</v>
      </c>
      <c r="W10" s="117">
        <f t="shared" si="1"/>
        <v>0</v>
      </c>
      <c r="X10" s="117">
        <f t="shared" si="1"/>
        <v>0</v>
      </c>
      <c r="Y10" s="117">
        <f t="shared" si="1"/>
        <v>0</v>
      </c>
      <c r="Z10" s="117">
        <f t="shared" si="1"/>
        <v>0</v>
      </c>
      <c r="AA10" s="186">
        <f t="shared" si="2"/>
        <v>9</v>
      </c>
      <c r="AB10" s="116" t="str">
        <f t="shared" si="3"/>
        <v>Kangert</v>
      </c>
    </row>
    <row r="11" spans="2:28">
      <c r="B11" s="169"/>
      <c r="C11" s="296" t="s">
        <v>152</v>
      </c>
      <c r="D11" s="276" t="s">
        <v>136</v>
      </c>
      <c r="E11" s="117">
        <f t="shared" si="0"/>
        <v>0</v>
      </c>
      <c r="F11" s="117">
        <f t="shared" si="0"/>
        <v>0</v>
      </c>
      <c r="G11" s="117">
        <f t="shared" si="0"/>
        <v>10</v>
      </c>
      <c r="H11" s="117">
        <f t="shared" si="0"/>
        <v>0</v>
      </c>
      <c r="I11" s="117">
        <f t="shared" si="0"/>
        <v>0</v>
      </c>
      <c r="J11" s="117">
        <f t="shared" si="0"/>
        <v>0</v>
      </c>
      <c r="K11" s="117">
        <f t="shared" si="0"/>
        <v>0</v>
      </c>
      <c r="L11" s="117">
        <f t="shared" si="0"/>
        <v>0</v>
      </c>
      <c r="M11" s="117">
        <f t="shared" si="0"/>
        <v>0</v>
      </c>
      <c r="N11" s="117">
        <f t="shared" si="0"/>
        <v>0</v>
      </c>
      <c r="O11" s="117">
        <f t="shared" si="1"/>
        <v>0</v>
      </c>
      <c r="P11" s="117">
        <f t="shared" si="1"/>
        <v>0</v>
      </c>
      <c r="Q11" s="117">
        <f t="shared" si="1"/>
        <v>0</v>
      </c>
      <c r="R11" s="117">
        <f t="shared" si="1"/>
        <v>0</v>
      </c>
      <c r="S11" s="117">
        <f t="shared" si="1"/>
        <v>0</v>
      </c>
      <c r="T11" s="117">
        <f t="shared" si="1"/>
        <v>0</v>
      </c>
      <c r="U11" s="117">
        <f t="shared" si="1"/>
        <v>0</v>
      </c>
      <c r="V11" s="117">
        <f t="shared" si="1"/>
        <v>0</v>
      </c>
      <c r="W11" s="117">
        <f t="shared" si="1"/>
        <v>0</v>
      </c>
      <c r="X11" s="117">
        <f t="shared" si="1"/>
        <v>0</v>
      </c>
      <c r="Y11" s="117">
        <f t="shared" si="1"/>
        <v>0</v>
      </c>
      <c r="Z11" s="117">
        <f t="shared" si="1"/>
        <v>0</v>
      </c>
      <c r="AA11" s="186">
        <f t="shared" si="2"/>
        <v>10</v>
      </c>
      <c r="AB11" s="116" t="str">
        <f t="shared" si="3"/>
        <v>Peraud</v>
      </c>
    </row>
    <row r="12" spans="2:28">
      <c r="B12" s="169"/>
      <c r="C12" s="277" t="s">
        <v>94</v>
      </c>
      <c r="D12" s="276" t="s">
        <v>136</v>
      </c>
      <c r="E12" s="117">
        <f t="shared" si="0"/>
        <v>0</v>
      </c>
      <c r="F12" s="117">
        <f t="shared" si="0"/>
        <v>0</v>
      </c>
      <c r="G12" s="117">
        <f t="shared" si="0"/>
        <v>40</v>
      </c>
      <c r="H12" s="117">
        <f t="shared" si="0"/>
        <v>11</v>
      </c>
      <c r="I12" s="117">
        <f t="shared" si="0"/>
        <v>5</v>
      </c>
      <c r="J12" s="117">
        <f t="shared" si="0"/>
        <v>17</v>
      </c>
      <c r="K12" s="117">
        <f t="shared" si="0"/>
        <v>4</v>
      </c>
      <c r="L12" s="117">
        <f t="shared" si="0"/>
        <v>18</v>
      </c>
      <c r="M12" s="117">
        <f t="shared" si="0"/>
        <v>0</v>
      </c>
      <c r="N12" s="117">
        <f t="shared" si="0"/>
        <v>0</v>
      </c>
      <c r="O12" s="117">
        <f t="shared" si="1"/>
        <v>0</v>
      </c>
      <c r="P12" s="117">
        <f t="shared" si="1"/>
        <v>39</v>
      </c>
      <c r="Q12" s="117">
        <f t="shared" si="1"/>
        <v>4</v>
      </c>
      <c r="R12" s="117">
        <f t="shared" si="1"/>
        <v>4</v>
      </c>
      <c r="S12" s="117">
        <f t="shared" si="1"/>
        <v>4</v>
      </c>
      <c r="T12" s="117">
        <f t="shared" si="1"/>
        <v>4</v>
      </c>
      <c r="U12" s="117">
        <f t="shared" si="1"/>
        <v>4</v>
      </c>
      <c r="V12" s="117">
        <f t="shared" si="1"/>
        <v>5</v>
      </c>
      <c r="W12" s="117">
        <f t="shared" si="1"/>
        <v>3</v>
      </c>
      <c r="X12" s="117">
        <f t="shared" si="1"/>
        <v>15</v>
      </c>
      <c r="Y12" s="117">
        <f t="shared" si="1"/>
        <v>1</v>
      </c>
      <c r="Z12" s="117">
        <f t="shared" si="1"/>
        <v>1</v>
      </c>
      <c r="AA12" s="186">
        <f t="shared" si="2"/>
        <v>179</v>
      </c>
      <c r="AB12" s="116" t="str">
        <f t="shared" si="3"/>
        <v>Rodriguez</v>
      </c>
    </row>
    <row r="13" spans="2:28">
      <c r="B13" s="169"/>
      <c r="C13" s="296" t="s">
        <v>81</v>
      </c>
      <c r="D13" s="276" t="s">
        <v>136</v>
      </c>
      <c r="E13" s="117">
        <f t="shared" si="0"/>
        <v>0</v>
      </c>
      <c r="F13" s="117">
        <f t="shared" si="0"/>
        <v>0</v>
      </c>
      <c r="G13" s="117">
        <f t="shared" si="0"/>
        <v>6</v>
      </c>
      <c r="H13" s="117">
        <f t="shared" si="0"/>
        <v>0</v>
      </c>
      <c r="I13" s="117">
        <f t="shared" si="0"/>
        <v>0</v>
      </c>
      <c r="J13" s="117">
        <f t="shared" si="0"/>
        <v>0</v>
      </c>
      <c r="K13" s="117">
        <f t="shared" si="0"/>
        <v>0</v>
      </c>
      <c r="L13" s="117">
        <f t="shared" si="0"/>
        <v>6</v>
      </c>
      <c r="M13" s="117">
        <f t="shared" si="0"/>
        <v>0</v>
      </c>
      <c r="N13" s="117">
        <f t="shared" si="0"/>
        <v>18</v>
      </c>
      <c r="O13" s="117">
        <f t="shared" si="1"/>
        <v>10</v>
      </c>
      <c r="P13" s="117">
        <f t="shared" si="1"/>
        <v>11</v>
      </c>
      <c r="Q13" s="117">
        <f t="shared" si="1"/>
        <v>7</v>
      </c>
      <c r="R13" s="117">
        <f t="shared" si="1"/>
        <v>0</v>
      </c>
      <c r="S13" s="117">
        <f t="shared" si="1"/>
        <v>0</v>
      </c>
      <c r="T13" s="117">
        <f t="shared" si="1"/>
        <v>0</v>
      </c>
      <c r="U13" s="117">
        <f t="shared" si="1"/>
        <v>0</v>
      </c>
      <c r="V13" s="117">
        <f t="shared" si="1"/>
        <v>30</v>
      </c>
      <c r="W13" s="117">
        <f t="shared" si="1"/>
        <v>16</v>
      </c>
      <c r="X13" s="117">
        <f t="shared" si="1"/>
        <v>21</v>
      </c>
      <c r="Y13" s="117">
        <f t="shared" si="1"/>
        <v>1</v>
      </c>
      <c r="Z13" s="117">
        <f t="shared" si="1"/>
        <v>32</v>
      </c>
      <c r="AA13" s="186">
        <f t="shared" si="2"/>
        <v>158</v>
      </c>
      <c r="AB13" s="116" t="str">
        <f t="shared" si="3"/>
        <v>Rolland</v>
      </c>
    </row>
    <row r="14" spans="2:28">
      <c r="B14" s="169"/>
      <c r="C14" s="277" t="s">
        <v>76</v>
      </c>
      <c r="D14" s="276" t="s">
        <v>136</v>
      </c>
      <c r="E14" s="117">
        <f t="shared" ref="E14:N20" si="4">INDEX(scorematrix,MATCH($C14,renners,0),MATCH(E$3,etappes,0))</f>
        <v>0</v>
      </c>
      <c r="F14" s="117">
        <f t="shared" si="4"/>
        <v>0</v>
      </c>
      <c r="G14" s="117">
        <f t="shared" si="4"/>
        <v>15</v>
      </c>
      <c r="H14" s="117">
        <f t="shared" si="4"/>
        <v>15</v>
      </c>
      <c r="I14" s="117">
        <f t="shared" si="4"/>
        <v>0</v>
      </c>
      <c r="J14" s="117">
        <f t="shared" si="4"/>
        <v>11</v>
      </c>
      <c r="K14" s="117">
        <f t="shared" si="4"/>
        <v>0</v>
      </c>
      <c r="L14" s="117">
        <f t="shared" si="4"/>
        <v>26</v>
      </c>
      <c r="M14" s="117">
        <f t="shared" si="4"/>
        <v>0</v>
      </c>
      <c r="N14" s="117">
        <f t="shared" si="4"/>
        <v>30</v>
      </c>
      <c r="O14" s="117">
        <f t="shared" ref="O14:Z20" si="5">INDEX(scorematrix,MATCH($C14,renners,0),MATCH(O$3,etappes,0))</f>
        <v>25</v>
      </c>
      <c r="P14" s="117">
        <f t="shared" si="5"/>
        <v>24</v>
      </c>
      <c r="Q14" s="117">
        <f t="shared" si="5"/>
        <v>24</v>
      </c>
      <c r="R14" s="117">
        <f t="shared" si="5"/>
        <v>7</v>
      </c>
      <c r="S14" s="117">
        <f t="shared" si="5"/>
        <v>7</v>
      </c>
      <c r="T14" s="117">
        <f t="shared" si="5"/>
        <v>7</v>
      </c>
      <c r="U14" s="117">
        <f t="shared" si="5"/>
        <v>8</v>
      </c>
      <c r="V14" s="117">
        <f t="shared" si="5"/>
        <v>21</v>
      </c>
      <c r="W14" s="117">
        <f t="shared" si="5"/>
        <v>28</v>
      </c>
      <c r="X14" s="117">
        <f t="shared" si="5"/>
        <v>32</v>
      </c>
      <c r="Y14" s="117">
        <f t="shared" si="5"/>
        <v>8</v>
      </c>
      <c r="Z14" s="117">
        <f t="shared" si="5"/>
        <v>52</v>
      </c>
      <c r="AA14" s="186">
        <f t="shared" si="2"/>
        <v>340</v>
      </c>
      <c r="AB14" s="116" t="str">
        <f t="shared" si="3"/>
        <v>Valverde</v>
      </c>
    </row>
    <row r="15" spans="2:28">
      <c r="B15" s="169"/>
      <c r="C15" s="277" t="s">
        <v>95</v>
      </c>
      <c r="D15" s="276" t="s">
        <v>136</v>
      </c>
      <c r="E15" s="117">
        <f t="shared" si="4"/>
        <v>6</v>
      </c>
      <c r="F15" s="117">
        <f t="shared" si="4"/>
        <v>18</v>
      </c>
      <c r="G15" s="117">
        <f t="shared" si="4"/>
        <v>28</v>
      </c>
      <c r="H15" s="117">
        <f t="shared" si="4"/>
        <v>8</v>
      </c>
      <c r="I15" s="117">
        <f t="shared" si="4"/>
        <v>8</v>
      </c>
      <c r="J15" s="117">
        <f t="shared" si="4"/>
        <v>8</v>
      </c>
      <c r="K15" s="117">
        <f t="shared" si="4"/>
        <v>8</v>
      </c>
      <c r="L15" s="117">
        <f t="shared" si="4"/>
        <v>24</v>
      </c>
      <c r="M15" s="117">
        <f t="shared" si="4"/>
        <v>0.1</v>
      </c>
      <c r="N15" s="117">
        <f t="shared" si="4"/>
        <v>25</v>
      </c>
      <c r="O15" s="117">
        <f t="shared" si="5"/>
        <v>22</v>
      </c>
      <c r="P15" s="117">
        <f t="shared" si="5"/>
        <v>22</v>
      </c>
      <c r="Q15" s="117">
        <f t="shared" si="5"/>
        <v>25</v>
      </c>
      <c r="R15" s="117">
        <f t="shared" si="5"/>
        <v>8</v>
      </c>
      <c r="S15" s="117">
        <f t="shared" si="5"/>
        <v>8</v>
      </c>
      <c r="T15" s="117">
        <f t="shared" si="5"/>
        <v>8</v>
      </c>
      <c r="U15" s="117">
        <f t="shared" si="5"/>
        <v>0</v>
      </c>
      <c r="V15" s="117">
        <f t="shared" si="5"/>
        <v>0</v>
      </c>
      <c r="W15" s="117">
        <f t="shared" si="5"/>
        <v>0</v>
      </c>
      <c r="X15" s="117">
        <f t="shared" si="5"/>
        <v>0</v>
      </c>
      <c r="Y15" s="117">
        <f t="shared" si="5"/>
        <v>0</v>
      </c>
      <c r="Z15" s="117">
        <f t="shared" si="5"/>
        <v>0</v>
      </c>
      <c r="AA15" s="186">
        <f t="shared" si="2"/>
        <v>226.1</v>
      </c>
      <c r="AB15" s="116" t="str">
        <f t="shared" si="3"/>
        <v>van Garderen</v>
      </c>
    </row>
    <row r="16" spans="2:28">
      <c r="B16" s="169"/>
      <c r="C16" s="277" t="s">
        <v>96</v>
      </c>
      <c r="D16" s="276" t="s">
        <v>11</v>
      </c>
      <c r="E16" s="117">
        <f t="shared" si="4"/>
        <v>0</v>
      </c>
      <c r="F16" s="117">
        <f t="shared" si="4"/>
        <v>0</v>
      </c>
      <c r="G16" s="117">
        <f t="shared" si="4"/>
        <v>0</v>
      </c>
      <c r="H16" s="117">
        <f t="shared" si="4"/>
        <v>33</v>
      </c>
      <c r="I16" s="117">
        <f t="shared" si="4"/>
        <v>23</v>
      </c>
      <c r="J16" s="117">
        <f t="shared" si="4"/>
        <v>27</v>
      </c>
      <c r="K16" s="117">
        <f t="shared" si="4"/>
        <v>26</v>
      </c>
      <c r="L16" s="117">
        <f t="shared" si="4"/>
        <v>2</v>
      </c>
      <c r="M16" s="117">
        <f t="shared" si="4"/>
        <v>0</v>
      </c>
      <c r="N16" s="117">
        <f t="shared" si="4"/>
        <v>2</v>
      </c>
      <c r="O16" s="117">
        <f t="shared" si="5"/>
        <v>3</v>
      </c>
      <c r="P16" s="117">
        <f t="shared" si="5"/>
        <v>3</v>
      </c>
      <c r="Q16" s="117">
        <f t="shared" si="5"/>
        <v>27</v>
      </c>
      <c r="R16" s="117">
        <f t="shared" si="5"/>
        <v>3</v>
      </c>
      <c r="S16" s="117">
        <f t="shared" si="5"/>
        <v>33</v>
      </c>
      <c r="T16" s="117">
        <f t="shared" si="5"/>
        <v>3</v>
      </c>
      <c r="U16" s="117">
        <f t="shared" si="5"/>
        <v>3</v>
      </c>
      <c r="V16" s="117">
        <f t="shared" si="5"/>
        <v>3</v>
      </c>
      <c r="W16" s="117">
        <f t="shared" si="5"/>
        <v>3</v>
      </c>
      <c r="X16" s="117">
        <f t="shared" si="5"/>
        <v>3</v>
      </c>
      <c r="Y16" s="117">
        <f t="shared" si="5"/>
        <v>21</v>
      </c>
      <c r="Z16" s="117">
        <f t="shared" si="5"/>
        <v>5</v>
      </c>
      <c r="AA16" s="186">
        <f t="shared" si="2"/>
        <v>223</v>
      </c>
      <c r="AB16" s="116" t="str">
        <f t="shared" si="3"/>
        <v>Degenkolb</v>
      </c>
    </row>
    <row r="17" spans="2:28">
      <c r="B17" s="169"/>
      <c r="C17" s="277" t="s">
        <v>56</v>
      </c>
      <c r="D17" s="276" t="s">
        <v>11</v>
      </c>
      <c r="E17" s="117">
        <f t="shared" si="4"/>
        <v>0</v>
      </c>
      <c r="F17" s="117">
        <f t="shared" si="4"/>
        <v>40</v>
      </c>
      <c r="G17" s="117">
        <f t="shared" si="4"/>
        <v>5</v>
      </c>
      <c r="H17" s="117">
        <f t="shared" si="4"/>
        <v>5</v>
      </c>
      <c r="I17" s="117">
        <f t="shared" si="4"/>
        <v>40</v>
      </c>
      <c r="J17" s="117">
        <f t="shared" si="4"/>
        <v>5</v>
      </c>
      <c r="K17" s="117">
        <f t="shared" si="4"/>
        <v>35</v>
      </c>
      <c r="L17" s="117">
        <f t="shared" si="4"/>
        <v>4</v>
      </c>
      <c r="M17" s="117">
        <f t="shared" si="4"/>
        <v>0</v>
      </c>
      <c r="N17" s="117">
        <f t="shared" si="4"/>
        <v>5</v>
      </c>
      <c r="O17" s="117">
        <f t="shared" si="5"/>
        <v>4</v>
      </c>
      <c r="P17" s="117">
        <f t="shared" si="5"/>
        <v>4</v>
      </c>
      <c r="Q17" s="117">
        <f t="shared" si="5"/>
        <v>4</v>
      </c>
      <c r="R17" s="117">
        <f t="shared" si="5"/>
        <v>4</v>
      </c>
      <c r="S17" s="117">
        <f t="shared" si="5"/>
        <v>39</v>
      </c>
      <c r="T17" s="117">
        <f t="shared" si="5"/>
        <v>4</v>
      </c>
      <c r="U17" s="117">
        <f t="shared" si="5"/>
        <v>4</v>
      </c>
      <c r="V17" s="117">
        <f t="shared" si="5"/>
        <v>4</v>
      </c>
      <c r="W17" s="117">
        <f t="shared" si="5"/>
        <v>4</v>
      </c>
      <c r="X17" s="117">
        <f t="shared" si="5"/>
        <v>4</v>
      </c>
      <c r="Y17" s="117">
        <f t="shared" si="5"/>
        <v>39</v>
      </c>
      <c r="Z17" s="117">
        <f t="shared" si="5"/>
        <v>7</v>
      </c>
      <c r="AA17" s="186">
        <f t="shared" si="2"/>
        <v>260</v>
      </c>
      <c r="AB17" s="116" t="str">
        <f t="shared" si="3"/>
        <v>Greipel</v>
      </c>
    </row>
    <row r="18" spans="2:28">
      <c r="B18" s="169"/>
      <c r="C18" s="277" t="s">
        <v>97</v>
      </c>
      <c r="D18" s="276" t="s">
        <v>11</v>
      </c>
      <c r="E18" s="117">
        <f t="shared" si="4"/>
        <v>0</v>
      </c>
      <c r="F18" s="117">
        <f t="shared" si="4"/>
        <v>0</v>
      </c>
      <c r="G18" s="117">
        <f t="shared" si="4"/>
        <v>0</v>
      </c>
      <c r="H18" s="117">
        <f t="shared" si="4"/>
        <v>0</v>
      </c>
      <c r="I18" s="117">
        <f t="shared" si="4"/>
        <v>24</v>
      </c>
      <c r="J18" s="117">
        <f t="shared" si="4"/>
        <v>15</v>
      </c>
      <c r="K18" s="117">
        <f t="shared" si="4"/>
        <v>22</v>
      </c>
      <c r="L18" s="117">
        <f t="shared" si="4"/>
        <v>0</v>
      </c>
      <c r="M18" s="117">
        <f t="shared" si="4"/>
        <v>0</v>
      </c>
      <c r="N18" s="117">
        <f t="shared" si="4"/>
        <v>0</v>
      </c>
      <c r="O18" s="117">
        <f t="shared" si="5"/>
        <v>0</v>
      </c>
      <c r="P18" s="117">
        <f t="shared" si="5"/>
        <v>0</v>
      </c>
      <c r="Q18" s="117">
        <f t="shared" si="5"/>
        <v>0</v>
      </c>
      <c r="R18" s="117">
        <f t="shared" si="5"/>
        <v>0</v>
      </c>
      <c r="S18" s="117">
        <f t="shared" si="5"/>
        <v>26</v>
      </c>
      <c r="T18" s="117">
        <f t="shared" si="5"/>
        <v>0</v>
      </c>
      <c r="U18" s="117">
        <f t="shared" si="5"/>
        <v>0</v>
      </c>
      <c r="V18" s="117">
        <f t="shared" si="5"/>
        <v>0</v>
      </c>
      <c r="W18" s="117">
        <f t="shared" si="5"/>
        <v>0</v>
      </c>
      <c r="X18" s="117">
        <f t="shared" si="5"/>
        <v>0</v>
      </c>
      <c r="Y18" s="117">
        <f t="shared" si="5"/>
        <v>26</v>
      </c>
      <c r="Z18" s="117">
        <f t="shared" si="5"/>
        <v>0</v>
      </c>
      <c r="AA18" s="186">
        <f t="shared" si="2"/>
        <v>113</v>
      </c>
      <c r="AB18" s="116" t="str">
        <f t="shared" si="3"/>
        <v>Kristoff</v>
      </c>
    </row>
    <row r="19" spans="2:28">
      <c r="B19" s="169"/>
      <c r="C19" s="277" t="s">
        <v>153</v>
      </c>
      <c r="D19" s="276" t="s">
        <v>11</v>
      </c>
      <c r="E19" s="117">
        <f t="shared" si="4"/>
        <v>0</v>
      </c>
      <c r="F19" s="117">
        <f t="shared" si="4"/>
        <v>0</v>
      </c>
      <c r="G19" s="117">
        <f t="shared" si="4"/>
        <v>0</v>
      </c>
      <c r="H19" s="117">
        <f t="shared" si="4"/>
        <v>0</v>
      </c>
      <c r="I19" s="117">
        <f t="shared" si="4"/>
        <v>0</v>
      </c>
      <c r="J19" s="117">
        <f t="shared" si="4"/>
        <v>0</v>
      </c>
      <c r="K19" s="117">
        <f t="shared" si="4"/>
        <v>15</v>
      </c>
      <c r="L19" s="117">
        <f t="shared" si="4"/>
        <v>0</v>
      </c>
      <c r="M19" s="117">
        <f t="shared" si="4"/>
        <v>0</v>
      </c>
      <c r="N19" s="117">
        <f t="shared" si="4"/>
        <v>0</v>
      </c>
      <c r="O19" s="117">
        <f t="shared" si="5"/>
        <v>0</v>
      </c>
      <c r="P19" s="117">
        <f t="shared" si="5"/>
        <v>0</v>
      </c>
      <c r="Q19" s="117">
        <f t="shared" si="5"/>
        <v>0</v>
      </c>
      <c r="R19" s="117">
        <f t="shared" si="5"/>
        <v>0</v>
      </c>
      <c r="S19" s="117">
        <f t="shared" si="5"/>
        <v>20</v>
      </c>
      <c r="T19" s="117">
        <f t="shared" si="5"/>
        <v>0</v>
      </c>
      <c r="U19" s="117">
        <f t="shared" si="5"/>
        <v>0</v>
      </c>
      <c r="V19" s="117">
        <f t="shared" si="5"/>
        <v>0</v>
      </c>
      <c r="W19" s="117">
        <f t="shared" si="5"/>
        <v>0</v>
      </c>
      <c r="X19" s="117">
        <f t="shared" si="5"/>
        <v>0</v>
      </c>
      <c r="Y19" s="117">
        <f t="shared" si="5"/>
        <v>16</v>
      </c>
      <c r="Z19" s="117">
        <f t="shared" si="5"/>
        <v>0</v>
      </c>
      <c r="AA19" s="186">
        <f t="shared" si="2"/>
        <v>51</v>
      </c>
      <c r="AB19" s="116" t="str">
        <f t="shared" si="3"/>
        <v>Navardauskas</v>
      </c>
    </row>
    <row r="20" spans="2:28" ht="13.5" thickBot="1">
      <c r="B20" s="169"/>
      <c r="C20" s="289" t="s">
        <v>74</v>
      </c>
      <c r="D20" s="276" t="s">
        <v>11</v>
      </c>
      <c r="E20" s="117">
        <f t="shared" si="4"/>
        <v>7</v>
      </c>
      <c r="F20" s="117">
        <f t="shared" si="4"/>
        <v>41</v>
      </c>
      <c r="G20" s="117">
        <f t="shared" si="4"/>
        <v>9</v>
      </c>
      <c r="H20" s="117">
        <f t="shared" si="4"/>
        <v>36</v>
      </c>
      <c r="I20" s="117">
        <f t="shared" si="4"/>
        <v>41</v>
      </c>
      <c r="J20" s="117">
        <f t="shared" si="4"/>
        <v>41</v>
      </c>
      <c r="K20" s="117">
        <f t="shared" si="4"/>
        <v>39</v>
      </c>
      <c r="L20" s="117">
        <f t="shared" si="4"/>
        <v>38</v>
      </c>
      <c r="M20" s="117">
        <f t="shared" si="4"/>
        <v>0</v>
      </c>
      <c r="N20" s="117">
        <f t="shared" si="4"/>
        <v>4</v>
      </c>
      <c r="O20" s="117">
        <f t="shared" si="5"/>
        <v>5</v>
      </c>
      <c r="P20" s="117">
        <f t="shared" si="5"/>
        <v>5</v>
      </c>
      <c r="Q20" s="117">
        <f t="shared" si="5"/>
        <v>35</v>
      </c>
      <c r="R20" s="117">
        <f t="shared" si="5"/>
        <v>27</v>
      </c>
      <c r="S20" s="117">
        <f t="shared" si="5"/>
        <v>29</v>
      </c>
      <c r="T20" s="117">
        <f t="shared" si="5"/>
        <v>35</v>
      </c>
      <c r="U20" s="117">
        <f t="shared" si="5"/>
        <v>5</v>
      </c>
      <c r="V20" s="117">
        <f t="shared" si="5"/>
        <v>5</v>
      </c>
      <c r="W20" s="117">
        <f t="shared" si="5"/>
        <v>5</v>
      </c>
      <c r="X20" s="117">
        <f t="shared" si="5"/>
        <v>5</v>
      </c>
      <c r="Y20" s="117">
        <f t="shared" si="5"/>
        <v>24</v>
      </c>
      <c r="Z20" s="117">
        <f t="shared" si="5"/>
        <v>10</v>
      </c>
      <c r="AA20" s="186">
        <f t="shared" si="2"/>
        <v>446</v>
      </c>
      <c r="AB20" s="116" t="str">
        <f t="shared" si="3"/>
        <v>Sagan</v>
      </c>
    </row>
    <row r="21" spans="2:28" s="171" customFormat="1">
      <c r="C21" s="278"/>
      <c r="D21" s="178"/>
      <c r="E21" s="180"/>
      <c r="F21" s="180"/>
      <c r="G21" s="180"/>
      <c r="H21" s="180"/>
      <c r="I21" s="180">
        <f>I24</f>
        <v>28</v>
      </c>
      <c r="J21" s="180"/>
      <c r="K21" s="180"/>
      <c r="L21" s="180"/>
      <c r="M21" s="180"/>
      <c r="N21" s="180"/>
      <c r="O21" s="180"/>
      <c r="P21" s="180"/>
      <c r="Q21" s="180"/>
      <c r="R21" s="180"/>
      <c r="S21" s="180"/>
      <c r="T21" s="180"/>
      <c r="U21" s="180"/>
      <c r="V21" s="180"/>
      <c r="W21" s="180"/>
      <c r="X21" s="180"/>
      <c r="Y21" s="180"/>
      <c r="Z21" s="180"/>
      <c r="AA21" s="235">
        <f t="shared" si="2"/>
        <v>28</v>
      </c>
    </row>
    <row r="22" spans="2:28" s="120" customFormat="1">
      <c r="C22" s="179"/>
      <c r="D22" s="179"/>
      <c r="E22" s="172">
        <f t="shared" ref="E22:AA22" si="6">SUM(E4:E21)</f>
        <v>71</v>
      </c>
      <c r="F22" s="172">
        <f t="shared" ref="F22" si="7">SUM(F4:F21)</f>
        <v>126</v>
      </c>
      <c r="G22" s="172">
        <f>SUM(G4:G21)</f>
        <v>134</v>
      </c>
      <c r="H22" s="172">
        <f t="shared" si="6"/>
        <v>197</v>
      </c>
      <c r="I22" s="172">
        <f t="shared" si="6"/>
        <v>211</v>
      </c>
      <c r="J22" s="172">
        <f t="shared" si="6"/>
        <v>167</v>
      </c>
      <c r="K22" s="172">
        <f t="shared" si="6"/>
        <v>149</v>
      </c>
      <c r="L22" s="172">
        <f t="shared" si="6"/>
        <v>125</v>
      </c>
      <c r="M22" s="172">
        <f t="shared" si="6"/>
        <v>0.1</v>
      </c>
      <c r="N22" s="172">
        <f t="shared" si="6"/>
        <v>113</v>
      </c>
      <c r="O22" s="172">
        <f t="shared" si="6"/>
        <v>84</v>
      </c>
      <c r="P22" s="172">
        <f t="shared" si="6"/>
        <v>147</v>
      </c>
      <c r="Q22" s="172">
        <f t="shared" si="6"/>
        <v>144</v>
      </c>
      <c r="R22" s="172">
        <f t="shared" si="6"/>
        <v>84</v>
      </c>
      <c r="S22" s="172">
        <f t="shared" si="6"/>
        <v>193</v>
      </c>
      <c r="T22" s="172">
        <f t="shared" si="6"/>
        <v>73</v>
      </c>
      <c r="U22" s="172">
        <f t="shared" si="6"/>
        <v>29</v>
      </c>
      <c r="V22" s="172">
        <f t="shared" si="6"/>
        <v>128</v>
      </c>
      <c r="W22" s="172">
        <f t="shared" si="6"/>
        <v>111</v>
      </c>
      <c r="X22" s="172">
        <f t="shared" si="6"/>
        <v>104</v>
      </c>
      <c r="Y22" s="172">
        <f t="shared" si="6"/>
        <v>170</v>
      </c>
      <c r="Z22" s="172">
        <f t="shared" si="6"/>
        <v>186</v>
      </c>
      <c r="AA22" s="236">
        <f t="shared" si="6"/>
        <v>2746.1</v>
      </c>
    </row>
    <row r="23" spans="2:28" s="173" customFormat="1">
      <c r="C23" s="176"/>
      <c r="D23" s="176"/>
      <c r="E23" s="151"/>
      <c r="F23" s="151"/>
      <c r="G23" s="151"/>
      <c r="H23" s="174"/>
      <c r="I23" s="151"/>
      <c r="J23" s="151"/>
      <c r="K23" s="151"/>
      <c r="L23" s="151"/>
      <c r="M23" s="151"/>
      <c r="N23" s="151"/>
      <c r="O23" s="151"/>
      <c r="P23" s="151"/>
      <c r="Q23" s="151"/>
      <c r="R23" s="151"/>
      <c r="S23" s="151"/>
      <c r="T23" s="151"/>
      <c r="U23" s="151"/>
      <c r="V23" s="151"/>
      <c r="W23" s="151"/>
      <c r="X23" s="151"/>
      <c r="Y23" s="151"/>
      <c r="Z23" s="151"/>
      <c r="AA23" s="237"/>
    </row>
    <row r="24" spans="2:28" s="175" customFormat="1">
      <c r="B24" s="169"/>
      <c r="C24" s="279" t="s">
        <v>45</v>
      </c>
      <c r="D24" s="279"/>
      <c r="E24" s="193">
        <f t="shared" ref="E24:Z26" si="8">INDEX(scorematrix,MATCH($C24,renners,0),MATCH(E$3,etappes,0))</f>
        <v>0</v>
      </c>
      <c r="F24" s="193">
        <f t="shared" si="8"/>
        <v>26</v>
      </c>
      <c r="G24" s="193">
        <f t="shared" si="8"/>
        <v>2</v>
      </c>
      <c r="H24" s="193">
        <f t="shared" si="8"/>
        <v>15</v>
      </c>
      <c r="I24" s="234">
        <f t="shared" si="8"/>
        <v>28</v>
      </c>
      <c r="J24" s="193">
        <f t="shared" si="8"/>
        <v>2</v>
      </c>
      <c r="K24" s="193">
        <f t="shared" si="8"/>
        <v>38</v>
      </c>
      <c r="L24" s="193">
        <f t="shared" si="8"/>
        <v>3</v>
      </c>
      <c r="M24" s="193">
        <f t="shared" si="8"/>
        <v>0</v>
      </c>
      <c r="N24" s="193">
        <f t="shared" si="8"/>
        <v>3</v>
      </c>
      <c r="O24" s="193">
        <f t="shared" si="8"/>
        <v>2</v>
      </c>
      <c r="P24" s="193">
        <f t="shared" si="8"/>
        <v>2</v>
      </c>
      <c r="Q24" s="193">
        <f t="shared" si="8"/>
        <v>2</v>
      </c>
      <c r="R24" s="193">
        <f t="shared" si="8"/>
        <v>2</v>
      </c>
      <c r="S24" s="193">
        <f t="shared" si="8"/>
        <v>2</v>
      </c>
      <c r="T24" s="193">
        <f t="shared" si="8"/>
        <v>2</v>
      </c>
      <c r="U24" s="193">
        <f t="shared" si="8"/>
        <v>2</v>
      </c>
      <c r="V24" s="193">
        <f t="shared" si="8"/>
        <v>2</v>
      </c>
      <c r="W24" s="193">
        <f t="shared" si="8"/>
        <v>2</v>
      </c>
      <c r="X24" s="193">
        <f t="shared" si="8"/>
        <v>2</v>
      </c>
      <c r="Y24" s="193">
        <f t="shared" si="8"/>
        <v>22</v>
      </c>
      <c r="Z24" s="193">
        <f t="shared" si="8"/>
        <v>3</v>
      </c>
      <c r="AA24" s="238">
        <f>SUM(E24:Z24)</f>
        <v>162</v>
      </c>
    </row>
    <row r="25" spans="2:28" s="175" customFormat="1">
      <c r="B25" s="169"/>
      <c r="C25" s="279"/>
      <c r="D25" s="279"/>
      <c r="E25" s="193" t="e">
        <f t="shared" si="8"/>
        <v>#N/A</v>
      </c>
      <c r="F25" s="193" t="e">
        <f t="shared" si="8"/>
        <v>#N/A</v>
      </c>
      <c r="G25" s="193" t="e">
        <f t="shared" si="8"/>
        <v>#N/A</v>
      </c>
      <c r="H25" s="193" t="e">
        <f t="shared" si="8"/>
        <v>#N/A</v>
      </c>
      <c r="I25" s="193" t="e">
        <f t="shared" si="8"/>
        <v>#N/A</v>
      </c>
      <c r="J25" s="193" t="e">
        <f t="shared" si="8"/>
        <v>#N/A</v>
      </c>
      <c r="K25" s="193" t="e">
        <f t="shared" si="8"/>
        <v>#N/A</v>
      </c>
      <c r="L25" s="193" t="e">
        <f t="shared" si="8"/>
        <v>#N/A</v>
      </c>
      <c r="M25" s="193" t="e">
        <f t="shared" si="8"/>
        <v>#N/A</v>
      </c>
      <c r="N25" s="193" t="e">
        <f t="shared" si="8"/>
        <v>#N/A</v>
      </c>
      <c r="O25" s="193" t="e">
        <f t="shared" si="8"/>
        <v>#N/A</v>
      </c>
      <c r="P25" s="193" t="e">
        <f t="shared" si="8"/>
        <v>#N/A</v>
      </c>
      <c r="Q25" s="193" t="e">
        <f t="shared" si="8"/>
        <v>#N/A</v>
      </c>
      <c r="R25" s="193" t="e">
        <f t="shared" si="8"/>
        <v>#N/A</v>
      </c>
      <c r="S25" s="193" t="e">
        <f t="shared" si="8"/>
        <v>#N/A</v>
      </c>
      <c r="T25" s="193" t="e">
        <f t="shared" si="8"/>
        <v>#N/A</v>
      </c>
      <c r="U25" s="193" t="e">
        <f t="shared" si="8"/>
        <v>#N/A</v>
      </c>
      <c r="V25" s="193" t="e">
        <f t="shared" si="8"/>
        <v>#N/A</v>
      </c>
      <c r="W25" s="193" t="e">
        <f t="shared" si="8"/>
        <v>#N/A</v>
      </c>
      <c r="X25" s="193" t="e">
        <f t="shared" si="8"/>
        <v>#N/A</v>
      </c>
      <c r="Y25" s="193" t="e">
        <f t="shared" si="8"/>
        <v>#N/A</v>
      </c>
      <c r="Z25" s="193" t="e">
        <f t="shared" si="8"/>
        <v>#N/A</v>
      </c>
      <c r="AA25" s="238" t="e">
        <f>SUM(E25:Z25)</f>
        <v>#N/A</v>
      </c>
    </row>
    <row r="26" spans="2:28" s="175" customFormat="1">
      <c r="B26" s="169"/>
      <c r="C26" s="279"/>
      <c r="D26" s="279"/>
      <c r="E26" s="193" t="e">
        <f t="shared" si="8"/>
        <v>#N/A</v>
      </c>
      <c r="F26" s="193" t="e">
        <f t="shared" si="8"/>
        <v>#N/A</v>
      </c>
      <c r="G26" s="193" t="e">
        <f t="shared" si="8"/>
        <v>#N/A</v>
      </c>
      <c r="H26" s="193" t="e">
        <f t="shared" si="8"/>
        <v>#N/A</v>
      </c>
      <c r="I26" s="193" t="e">
        <f t="shared" si="8"/>
        <v>#N/A</v>
      </c>
      <c r="J26" s="193" t="e">
        <f t="shared" si="8"/>
        <v>#N/A</v>
      </c>
      <c r="K26" s="193" t="e">
        <f t="shared" si="8"/>
        <v>#N/A</v>
      </c>
      <c r="L26" s="193" t="e">
        <f t="shared" si="8"/>
        <v>#N/A</v>
      </c>
      <c r="M26" s="193" t="e">
        <f t="shared" si="8"/>
        <v>#N/A</v>
      </c>
      <c r="N26" s="193" t="e">
        <f t="shared" si="8"/>
        <v>#N/A</v>
      </c>
      <c r="O26" s="193" t="e">
        <f t="shared" si="8"/>
        <v>#N/A</v>
      </c>
      <c r="P26" s="193" t="e">
        <f t="shared" si="8"/>
        <v>#N/A</v>
      </c>
      <c r="Q26" s="193" t="e">
        <f t="shared" si="8"/>
        <v>#N/A</v>
      </c>
      <c r="R26" s="193" t="e">
        <f t="shared" si="8"/>
        <v>#N/A</v>
      </c>
      <c r="S26" s="193" t="e">
        <f t="shared" si="8"/>
        <v>#N/A</v>
      </c>
      <c r="T26" s="193" t="e">
        <f t="shared" si="8"/>
        <v>#N/A</v>
      </c>
      <c r="U26" s="193" t="e">
        <f t="shared" si="8"/>
        <v>#N/A</v>
      </c>
      <c r="V26" s="193" t="e">
        <f t="shared" si="8"/>
        <v>#N/A</v>
      </c>
      <c r="W26" s="193" t="e">
        <f t="shared" si="8"/>
        <v>#N/A</v>
      </c>
      <c r="X26" s="193" t="e">
        <f t="shared" si="8"/>
        <v>#N/A</v>
      </c>
      <c r="Y26" s="193" t="e">
        <f t="shared" si="8"/>
        <v>#N/A</v>
      </c>
      <c r="Z26" s="193" t="e">
        <f t="shared" si="8"/>
        <v>#N/A</v>
      </c>
      <c r="AA26" s="238" t="e">
        <f>SUM(E26:Z26)</f>
        <v>#N/A</v>
      </c>
    </row>
    <row r="28" spans="2:28">
      <c r="C28" s="301" t="s">
        <v>136</v>
      </c>
      <c r="D28" s="302">
        <f>COUNTIF($D$4:$D$21,C28)</f>
        <v>9</v>
      </c>
    </row>
    <row r="29" spans="2:28">
      <c r="C29" s="303" t="s">
        <v>11</v>
      </c>
      <c r="D29" s="302">
        <f>COUNTIF($D$4:$D$21,C29)</f>
        <v>5</v>
      </c>
    </row>
    <row r="30" spans="2:28">
      <c r="C30" s="303" t="s">
        <v>117</v>
      </c>
      <c r="D30" s="302">
        <f>COUNTIF($D$4:$D$21,C30)</f>
        <v>3</v>
      </c>
    </row>
  </sheetData>
  <sheetProtection selectLockedCells="1"/>
  <sortState ref="C4:D20">
    <sortCondition ref="D4:D20"/>
    <sortCondition ref="C4:C20"/>
  </sortState>
  <phoneticPr fontId="0" type="noConversion"/>
  <dataValidations count="1">
    <dataValidation type="list" allowBlank="1" showInputMessage="1" showErrorMessage="1" prompt="selecteer type renner:" sqref="D4:D20">
      <formula1>type_renner</formula1>
    </dataValidation>
  </dataValidations>
  <pageMargins left="0.75" right="0.75" top="1" bottom="1" header="0.5" footer="0.5"/>
  <pageSetup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sheetPr codeName="Blad9" enableFormatConditionsCalculation="0">
    <tabColor indexed="12"/>
  </sheetPr>
  <dimension ref="B1:AB30"/>
  <sheetViews>
    <sheetView showZeros="0" workbookViewId="0">
      <selection activeCell="X22" sqref="X22"/>
    </sheetView>
  </sheetViews>
  <sheetFormatPr defaultRowHeight="12.75"/>
  <cols>
    <col min="1" max="1" width="2.7109375" style="116" customWidth="1"/>
    <col min="2" max="2" width="8.85546875" style="116" customWidth="1"/>
    <col min="3" max="4" width="13" style="121" customWidth="1"/>
    <col min="5" max="7" width="5" style="117" customWidth="1"/>
    <col min="8" max="8" width="5" style="148" customWidth="1"/>
    <col min="9" max="16" width="5" style="136" customWidth="1"/>
    <col min="17" max="17" width="5" style="134" customWidth="1"/>
    <col min="18" max="26" width="5" style="116" customWidth="1"/>
    <col min="27" max="27" width="5" style="120" customWidth="1"/>
    <col min="28" max="28" width="15" style="116" customWidth="1"/>
    <col min="29" max="16384" width="9.140625" style="116"/>
  </cols>
  <sheetData>
    <row r="1" spans="2:28">
      <c r="C1" s="273" t="s">
        <v>83</v>
      </c>
      <c r="D1" s="273"/>
    </row>
    <row r="2" spans="2:28">
      <c r="C2" s="177"/>
      <c r="D2" s="177"/>
      <c r="H2" s="136"/>
    </row>
    <row r="3" spans="2:28" s="134" customFormat="1" ht="13.5" thickBot="1">
      <c r="C3" s="274" t="s">
        <v>119</v>
      </c>
      <c r="D3" s="274" t="s">
        <v>120</v>
      </c>
      <c r="E3" s="119">
        <v>1</v>
      </c>
      <c r="F3" s="119">
        <v>2</v>
      </c>
      <c r="G3" s="119">
        <v>3</v>
      </c>
      <c r="H3" s="119">
        <v>4</v>
      </c>
      <c r="I3" s="119">
        <v>5</v>
      </c>
      <c r="J3" s="119">
        <v>6</v>
      </c>
      <c r="K3" s="119">
        <v>7</v>
      </c>
      <c r="L3" s="119">
        <v>8</v>
      </c>
      <c r="M3" s="119">
        <v>9</v>
      </c>
      <c r="N3" s="119">
        <v>10</v>
      </c>
      <c r="O3" s="119">
        <v>11</v>
      </c>
      <c r="P3" s="119">
        <v>12</v>
      </c>
      <c r="Q3" s="119">
        <v>13</v>
      </c>
      <c r="R3" s="119">
        <v>14</v>
      </c>
      <c r="S3" s="119">
        <v>15</v>
      </c>
      <c r="T3" s="119">
        <v>16</v>
      </c>
      <c r="U3" s="119">
        <v>17</v>
      </c>
      <c r="V3" s="119">
        <v>18</v>
      </c>
      <c r="W3" s="119">
        <v>19</v>
      </c>
      <c r="X3" s="119">
        <v>20</v>
      </c>
      <c r="Y3" s="119">
        <v>21</v>
      </c>
      <c r="Z3" s="119" t="s">
        <v>1</v>
      </c>
      <c r="AA3" s="154"/>
    </row>
    <row r="4" spans="2:28">
      <c r="B4" s="169"/>
      <c r="C4" s="275" t="s">
        <v>111</v>
      </c>
      <c r="D4" s="276" t="s">
        <v>117</v>
      </c>
      <c r="E4" s="117">
        <f t="shared" ref="E4:N13" si="0">INDEX(scorematrix,MATCH($C4,renners,0),MATCH(E$3,etappes,0))</f>
        <v>0</v>
      </c>
      <c r="F4" s="117">
        <f t="shared" si="0"/>
        <v>0</v>
      </c>
      <c r="G4" s="117">
        <f t="shared" si="0"/>
        <v>0</v>
      </c>
      <c r="H4" s="117">
        <f t="shared" si="0"/>
        <v>0</v>
      </c>
      <c r="I4" s="117">
        <f t="shared" si="0"/>
        <v>0</v>
      </c>
      <c r="J4" s="117">
        <f t="shared" si="0"/>
        <v>0</v>
      </c>
      <c r="K4" s="117">
        <f t="shared" si="0"/>
        <v>0</v>
      </c>
      <c r="L4" s="117">
        <f t="shared" si="0"/>
        <v>0</v>
      </c>
      <c r="M4" s="117">
        <f t="shared" si="0"/>
        <v>0</v>
      </c>
      <c r="N4" s="117">
        <f t="shared" si="0"/>
        <v>0</v>
      </c>
      <c r="O4" s="117">
        <f t="shared" ref="O4:Z13" si="1">INDEX(scorematrix,MATCH($C4,renners,0),MATCH(O$3,etappes,0))</f>
        <v>0</v>
      </c>
      <c r="P4" s="117">
        <f t="shared" si="1"/>
        <v>0</v>
      </c>
      <c r="Q4" s="117">
        <f t="shared" si="1"/>
        <v>0</v>
      </c>
      <c r="R4" s="117">
        <f t="shared" si="1"/>
        <v>0</v>
      </c>
      <c r="S4" s="117">
        <f t="shared" si="1"/>
        <v>0</v>
      </c>
      <c r="T4" s="117">
        <f t="shared" si="1"/>
        <v>0</v>
      </c>
      <c r="U4" s="117">
        <f t="shared" si="1"/>
        <v>0</v>
      </c>
      <c r="V4" s="117">
        <f t="shared" si="1"/>
        <v>0</v>
      </c>
      <c r="W4" s="117">
        <f t="shared" si="1"/>
        <v>0</v>
      </c>
      <c r="X4" s="117">
        <f t="shared" si="1"/>
        <v>0</v>
      </c>
      <c r="Y4" s="117">
        <f t="shared" si="1"/>
        <v>0</v>
      </c>
      <c r="Z4" s="117">
        <f t="shared" si="1"/>
        <v>0</v>
      </c>
      <c r="AA4" s="186">
        <f t="shared" ref="AA4:AA21" si="2">SUM(E4:Z4)</f>
        <v>0</v>
      </c>
      <c r="AB4" s="116" t="str">
        <f t="shared" ref="AB4:AB18" si="3">C4</f>
        <v>Kwiatkowski</v>
      </c>
    </row>
    <row r="5" spans="2:28">
      <c r="B5" s="169"/>
      <c r="C5" s="277" t="s">
        <v>186</v>
      </c>
      <c r="D5" s="276" t="s">
        <v>117</v>
      </c>
      <c r="E5" s="117">
        <f t="shared" si="0"/>
        <v>43</v>
      </c>
      <c r="F5" s="117">
        <f t="shared" si="0"/>
        <v>27</v>
      </c>
      <c r="G5" s="117">
        <f t="shared" si="0"/>
        <v>9</v>
      </c>
      <c r="H5" s="117">
        <f t="shared" si="0"/>
        <v>47</v>
      </c>
      <c r="I5" s="117">
        <f t="shared" si="0"/>
        <v>11</v>
      </c>
      <c r="J5" s="117">
        <f t="shared" si="0"/>
        <v>10</v>
      </c>
      <c r="K5" s="117">
        <f t="shared" si="0"/>
        <v>0</v>
      </c>
      <c r="L5" s="117">
        <f t="shared" si="0"/>
        <v>0</v>
      </c>
      <c r="M5" s="117">
        <f t="shared" si="0"/>
        <v>0</v>
      </c>
      <c r="N5" s="117">
        <f t="shared" si="0"/>
        <v>0</v>
      </c>
      <c r="O5" s="117">
        <f t="shared" si="1"/>
        <v>0</v>
      </c>
      <c r="P5" s="117">
        <f t="shared" si="1"/>
        <v>0</v>
      </c>
      <c r="Q5" s="117">
        <f t="shared" si="1"/>
        <v>0</v>
      </c>
      <c r="R5" s="117">
        <f t="shared" si="1"/>
        <v>0</v>
      </c>
      <c r="S5" s="117">
        <f t="shared" si="1"/>
        <v>0</v>
      </c>
      <c r="T5" s="117">
        <f t="shared" si="1"/>
        <v>0</v>
      </c>
      <c r="U5" s="117">
        <f t="shared" si="1"/>
        <v>0</v>
      </c>
      <c r="V5" s="117">
        <f t="shared" si="1"/>
        <v>0</v>
      </c>
      <c r="W5" s="117">
        <f t="shared" si="1"/>
        <v>0</v>
      </c>
      <c r="X5" s="117">
        <f t="shared" si="1"/>
        <v>0</v>
      </c>
      <c r="Y5" s="117">
        <f t="shared" si="1"/>
        <v>0</v>
      </c>
      <c r="Z5" s="117">
        <f t="shared" si="1"/>
        <v>0</v>
      </c>
      <c r="AA5" s="186">
        <f t="shared" si="2"/>
        <v>147</v>
      </c>
      <c r="AB5" s="116" t="str">
        <f t="shared" si="3"/>
        <v>T.Martin</v>
      </c>
    </row>
    <row r="6" spans="2:28">
      <c r="B6" s="169"/>
      <c r="C6" s="277" t="s">
        <v>116</v>
      </c>
      <c r="D6" s="276" t="s">
        <v>136</v>
      </c>
      <c r="E6" s="117">
        <f t="shared" si="0"/>
        <v>0</v>
      </c>
      <c r="F6" s="117">
        <f t="shared" si="0"/>
        <v>0</v>
      </c>
      <c r="G6" s="117">
        <f t="shared" si="0"/>
        <v>0</v>
      </c>
      <c r="H6" s="117">
        <f t="shared" si="0"/>
        <v>8</v>
      </c>
      <c r="I6" s="117">
        <f t="shared" si="0"/>
        <v>0</v>
      </c>
      <c r="J6" s="117">
        <f t="shared" si="0"/>
        <v>0</v>
      </c>
      <c r="K6" s="117">
        <f t="shared" si="0"/>
        <v>0</v>
      </c>
      <c r="L6" s="117">
        <f t="shared" si="0"/>
        <v>0</v>
      </c>
      <c r="M6" s="117">
        <f t="shared" si="0"/>
        <v>0</v>
      </c>
      <c r="N6" s="117">
        <f t="shared" si="0"/>
        <v>0</v>
      </c>
      <c r="O6" s="117">
        <f t="shared" si="1"/>
        <v>0</v>
      </c>
      <c r="P6" s="117">
        <f t="shared" si="1"/>
        <v>27</v>
      </c>
      <c r="Q6" s="117">
        <f t="shared" si="1"/>
        <v>1</v>
      </c>
      <c r="R6" s="117">
        <f t="shared" si="1"/>
        <v>27</v>
      </c>
      <c r="S6" s="117">
        <f t="shared" si="1"/>
        <v>1</v>
      </c>
      <c r="T6" s="117">
        <f t="shared" si="1"/>
        <v>1</v>
      </c>
      <c r="U6" s="117">
        <f t="shared" si="1"/>
        <v>0</v>
      </c>
      <c r="V6" s="117">
        <f t="shared" si="1"/>
        <v>40</v>
      </c>
      <c r="W6" s="117">
        <f t="shared" si="1"/>
        <v>29</v>
      </c>
      <c r="X6" s="117">
        <f t="shared" si="1"/>
        <v>13</v>
      </c>
      <c r="Y6" s="117">
        <f t="shared" si="1"/>
        <v>5</v>
      </c>
      <c r="Z6" s="117">
        <f t="shared" si="1"/>
        <v>39</v>
      </c>
      <c r="AA6" s="186">
        <f t="shared" si="2"/>
        <v>191</v>
      </c>
      <c r="AB6" s="116" t="str">
        <f t="shared" si="3"/>
        <v>Bardet</v>
      </c>
    </row>
    <row r="7" spans="2:28">
      <c r="B7" s="169"/>
      <c r="C7" s="277" t="s">
        <v>90</v>
      </c>
      <c r="D7" s="276" t="s">
        <v>136</v>
      </c>
      <c r="E7" s="117">
        <f t="shared" si="0"/>
        <v>8</v>
      </c>
      <c r="F7" s="117">
        <f t="shared" si="0"/>
        <v>0</v>
      </c>
      <c r="G7" s="117">
        <f t="shared" si="0"/>
        <v>0</v>
      </c>
      <c r="H7" s="117">
        <f t="shared" si="0"/>
        <v>0</v>
      </c>
      <c r="I7" s="117">
        <f t="shared" si="0"/>
        <v>0</v>
      </c>
      <c r="J7" s="117">
        <f t="shared" si="0"/>
        <v>0</v>
      </c>
      <c r="K7" s="117">
        <f t="shared" si="0"/>
        <v>0</v>
      </c>
      <c r="L7" s="117">
        <f t="shared" si="0"/>
        <v>0</v>
      </c>
      <c r="M7" s="117">
        <f t="shared" si="0"/>
        <v>0</v>
      </c>
      <c r="N7" s="117">
        <f t="shared" si="0"/>
        <v>0</v>
      </c>
      <c r="O7" s="117">
        <f t="shared" si="1"/>
        <v>0</v>
      </c>
      <c r="P7" s="117">
        <f t="shared" si="1"/>
        <v>14</v>
      </c>
      <c r="Q7" s="117">
        <f t="shared" si="1"/>
        <v>0</v>
      </c>
      <c r="R7" s="117">
        <f t="shared" si="1"/>
        <v>30</v>
      </c>
      <c r="S7" s="117">
        <f t="shared" si="1"/>
        <v>0</v>
      </c>
      <c r="T7" s="117">
        <f t="shared" si="1"/>
        <v>0</v>
      </c>
      <c r="U7" s="117">
        <f t="shared" si="1"/>
        <v>24</v>
      </c>
      <c r="V7" s="117">
        <f t="shared" si="1"/>
        <v>0</v>
      </c>
      <c r="W7" s="117">
        <f t="shared" si="1"/>
        <v>24</v>
      </c>
      <c r="X7" s="117">
        <f t="shared" si="1"/>
        <v>37</v>
      </c>
      <c r="Y7" s="117">
        <f t="shared" si="1"/>
        <v>2</v>
      </c>
      <c r="Z7" s="117">
        <f t="shared" si="1"/>
        <v>23</v>
      </c>
      <c r="AA7" s="186">
        <f t="shared" si="2"/>
        <v>162</v>
      </c>
      <c r="AB7" s="116" t="str">
        <f t="shared" si="3"/>
        <v>Pinot</v>
      </c>
    </row>
    <row r="8" spans="2:28">
      <c r="B8" s="169"/>
      <c r="C8" s="277" t="s">
        <v>91</v>
      </c>
      <c r="D8" s="276" t="s">
        <v>136</v>
      </c>
      <c r="E8" s="117">
        <f t="shared" si="0"/>
        <v>0</v>
      </c>
      <c r="F8" s="117">
        <f t="shared" si="0"/>
        <v>0</v>
      </c>
      <c r="G8" s="117">
        <f t="shared" si="0"/>
        <v>0</v>
      </c>
      <c r="H8" s="117">
        <f t="shared" si="0"/>
        <v>0</v>
      </c>
      <c r="I8" s="117">
        <f t="shared" si="0"/>
        <v>0</v>
      </c>
      <c r="J8" s="117">
        <f t="shared" si="0"/>
        <v>0</v>
      </c>
      <c r="K8" s="117">
        <f t="shared" si="0"/>
        <v>0</v>
      </c>
      <c r="L8" s="117">
        <f t="shared" si="0"/>
        <v>0</v>
      </c>
      <c r="M8" s="117">
        <f t="shared" si="0"/>
        <v>0</v>
      </c>
      <c r="N8" s="117">
        <f t="shared" si="0"/>
        <v>34</v>
      </c>
      <c r="O8" s="117">
        <f t="shared" si="1"/>
        <v>4</v>
      </c>
      <c r="P8" s="117">
        <f t="shared" si="1"/>
        <v>2</v>
      </c>
      <c r="Q8" s="117">
        <f t="shared" si="1"/>
        <v>2</v>
      </c>
      <c r="R8" s="117">
        <f t="shared" si="1"/>
        <v>2</v>
      </c>
      <c r="S8" s="117">
        <f t="shared" si="1"/>
        <v>2</v>
      </c>
      <c r="T8" s="117">
        <f t="shared" si="1"/>
        <v>2</v>
      </c>
      <c r="U8" s="117">
        <f t="shared" si="1"/>
        <v>1</v>
      </c>
      <c r="V8" s="117">
        <f t="shared" si="1"/>
        <v>0</v>
      </c>
      <c r="W8" s="117">
        <f t="shared" si="1"/>
        <v>0</v>
      </c>
      <c r="X8" s="117">
        <f t="shared" si="1"/>
        <v>19</v>
      </c>
      <c r="Y8" s="117">
        <f t="shared" si="1"/>
        <v>0</v>
      </c>
      <c r="Z8" s="117">
        <f t="shared" si="1"/>
        <v>0</v>
      </c>
      <c r="AA8" s="186">
        <f t="shared" si="2"/>
        <v>68</v>
      </c>
      <c r="AB8" s="116" t="str">
        <f t="shared" si="3"/>
        <v>Porte</v>
      </c>
    </row>
    <row r="9" spans="2:28">
      <c r="B9" s="169"/>
      <c r="C9" s="277" t="s">
        <v>94</v>
      </c>
      <c r="D9" s="276" t="s">
        <v>136</v>
      </c>
      <c r="E9" s="117">
        <f t="shared" si="0"/>
        <v>0</v>
      </c>
      <c r="F9" s="117">
        <f t="shared" si="0"/>
        <v>0</v>
      </c>
      <c r="G9" s="117">
        <f t="shared" si="0"/>
        <v>40</v>
      </c>
      <c r="H9" s="117">
        <f t="shared" si="0"/>
        <v>11</v>
      </c>
      <c r="I9" s="117">
        <f t="shared" si="0"/>
        <v>5</v>
      </c>
      <c r="J9" s="117">
        <f t="shared" si="0"/>
        <v>17</v>
      </c>
      <c r="K9" s="117">
        <f t="shared" si="0"/>
        <v>4</v>
      </c>
      <c r="L9" s="117">
        <f t="shared" si="0"/>
        <v>18</v>
      </c>
      <c r="M9" s="117">
        <f t="shared" si="0"/>
        <v>0</v>
      </c>
      <c r="N9" s="117">
        <f t="shared" si="0"/>
        <v>0</v>
      </c>
      <c r="O9" s="117">
        <f t="shared" si="1"/>
        <v>0</v>
      </c>
      <c r="P9" s="117">
        <f t="shared" si="1"/>
        <v>39</v>
      </c>
      <c r="Q9" s="117">
        <f t="shared" si="1"/>
        <v>4</v>
      </c>
      <c r="R9" s="117">
        <f t="shared" si="1"/>
        <v>4</v>
      </c>
      <c r="S9" s="117">
        <f t="shared" si="1"/>
        <v>4</v>
      </c>
      <c r="T9" s="117">
        <f t="shared" si="1"/>
        <v>4</v>
      </c>
      <c r="U9" s="117">
        <f t="shared" si="1"/>
        <v>4</v>
      </c>
      <c r="V9" s="117">
        <f t="shared" si="1"/>
        <v>5</v>
      </c>
      <c r="W9" s="117">
        <f t="shared" si="1"/>
        <v>3</v>
      </c>
      <c r="X9" s="117">
        <f t="shared" si="1"/>
        <v>15</v>
      </c>
      <c r="Y9" s="117">
        <f t="shared" si="1"/>
        <v>1</v>
      </c>
      <c r="Z9" s="117">
        <f t="shared" si="1"/>
        <v>1</v>
      </c>
      <c r="AA9" s="186">
        <f t="shared" si="2"/>
        <v>179</v>
      </c>
      <c r="AB9" s="116" t="str">
        <f t="shared" si="3"/>
        <v>Rodriguez</v>
      </c>
    </row>
    <row r="10" spans="2:28">
      <c r="B10" s="169"/>
      <c r="C10" s="277" t="s">
        <v>81</v>
      </c>
      <c r="D10" s="276" t="s">
        <v>136</v>
      </c>
      <c r="E10" s="117">
        <f t="shared" si="0"/>
        <v>0</v>
      </c>
      <c r="F10" s="117">
        <f t="shared" si="0"/>
        <v>0</v>
      </c>
      <c r="G10" s="117">
        <f t="shared" si="0"/>
        <v>6</v>
      </c>
      <c r="H10" s="117">
        <f t="shared" si="0"/>
        <v>0</v>
      </c>
      <c r="I10" s="117">
        <f t="shared" si="0"/>
        <v>0</v>
      </c>
      <c r="J10" s="117">
        <f t="shared" si="0"/>
        <v>0</v>
      </c>
      <c r="K10" s="117">
        <f t="shared" si="0"/>
        <v>0</v>
      </c>
      <c r="L10" s="117">
        <f t="shared" si="0"/>
        <v>6</v>
      </c>
      <c r="M10" s="117">
        <f t="shared" si="0"/>
        <v>0</v>
      </c>
      <c r="N10" s="117">
        <f t="shared" si="0"/>
        <v>18</v>
      </c>
      <c r="O10" s="117">
        <f t="shared" si="1"/>
        <v>10</v>
      </c>
      <c r="P10" s="117">
        <f t="shared" si="1"/>
        <v>11</v>
      </c>
      <c r="Q10" s="117">
        <f t="shared" si="1"/>
        <v>7</v>
      </c>
      <c r="R10" s="117">
        <f t="shared" si="1"/>
        <v>0</v>
      </c>
      <c r="S10" s="117">
        <f t="shared" si="1"/>
        <v>0</v>
      </c>
      <c r="T10" s="117">
        <f t="shared" si="1"/>
        <v>0</v>
      </c>
      <c r="U10" s="117">
        <f t="shared" si="1"/>
        <v>0</v>
      </c>
      <c r="V10" s="117">
        <f t="shared" si="1"/>
        <v>30</v>
      </c>
      <c r="W10" s="117">
        <f t="shared" si="1"/>
        <v>16</v>
      </c>
      <c r="X10" s="117">
        <f t="shared" si="1"/>
        <v>21</v>
      </c>
      <c r="Y10" s="117">
        <f t="shared" si="1"/>
        <v>1</v>
      </c>
      <c r="Z10" s="117">
        <f t="shared" si="1"/>
        <v>32</v>
      </c>
      <c r="AA10" s="186">
        <f t="shared" si="2"/>
        <v>158</v>
      </c>
      <c r="AB10" s="116" t="str">
        <f t="shared" si="3"/>
        <v>Rolland</v>
      </c>
    </row>
    <row r="11" spans="2:28">
      <c r="B11" s="169"/>
      <c r="C11" s="277" t="s">
        <v>141</v>
      </c>
      <c r="D11" s="276" t="s">
        <v>136</v>
      </c>
      <c r="E11" s="117">
        <f t="shared" si="0"/>
        <v>0</v>
      </c>
      <c r="F11" s="117">
        <f t="shared" si="0"/>
        <v>0</v>
      </c>
      <c r="G11" s="117">
        <f t="shared" si="0"/>
        <v>18</v>
      </c>
      <c r="H11" s="117">
        <f t="shared" si="0"/>
        <v>0</v>
      </c>
      <c r="I11" s="117">
        <f t="shared" si="0"/>
        <v>0</v>
      </c>
      <c r="J11" s="117">
        <f t="shared" si="0"/>
        <v>0</v>
      </c>
      <c r="K11" s="117">
        <f t="shared" si="0"/>
        <v>0</v>
      </c>
      <c r="L11" s="117">
        <f t="shared" si="0"/>
        <v>0</v>
      </c>
      <c r="M11" s="117">
        <f t="shared" si="0"/>
        <v>0</v>
      </c>
      <c r="N11" s="117">
        <f t="shared" si="0"/>
        <v>0</v>
      </c>
      <c r="O11" s="117">
        <f t="shared" si="1"/>
        <v>0</v>
      </c>
      <c r="P11" s="117">
        <f t="shared" si="1"/>
        <v>0</v>
      </c>
      <c r="Q11" s="117">
        <f t="shared" si="1"/>
        <v>0</v>
      </c>
      <c r="R11" s="117">
        <f t="shared" si="1"/>
        <v>16</v>
      </c>
      <c r="S11" s="117">
        <f t="shared" si="1"/>
        <v>0</v>
      </c>
      <c r="T11" s="117">
        <f t="shared" si="1"/>
        <v>0</v>
      </c>
      <c r="U11" s="117">
        <f t="shared" si="1"/>
        <v>0</v>
      </c>
      <c r="V11" s="117">
        <f t="shared" si="1"/>
        <v>0</v>
      </c>
      <c r="W11" s="117">
        <f t="shared" si="1"/>
        <v>0</v>
      </c>
      <c r="X11" s="117">
        <f t="shared" si="1"/>
        <v>15</v>
      </c>
      <c r="Y11" s="117">
        <f t="shared" si="1"/>
        <v>0</v>
      </c>
      <c r="Z11" s="117">
        <f t="shared" si="1"/>
        <v>0</v>
      </c>
      <c r="AA11" s="186">
        <f t="shared" si="2"/>
        <v>49</v>
      </c>
      <c r="AB11" s="116" t="str">
        <f t="shared" si="3"/>
        <v>S.Yates</v>
      </c>
    </row>
    <row r="12" spans="2:28">
      <c r="B12" s="169"/>
      <c r="C12" s="277" t="s">
        <v>138</v>
      </c>
      <c r="D12" s="276" t="s">
        <v>136</v>
      </c>
      <c r="E12" s="117">
        <f t="shared" si="0"/>
        <v>9</v>
      </c>
      <c r="F12" s="117">
        <f t="shared" si="0"/>
        <v>16</v>
      </c>
      <c r="G12" s="117">
        <f t="shared" si="0"/>
        <v>11</v>
      </c>
      <c r="H12" s="117">
        <f t="shared" si="0"/>
        <v>17</v>
      </c>
      <c r="I12" s="117">
        <f t="shared" si="0"/>
        <v>4</v>
      </c>
      <c r="J12" s="117">
        <f t="shared" si="0"/>
        <v>13</v>
      </c>
      <c r="K12" s="117">
        <f t="shared" si="0"/>
        <v>5</v>
      </c>
      <c r="L12" s="117">
        <f t="shared" si="0"/>
        <v>16</v>
      </c>
      <c r="M12" s="117">
        <f t="shared" si="0"/>
        <v>0</v>
      </c>
      <c r="N12" s="117">
        <f t="shared" si="0"/>
        <v>0</v>
      </c>
      <c r="O12" s="117">
        <f t="shared" si="1"/>
        <v>0</v>
      </c>
      <c r="P12" s="117">
        <f t="shared" si="1"/>
        <v>0</v>
      </c>
      <c r="Q12" s="117">
        <f t="shared" si="1"/>
        <v>0</v>
      </c>
      <c r="R12" s="117">
        <f t="shared" si="1"/>
        <v>24</v>
      </c>
      <c r="S12" s="117">
        <f t="shared" si="1"/>
        <v>0</v>
      </c>
      <c r="T12" s="117">
        <f t="shared" si="1"/>
        <v>0</v>
      </c>
      <c r="U12" s="117">
        <f t="shared" si="1"/>
        <v>26</v>
      </c>
      <c r="V12" s="117">
        <f t="shared" si="1"/>
        <v>0</v>
      </c>
      <c r="W12" s="117">
        <f t="shared" si="1"/>
        <v>0</v>
      </c>
      <c r="X12" s="117">
        <f t="shared" si="1"/>
        <v>0</v>
      </c>
      <c r="Y12" s="117">
        <f t="shared" si="1"/>
        <v>0</v>
      </c>
      <c r="Z12" s="117">
        <f t="shared" si="1"/>
        <v>0</v>
      </c>
      <c r="AA12" s="186">
        <f t="shared" si="2"/>
        <v>141</v>
      </c>
      <c r="AB12" s="116" t="str">
        <f t="shared" si="3"/>
        <v>Uran</v>
      </c>
    </row>
    <row r="13" spans="2:28">
      <c r="B13" s="169"/>
      <c r="C13" s="277" t="s">
        <v>146</v>
      </c>
      <c r="D13" s="276" t="s">
        <v>136</v>
      </c>
      <c r="E13" s="117">
        <f t="shared" si="0"/>
        <v>6</v>
      </c>
      <c r="F13" s="117">
        <f t="shared" si="0"/>
        <v>18</v>
      </c>
      <c r="G13" s="117">
        <f t="shared" si="0"/>
        <v>28</v>
      </c>
      <c r="H13" s="117">
        <f t="shared" si="0"/>
        <v>8</v>
      </c>
      <c r="I13" s="117">
        <f t="shared" si="0"/>
        <v>8</v>
      </c>
      <c r="J13" s="117">
        <f t="shared" si="0"/>
        <v>8</v>
      </c>
      <c r="K13" s="117">
        <f t="shared" si="0"/>
        <v>8</v>
      </c>
      <c r="L13" s="117">
        <f t="shared" si="0"/>
        <v>24</v>
      </c>
      <c r="M13" s="117">
        <f t="shared" si="0"/>
        <v>0.1</v>
      </c>
      <c r="N13" s="117">
        <f t="shared" si="0"/>
        <v>25</v>
      </c>
      <c r="O13" s="117">
        <f t="shared" si="1"/>
        <v>22</v>
      </c>
      <c r="P13" s="117">
        <f t="shared" si="1"/>
        <v>22</v>
      </c>
      <c r="Q13" s="117">
        <f t="shared" si="1"/>
        <v>25</v>
      </c>
      <c r="R13" s="117">
        <f t="shared" si="1"/>
        <v>8</v>
      </c>
      <c r="S13" s="117">
        <f t="shared" si="1"/>
        <v>8</v>
      </c>
      <c r="T13" s="117">
        <f t="shared" si="1"/>
        <v>8</v>
      </c>
      <c r="U13" s="117">
        <f t="shared" si="1"/>
        <v>0</v>
      </c>
      <c r="V13" s="117">
        <f t="shared" si="1"/>
        <v>0</v>
      </c>
      <c r="W13" s="117">
        <f t="shared" si="1"/>
        <v>0</v>
      </c>
      <c r="X13" s="117">
        <f t="shared" si="1"/>
        <v>0</v>
      </c>
      <c r="Y13" s="117">
        <f t="shared" si="1"/>
        <v>0</v>
      </c>
      <c r="Z13" s="117">
        <f t="shared" si="1"/>
        <v>0</v>
      </c>
      <c r="AA13" s="186">
        <f t="shared" si="2"/>
        <v>226.1</v>
      </c>
      <c r="AB13" s="116" t="str">
        <f t="shared" si="3"/>
        <v>Van Garderen</v>
      </c>
    </row>
    <row r="14" spans="2:28">
      <c r="B14" s="169"/>
      <c r="C14" s="277" t="s">
        <v>147</v>
      </c>
      <c r="D14" s="276" t="s">
        <v>190</v>
      </c>
      <c r="E14" s="117">
        <f t="shared" ref="E14:N20" si="4">INDEX(scorematrix,MATCH($C14,renners,0),MATCH(E$3,etappes,0))</f>
        <v>0</v>
      </c>
      <c r="F14" s="117">
        <f t="shared" si="4"/>
        <v>0</v>
      </c>
      <c r="G14" s="117">
        <f t="shared" si="4"/>
        <v>0</v>
      </c>
      <c r="H14" s="117">
        <f t="shared" si="4"/>
        <v>0</v>
      </c>
      <c r="I14" s="117">
        <f t="shared" si="4"/>
        <v>0</v>
      </c>
      <c r="J14" s="117">
        <f t="shared" si="4"/>
        <v>0</v>
      </c>
      <c r="K14" s="117">
        <f t="shared" si="4"/>
        <v>0</v>
      </c>
      <c r="L14" s="117">
        <f t="shared" si="4"/>
        <v>0</v>
      </c>
      <c r="M14" s="117">
        <f t="shared" si="4"/>
        <v>0</v>
      </c>
      <c r="N14" s="117">
        <f t="shared" si="4"/>
        <v>0</v>
      </c>
      <c r="O14" s="117">
        <f t="shared" ref="O14:Z20" si="5">INDEX(scorematrix,MATCH($C14,renners,0),MATCH(O$3,etappes,0))</f>
        <v>0</v>
      </c>
      <c r="P14" s="117">
        <f t="shared" si="5"/>
        <v>0</v>
      </c>
      <c r="Q14" s="117">
        <f t="shared" si="5"/>
        <v>0</v>
      </c>
      <c r="R14" s="117">
        <f t="shared" si="5"/>
        <v>0</v>
      </c>
      <c r="S14" s="117">
        <f t="shared" si="5"/>
        <v>0</v>
      </c>
      <c r="T14" s="117">
        <f t="shared" si="5"/>
        <v>0</v>
      </c>
      <c r="U14" s="117">
        <f t="shared" si="5"/>
        <v>0</v>
      </c>
      <c r="V14" s="117">
        <f t="shared" si="5"/>
        <v>0</v>
      </c>
      <c r="W14" s="117">
        <f t="shared" si="5"/>
        <v>10</v>
      </c>
      <c r="X14" s="117">
        <f t="shared" si="5"/>
        <v>17</v>
      </c>
      <c r="Y14" s="117">
        <f t="shared" si="5"/>
        <v>0</v>
      </c>
      <c r="Z14" s="117">
        <f t="shared" si="5"/>
        <v>0</v>
      </c>
      <c r="AA14" s="186">
        <f t="shared" si="2"/>
        <v>27</v>
      </c>
      <c r="AB14" s="116" t="str">
        <f t="shared" si="3"/>
        <v>Poels</v>
      </c>
    </row>
    <row r="15" spans="2:28">
      <c r="B15" s="169"/>
      <c r="C15" s="277" t="s">
        <v>45</v>
      </c>
      <c r="D15" s="276" t="s">
        <v>11</v>
      </c>
      <c r="E15" s="117">
        <f t="shared" si="4"/>
        <v>0</v>
      </c>
      <c r="F15" s="117">
        <f t="shared" si="4"/>
        <v>26</v>
      </c>
      <c r="G15" s="117">
        <f t="shared" si="4"/>
        <v>2</v>
      </c>
      <c r="H15" s="117">
        <f t="shared" si="4"/>
        <v>15</v>
      </c>
      <c r="I15" s="117">
        <f t="shared" si="4"/>
        <v>28</v>
      </c>
      <c r="J15" s="117">
        <f t="shared" si="4"/>
        <v>2</v>
      </c>
      <c r="K15" s="117">
        <f t="shared" si="4"/>
        <v>38</v>
      </c>
      <c r="L15" s="117">
        <f t="shared" si="4"/>
        <v>3</v>
      </c>
      <c r="M15" s="117">
        <f t="shared" si="4"/>
        <v>0</v>
      </c>
      <c r="N15" s="117">
        <f t="shared" si="4"/>
        <v>3</v>
      </c>
      <c r="O15" s="117">
        <f t="shared" si="5"/>
        <v>2</v>
      </c>
      <c r="P15" s="117">
        <f t="shared" si="5"/>
        <v>2</v>
      </c>
      <c r="Q15" s="117">
        <f t="shared" si="5"/>
        <v>2</v>
      </c>
      <c r="R15" s="117">
        <f t="shared" si="5"/>
        <v>2</v>
      </c>
      <c r="S15" s="117">
        <f t="shared" si="5"/>
        <v>2</v>
      </c>
      <c r="T15" s="117">
        <f t="shared" si="5"/>
        <v>2</v>
      </c>
      <c r="U15" s="117">
        <f t="shared" si="5"/>
        <v>2</v>
      </c>
      <c r="V15" s="117">
        <f t="shared" si="5"/>
        <v>2</v>
      </c>
      <c r="W15" s="117">
        <f t="shared" si="5"/>
        <v>2</v>
      </c>
      <c r="X15" s="117">
        <f t="shared" si="5"/>
        <v>2</v>
      </c>
      <c r="Y15" s="117">
        <f t="shared" si="5"/>
        <v>22</v>
      </c>
      <c r="Z15" s="117">
        <f t="shared" si="5"/>
        <v>3</v>
      </c>
      <c r="AA15" s="186">
        <f t="shared" si="2"/>
        <v>162</v>
      </c>
      <c r="AB15" s="116" t="str">
        <f t="shared" si="3"/>
        <v>Cavendish</v>
      </c>
    </row>
    <row r="16" spans="2:28">
      <c r="B16" s="169"/>
      <c r="C16" s="277" t="s">
        <v>96</v>
      </c>
      <c r="D16" s="276" t="s">
        <v>11</v>
      </c>
      <c r="E16" s="117">
        <f t="shared" si="4"/>
        <v>0</v>
      </c>
      <c r="F16" s="117">
        <f t="shared" si="4"/>
        <v>0</v>
      </c>
      <c r="G16" s="117">
        <f t="shared" si="4"/>
        <v>0</v>
      </c>
      <c r="H16" s="117">
        <f t="shared" si="4"/>
        <v>33</v>
      </c>
      <c r="I16" s="117">
        <f t="shared" si="4"/>
        <v>23</v>
      </c>
      <c r="J16" s="117">
        <f t="shared" si="4"/>
        <v>27</v>
      </c>
      <c r="K16" s="117">
        <f t="shared" si="4"/>
        <v>26</v>
      </c>
      <c r="L16" s="117">
        <f t="shared" si="4"/>
        <v>2</v>
      </c>
      <c r="M16" s="117">
        <f t="shared" si="4"/>
        <v>0</v>
      </c>
      <c r="N16" s="117">
        <f t="shared" si="4"/>
        <v>2</v>
      </c>
      <c r="O16" s="117">
        <f t="shared" si="5"/>
        <v>3</v>
      </c>
      <c r="P16" s="117">
        <f t="shared" si="5"/>
        <v>3</v>
      </c>
      <c r="Q16" s="117">
        <f t="shared" si="5"/>
        <v>27</v>
      </c>
      <c r="R16" s="117">
        <f t="shared" si="5"/>
        <v>3</v>
      </c>
      <c r="S16" s="117">
        <f t="shared" si="5"/>
        <v>33</v>
      </c>
      <c r="T16" s="117">
        <f t="shared" si="5"/>
        <v>3</v>
      </c>
      <c r="U16" s="117">
        <f t="shared" si="5"/>
        <v>3</v>
      </c>
      <c r="V16" s="117">
        <f t="shared" si="5"/>
        <v>3</v>
      </c>
      <c r="W16" s="117">
        <f t="shared" si="5"/>
        <v>3</v>
      </c>
      <c r="X16" s="117">
        <f t="shared" si="5"/>
        <v>3</v>
      </c>
      <c r="Y16" s="117">
        <f t="shared" si="5"/>
        <v>21</v>
      </c>
      <c r="Z16" s="117">
        <f t="shared" si="5"/>
        <v>5</v>
      </c>
      <c r="AA16" s="186">
        <f t="shared" si="2"/>
        <v>223</v>
      </c>
      <c r="AB16" s="116" t="str">
        <f t="shared" si="3"/>
        <v>Degenkolb</v>
      </c>
    </row>
    <row r="17" spans="2:28" s="170" customFormat="1">
      <c r="B17" s="169"/>
      <c r="C17" s="277" t="s">
        <v>56</v>
      </c>
      <c r="D17" s="276" t="s">
        <v>11</v>
      </c>
      <c r="E17" s="117">
        <f t="shared" si="4"/>
        <v>0</v>
      </c>
      <c r="F17" s="117">
        <f t="shared" si="4"/>
        <v>40</v>
      </c>
      <c r="G17" s="117">
        <f t="shared" si="4"/>
        <v>5</v>
      </c>
      <c r="H17" s="117">
        <f t="shared" si="4"/>
        <v>5</v>
      </c>
      <c r="I17" s="117">
        <f t="shared" si="4"/>
        <v>40</v>
      </c>
      <c r="J17" s="117">
        <f t="shared" si="4"/>
        <v>5</v>
      </c>
      <c r="K17" s="117">
        <f t="shared" si="4"/>
        <v>35</v>
      </c>
      <c r="L17" s="117">
        <f t="shared" si="4"/>
        <v>4</v>
      </c>
      <c r="M17" s="117">
        <f t="shared" si="4"/>
        <v>0</v>
      </c>
      <c r="N17" s="117">
        <f t="shared" si="4"/>
        <v>5</v>
      </c>
      <c r="O17" s="117">
        <f t="shared" si="5"/>
        <v>4</v>
      </c>
      <c r="P17" s="117">
        <f t="shared" si="5"/>
        <v>4</v>
      </c>
      <c r="Q17" s="117">
        <f t="shared" si="5"/>
        <v>4</v>
      </c>
      <c r="R17" s="117">
        <f t="shared" si="5"/>
        <v>4</v>
      </c>
      <c r="S17" s="117">
        <f t="shared" si="5"/>
        <v>39</v>
      </c>
      <c r="T17" s="117">
        <f t="shared" si="5"/>
        <v>4</v>
      </c>
      <c r="U17" s="117">
        <f t="shared" si="5"/>
        <v>4</v>
      </c>
      <c r="V17" s="117">
        <f t="shared" si="5"/>
        <v>4</v>
      </c>
      <c r="W17" s="117">
        <f t="shared" si="5"/>
        <v>4</v>
      </c>
      <c r="X17" s="117">
        <f t="shared" si="5"/>
        <v>4</v>
      </c>
      <c r="Y17" s="117">
        <f t="shared" si="5"/>
        <v>39</v>
      </c>
      <c r="Z17" s="117">
        <f t="shared" si="5"/>
        <v>7</v>
      </c>
      <c r="AA17" s="186">
        <f t="shared" si="2"/>
        <v>260</v>
      </c>
      <c r="AB17" s="116" t="str">
        <f t="shared" si="3"/>
        <v>Greipel</v>
      </c>
    </row>
    <row r="18" spans="2:28">
      <c r="B18" s="169"/>
      <c r="C18" s="277" t="s">
        <v>97</v>
      </c>
      <c r="D18" s="276" t="s">
        <v>11</v>
      </c>
      <c r="E18" s="117">
        <f t="shared" si="4"/>
        <v>0</v>
      </c>
      <c r="F18" s="117">
        <f t="shared" si="4"/>
        <v>0</v>
      </c>
      <c r="G18" s="117">
        <f t="shared" si="4"/>
        <v>0</v>
      </c>
      <c r="H18" s="117">
        <f t="shared" si="4"/>
        <v>0</v>
      </c>
      <c r="I18" s="117">
        <f t="shared" si="4"/>
        <v>24</v>
      </c>
      <c r="J18" s="117">
        <f t="shared" si="4"/>
        <v>15</v>
      </c>
      <c r="K18" s="117">
        <f t="shared" si="4"/>
        <v>22</v>
      </c>
      <c r="L18" s="117">
        <f t="shared" si="4"/>
        <v>0</v>
      </c>
      <c r="M18" s="117">
        <f t="shared" si="4"/>
        <v>0</v>
      </c>
      <c r="N18" s="117">
        <f t="shared" si="4"/>
        <v>0</v>
      </c>
      <c r="O18" s="117">
        <f t="shared" si="5"/>
        <v>0</v>
      </c>
      <c r="P18" s="117">
        <f t="shared" si="5"/>
        <v>0</v>
      </c>
      <c r="Q18" s="117">
        <f t="shared" si="5"/>
        <v>0</v>
      </c>
      <c r="R18" s="117">
        <f t="shared" si="5"/>
        <v>0</v>
      </c>
      <c r="S18" s="117">
        <f t="shared" si="5"/>
        <v>26</v>
      </c>
      <c r="T18" s="117">
        <f t="shared" si="5"/>
        <v>0</v>
      </c>
      <c r="U18" s="117">
        <f t="shared" si="5"/>
        <v>0</v>
      </c>
      <c r="V18" s="117">
        <f t="shared" si="5"/>
        <v>0</v>
      </c>
      <c r="W18" s="117">
        <f t="shared" si="5"/>
        <v>0</v>
      </c>
      <c r="X18" s="117">
        <f t="shared" si="5"/>
        <v>0</v>
      </c>
      <c r="Y18" s="117">
        <f t="shared" si="5"/>
        <v>26</v>
      </c>
      <c r="Z18" s="117">
        <f t="shared" si="5"/>
        <v>0</v>
      </c>
      <c r="AA18" s="186">
        <f t="shared" si="2"/>
        <v>113</v>
      </c>
      <c r="AB18" s="116" t="str">
        <f t="shared" si="3"/>
        <v>Kristoff</v>
      </c>
    </row>
    <row r="19" spans="2:28">
      <c r="B19" s="169"/>
      <c r="C19" s="277" t="s">
        <v>74</v>
      </c>
      <c r="D19" s="276" t="s">
        <v>11</v>
      </c>
      <c r="E19" s="117">
        <f t="shared" si="4"/>
        <v>7</v>
      </c>
      <c r="F19" s="117">
        <f t="shared" si="4"/>
        <v>41</v>
      </c>
      <c r="G19" s="117">
        <f t="shared" si="4"/>
        <v>9</v>
      </c>
      <c r="H19" s="117">
        <f t="shared" si="4"/>
        <v>36</v>
      </c>
      <c r="I19" s="117">
        <f t="shared" si="4"/>
        <v>41</v>
      </c>
      <c r="J19" s="117">
        <f t="shared" si="4"/>
        <v>41</v>
      </c>
      <c r="K19" s="117">
        <f t="shared" si="4"/>
        <v>39</v>
      </c>
      <c r="L19" s="117">
        <f t="shared" si="4"/>
        <v>38</v>
      </c>
      <c r="M19" s="117">
        <f t="shared" si="4"/>
        <v>0</v>
      </c>
      <c r="N19" s="117">
        <f t="shared" si="4"/>
        <v>4</v>
      </c>
      <c r="O19" s="117">
        <f t="shared" si="5"/>
        <v>5</v>
      </c>
      <c r="P19" s="117">
        <f t="shared" si="5"/>
        <v>5</v>
      </c>
      <c r="Q19" s="117">
        <f t="shared" si="5"/>
        <v>35</v>
      </c>
      <c r="R19" s="117">
        <f t="shared" si="5"/>
        <v>27</v>
      </c>
      <c r="S19" s="117">
        <f t="shared" si="5"/>
        <v>29</v>
      </c>
      <c r="T19" s="117">
        <f t="shared" si="5"/>
        <v>35</v>
      </c>
      <c r="U19" s="117">
        <f t="shared" si="5"/>
        <v>5</v>
      </c>
      <c r="V19" s="117">
        <f t="shared" si="5"/>
        <v>5</v>
      </c>
      <c r="W19" s="117">
        <f t="shared" si="5"/>
        <v>5</v>
      </c>
      <c r="X19" s="117">
        <f t="shared" si="5"/>
        <v>5</v>
      </c>
      <c r="Y19" s="117">
        <f t="shared" si="5"/>
        <v>24</v>
      </c>
      <c r="Z19" s="117">
        <f t="shared" si="5"/>
        <v>10</v>
      </c>
      <c r="AA19" s="186">
        <f t="shared" si="2"/>
        <v>446</v>
      </c>
      <c r="AB19" s="116" t="str">
        <f>C19</f>
        <v>Sagan</v>
      </c>
    </row>
    <row r="20" spans="2:28" ht="13.5" thickBot="1">
      <c r="B20" s="169"/>
      <c r="C20" s="318" t="s">
        <v>188</v>
      </c>
      <c r="D20" s="276" t="s">
        <v>11</v>
      </c>
      <c r="E20" s="117">
        <f t="shared" si="4"/>
        <v>0</v>
      </c>
      <c r="F20" s="117">
        <f t="shared" si="4"/>
        <v>22</v>
      </c>
      <c r="G20" s="117">
        <f t="shared" si="4"/>
        <v>17</v>
      </c>
      <c r="H20" s="117">
        <f t="shared" si="4"/>
        <v>29</v>
      </c>
      <c r="I20" s="117">
        <f t="shared" si="4"/>
        <v>21</v>
      </c>
      <c r="J20" s="117">
        <f t="shared" si="4"/>
        <v>27</v>
      </c>
      <c r="K20" s="117">
        <f t="shared" si="4"/>
        <v>6</v>
      </c>
      <c r="L20" s="117">
        <f t="shared" si="4"/>
        <v>26</v>
      </c>
      <c r="M20" s="117">
        <f t="shared" si="4"/>
        <v>0</v>
      </c>
      <c r="N20" s="117">
        <f t="shared" si="4"/>
        <v>0</v>
      </c>
      <c r="O20" s="117">
        <f t="shared" si="5"/>
        <v>0</v>
      </c>
      <c r="P20" s="117">
        <f t="shared" si="5"/>
        <v>0</v>
      </c>
      <c r="Q20" s="117">
        <f t="shared" si="5"/>
        <v>35</v>
      </c>
      <c r="R20" s="117">
        <f t="shared" si="5"/>
        <v>10</v>
      </c>
      <c r="S20" s="117">
        <f t="shared" si="5"/>
        <v>0</v>
      </c>
      <c r="T20" s="117">
        <f t="shared" si="5"/>
        <v>0</v>
      </c>
      <c r="U20" s="117">
        <f t="shared" si="5"/>
        <v>0</v>
      </c>
      <c r="V20" s="117">
        <f t="shared" si="5"/>
        <v>0</v>
      </c>
      <c r="W20" s="117">
        <f t="shared" si="5"/>
        <v>0</v>
      </c>
      <c r="X20" s="117">
        <f t="shared" si="5"/>
        <v>0</v>
      </c>
      <c r="Y20" s="117">
        <f t="shared" si="5"/>
        <v>0</v>
      </c>
      <c r="Z20" s="117">
        <f t="shared" si="5"/>
        <v>0</v>
      </c>
      <c r="AA20" s="186">
        <f t="shared" si="2"/>
        <v>193</v>
      </c>
      <c r="AB20" s="116" t="str">
        <f>C20</f>
        <v>van Avermaet</v>
      </c>
    </row>
    <row r="21" spans="2:28" s="171" customFormat="1">
      <c r="C21" s="278"/>
      <c r="D21" s="178"/>
      <c r="E21" s="180"/>
      <c r="F21" s="180"/>
      <c r="G21" s="180"/>
      <c r="H21" s="180">
        <f>H25</f>
        <v>0</v>
      </c>
      <c r="I21" s="180"/>
      <c r="J21" s="180"/>
      <c r="K21" s="180"/>
      <c r="L21" s="180"/>
      <c r="M21" s="180"/>
      <c r="N21" s="180"/>
      <c r="O21" s="180"/>
      <c r="P21" s="180"/>
      <c r="Q21" s="180"/>
      <c r="R21" s="180"/>
      <c r="S21" s="180"/>
      <c r="T21" s="180"/>
      <c r="U21" s="180"/>
      <c r="V21" s="180"/>
      <c r="W21" s="180"/>
      <c r="X21" s="180">
        <f>X26</f>
        <v>0</v>
      </c>
      <c r="Y21" s="180"/>
      <c r="Z21" s="180"/>
      <c r="AA21" s="235">
        <f t="shared" si="2"/>
        <v>0</v>
      </c>
    </row>
    <row r="22" spans="2:28" s="120" customFormat="1">
      <c r="C22" s="179"/>
      <c r="D22" s="179"/>
      <c r="E22" s="172">
        <f t="shared" ref="E22:AA22" si="6">SUM(E4:E21)</f>
        <v>73</v>
      </c>
      <c r="F22" s="172">
        <f t="shared" ref="F22" si="7">SUM(F4:F21)</f>
        <v>190</v>
      </c>
      <c r="G22" s="172">
        <f>SUM(G4:G21)</f>
        <v>145</v>
      </c>
      <c r="H22" s="172">
        <f t="shared" si="6"/>
        <v>209</v>
      </c>
      <c r="I22" s="172">
        <f t="shared" si="6"/>
        <v>205</v>
      </c>
      <c r="J22" s="172">
        <f t="shared" si="6"/>
        <v>165</v>
      </c>
      <c r="K22" s="172">
        <f t="shared" si="6"/>
        <v>183</v>
      </c>
      <c r="L22" s="172">
        <f t="shared" si="6"/>
        <v>137</v>
      </c>
      <c r="M22" s="172">
        <f t="shared" si="6"/>
        <v>0.1</v>
      </c>
      <c r="N22" s="172">
        <f t="shared" si="6"/>
        <v>91</v>
      </c>
      <c r="O22" s="172">
        <f t="shared" si="6"/>
        <v>50</v>
      </c>
      <c r="P22" s="172">
        <f t="shared" si="6"/>
        <v>129</v>
      </c>
      <c r="Q22" s="172">
        <f t="shared" si="6"/>
        <v>142</v>
      </c>
      <c r="R22" s="172">
        <f t="shared" si="6"/>
        <v>157</v>
      </c>
      <c r="S22" s="172">
        <f t="shared" si="6"/>
        <v>144</v>
      </c>
      <c r="T22" s="172">
        <f t="shared" si="6"/>
        <v>59</v>
      </c>
      <c r="U22" s="172">
        <f t="shared" si="6"/>
        <v>69</v>
      </c>
      <c r="V22" s="172">
        <f t="shared" si="6"/>
        <v>89</v>
      </c>
      <c r="W22" s="172">
        <f t="shared" si="6"/>
        <v>96</v>
      </c>
      <c r="X22" s="172">
        <f t="shared" si="6"/>
        <v>151</v>
      </c>
      <c r="Y22" s="172">
        <f t="shared" si="6"/>
        <v>141</v>
      </c>
      <c r="Z22" s="172">
        <f t="shared" si="6"/>
        <v>120</v>
      </c>
      <c r="AA22" s="236">
        <f t="shared" si="6"/>
        <v>2745.1</v>
      </c>
    </row>
    <row r="23" spans="2:28" s="173" customFormat="1">
      <c r="C23" s="176"/>
      <c r="D23" s="176"/>
      <c r="E23" s="151"/>
      <c r="F23" s="151"/>
      <c r="G23" s="151"/>
      <c r="H23" s="174"/>
      <c r="I23" s="151"/>
      <c r="J23" s="151"/>
      <c r="K23" s="151"/>
      <c r="L23" s="151"/>
      <c r="M23" s="151"/>
      <c r="N23" s="151"/>
      <c r="O23" s="151"/>
      <c r="P23" s="151"/>
      <c r="Q23" s="151"/>
      <c r="R23" s="151"/>
      <c r="S23" s="151"/>
      <c r="T23" s="151"/>
      <c r="U23" s="151"/>
      <c r="V23" s="151"/>
      <c r="W23" s="151"/>
      <c r="X23" s="151"/>
      <c r="Y23" s="151"/>
      <c r="Z23" s="151"/>
      <c r="AA23" s="237"/>
    </row>
    <row r="24" spans="2:28" s="175" customFormat="1">
      <c r="B24" s="169"/>
      <c r="C24" s="279"/>
      <c r="D24" s="279"/>
      <c r="E24" s="193" t="e">
        <f t="shared" ref="E24:Z26" si="8">INDEX(scorematrix,MATCH($C24,renners,0),MATCH(E$3,etappes,0))</f>
        <v>#N/A</v>
      </c>
      <c r="F24" s="193" t="e">
        <f t="shared" si="8"/>
        <v>#N/A</v>
      </c>
      <c r="G24" s="193" t="e">
        <f t="shared" si="8"/>
        <v>#N/A</v>
      </c>
      <c r="H24" s="193" t="e">
        <f t="shared" si="8"/>
        <v>#N/A</v>
      </c>
      <c r="I24" s="193" t="e">
        <f t="shared" si="8"/>
        <v>#N/A</v>
      </c>
      <c r="J24" s="193" t="e">
        <f t="shared" si="8"/>
        <v>#N/A</v>
      </c>
      <c r="K24" s="193" t="e">
        <f t="shared" si="8"/>
        <v>#N/A</v>
      </c>
      <c r="L24" s="193" t="e">
        <f t="shared" si="8"/>
        <v>#N/A</v>
      </c>
      <c r="M24" s="193" t="e">
        <f t="shared" si="8"/>
        <v>#N/A</v>
      </c>
      <c r="N24" s="193" t="e">
        <f t="shared" si="8"/>
        <v>#N/A</v>
      </c>
      <c r="O24" s="193" t="e">
        <f t="shared" si="8"/>
        <v>#N/A</v>
      </c>
      <c r="P24" s="193" t="e">
        <f t="shared" si="8"/>
        <v>#N/A</v>
      </c>
      <c r="Q24" s="193" t="e">
        <f t="shared" si="8"/>
        <v>#N/A</v>
      </c>
      <c r="R24" s="193" t="e">
        <f t="shared" si="8"/>
        <v>#N/A</v>
      </c>
      <c r="S24" s="193" t="e">
        <f t="shared" si="8"/>
        <v>#N/A</v>
      </c>
      <c r="T24" s="193" t="e">
        <f t="shared" si="8"/>
        <v>#N/A</v>
      </c>
      <c r="U24" s="193" t="e">
        <f t="shared" si="8"/>
        <v>#N/A</v>
      </c>
      <c r="V24" s="193" t="e">
        <f t="shared" si="8"/>
        <v>#N/A</v>
      </c>
      <c r="W24" s="193" t="e">
        <f t="shared" si="8"/>
        <v>#N/A</v>
      </c>
      <c r="X24" s="193" t="e">
        <f t="shared" si="8"/>
        <v>#N/A</v>
      </c>
      <c r="Y24" s="193" t="e">
        <f t="shared" si="8"/>
        <v>#N/A</v>
      </c>
      <c r="Z24" s="193" t="e">
        <f t="shared" si="8"/>
        <v>#N/A</v>
      </c>
      <c r="AA24" s="238" t="e">
        <f>SUM(E24:Z24)</f>
        <v>#N/A</v>
      </c>
    </row>
    <row r="25" spans="2:28" s="175" customFormat="1">
      <c r="B25" s="169"/>
      <c r="C25" s="279" t="s">
        <v>115</v>
      </c>
      <c r="D25" s="279"/>
      <c r="E25" s="193">
        <f t="shared" si="8"/>
        <v>37</v>
      </c>
      <c r="F25" s="193">
        <f t="shared" si="8"/>
        <v>39</v>
      </c>
      <c r="G25" s="193">
        <f t="shared" si="8"/>
        <v>1</v>
      </c>
      <c r="H25" s="234">
        <f t="shared" si="8"/>
        <v>0</v>
      </c>
      <c r="I25" s="193">
        <f t="shared" si="8"/>
        <v>0</v>
      </c>
      <c r="J25" s="193">
        <f t="shared" si="8"/>
        <v>0</v>
      </c>
      <c r="K25" s="193">
        <f t="shared" si="8"/>
        <v>0</v>
      </c>
      <c r="L25" s="193">
        <f t="shared" si="8"/>
        <v>0</v>
      </c>
      <c r="M25" s="193">
        <f t="shared" si="8"/>
        <v>0</v>
      </c>
      <c r="N25" s="193">
        <f t="shared" si="8"/>
        <v>0</v>
      </c>
      <c r="O25" s="193">
        <f t="shared" si="8"/>
        <v>0</v>
      </c>
      <c r="P25" s="193">
        <f t="shared" si="8"/>
        <v>0</v>
      </c>
      <c r="Q25" s="193">
        <f t="shared" si="8"/>
        <v>0</v>
      </c>
      <c r="R25" s="193">
        <f t="shared" si="8"/>
        <v>0</v>
      </c>
      <c r="S25" s="193">
        <f t="shared" si="8"/>
        <v>0</v>
      </c>
      <c r="T25" s="193">
        <f t="shared" si="8"/>
        <v>0</v>
      </c>
      <c r="U25" s="193">
        <f t="shared" si="8"/>
        <v>0</v>
      </c>
      <c r="V25" s="193">
        <f t="shared" si="8"/>
        <v>0</v>
      </c>
      <c r="W25" s="193">
        <f t="shared" si="8"/>
        <v>0</v>
      </c>
      <c r="X25" s="193">
        <f t="shared" si="8"/>
        <v>0</v>
      </c>
      <c r="Y25" s="193">
        <f t="shared" si="8"/>
        <v>0</v>
      </c>
      <c r="Z25" s="193">
        <f t="shared" si="8"/>
        <v>0</v>
      </c>
      <c r="AA25" s="238">
        <f>SUM(E25:Z25)</f>
        <v>77</v>
      </c>
    </row>
    <row r="26" spans="2:28" s="175" customFormat="1">
      <c r="B26" s="169"/>
      <c r="C26" s="279" t="s">
        <v>132</v>
      </c>
      <c r="D26" s="279"/>
      <c r="E26" s="193">
        <f t="shared" si="8"/>
        <v>19</v>
      </c>
      <c r="F26" s="193">
        <f t="shared" si="8"/>
        <v>0</v>
      </c>
      <c r="G26" s="193">
        <f t="shared" si="8"/>
        <v>0</v>
      </c>
      <c r="H26" s="193">
        <f t="shared" si="8"/>
        <v>0</v>
      </c>
      <c r="I26" s="193">
        <f t="shared" si="8"/>
        <v>0</v>
      </c>
      <c r="J26" s="193">
        <f t="shared" si="8"/>
        <v>0</v>
      </c>
      <c r="K26" s="193">
        <f t="shared" si="8"/>
        <v>0</v>
      </c>
      <c r="L26" s="193">
        <f t="shared" si="8"/>
        <v>0</v>
      </c>
      <c r="M26" s="193">
        <f t="shared" si="8"/>
        <v>0</v>
      </c>
      <c r="N26" s="193">
        <f t="shared" si="8"/>
        <v>0</v>
      </c>
      <c r="O26" s="193">
        <f t="shared" si="8"/>
        <v>0</v>
      </c>
      <c r="P26" s="193">
        <f t="shared" si="8"/>
        <v>0</v>
      </c>
      <c r="Q26" s="193">
        <f t="shared" si="8"/>
        <v>6</v>
      </c>
      <c r="R26" s="193">
        <f t="shared" si="8"/>
        <v>0</v>
      </c>
      <c r="S26" s="193">
        <f t="shared" si="8"/>
        <v>0</v>
      </c>
      <c r="T26" s="193">
        <f t="shared" si="8"/>
        <v>0</v>
      </c>
      <c r="U26" s="193">
        <f t="shared" si="8"/>
        <v>0</v>
      </c>
      <c r="V26" s="193">
        <f t="shared" si="8"/>
        <v>0</v>
      </c>
      <c r="W26" s="193">
        <f t="shared" si="8"/>
        <v>0</v>
      </c>
      <c r="X26" s="234">
        <f t="shared" si="8"/>
        <v>0</v>
      </c>
      <c r="Y26" s="193">
        <f t="shared" si="8"/>
        <v>0</v>
      </c>
      <c r="Z26" s="193">
        <f t="shared" si="8"/>
        <v>0</v>
      </c>
      <c r="AA26" s="238">
        <f>SUM(E26:Z26)</f>
        <v>25</v>
      </c>
    </row>
    <row r="28" spans="2:28">
      <c r="C28" s="301" t="s">
        <v>136</v>
      </c>
      <c r="D28" s="302">
        <f>COUNTIF($D$4:$D$21,C28)</f>
        <v>8</v>
      </c>
    </row>
    <row r="29" spans="2:28">
      <c r="C29" s="303" t="s">
        <v>11</v>
      </c>
      <c r="D29" s="302">
        <f>COUNTIF($D$4:$D$21,C29)</f>
        <v>6</v>
      </c>
    </row>
    <row r="30" spans="2:28">
      <c r="C30" s="303" t="s">
        <v>117</v>
      </c>
      <c r="D30" s="302">
        <f>COUNTIF($D$4:$D$21,C30)</f>
        <v>2</v>
      </c>
    </row>
  </sheetData>
  <sortState ref="C4:D20">
    <sortCondition ref="D4:D20"/>
    <sortCondition ref="C4:C20"/>
  </sortState>
  <phoneticPr fontId="0" type="noConversion"/>
  <dataValidations count="1">
    <dataValidation type="list" allowBlank="1" showInputMessage="1" showErrorMessage="1" prompt="selecteer type renner:" sqref="D24:D26 D4:D20">
      <formula1>type_renner</formula1>
    </dataValidation>
  </dataValidations>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sheetPr codeName="Blad22" enableFormatConditionsCalculation="0">
    <tabColor indexed="39"/>
  </sheetPr>
  <dimension ref="B1:AB30"/>
  <sheetViews>
    <sheetView showZeros="0" workbookViewId="0">
      <selection activeCell="B31" sqref="B31"/>
    </sheetView>
  </sheetViews>
  <sheetFormatPr defaultRowHeight="12.75"/>
  <cols>
    <col min="1" max="1" width="2.7109375" style="116" customWidth="1"/>
    <col min="2" max="2" width="8.85546875" style="116" customWidth="1"/>
    <col min="3" max="4" width="13" style="121" customWidth="1"/>
    <col min="5" max="7" width="5" style="117" customWidth="1"/>
    <col min="8" max="8" width="5" style="148" customWidth="1"/>
    <col min="9" max="16" width="5" style="136" customWidth="1"/>
    <col min="17" max="17" width="5" style="134" customWidth="1"/>
    <col min="18" max="26" width="5" style="116" customWidth="1"/>
    <col min="27" max="27" width="5" style="120" customWidth="1"/>
    <col min="28" max="28" width="15" style="116" customWidth="1"/>
    <col min="29" max="16384" width="9.140625" style="116"/>
  </cols>
  <sheetData>
    <row r="1" spans="2:28">
      <c r="C1" s="273" t="s">
        <v>80</v>
      </c>
      <c r="D1" s="273"/>
    </row>
    <row r="2" spans="2:28">
      <c r="C2" s="177"/>
      <c r="D2" s="177"/>
      <c r="H2" s="136"/>
    </row>
    <row r="3" spans="2:28" s="134" customFormat="1" ht="13.5" thickBot="1">
      <c r="C3" s="274" t="s">
        <v>47</v>
      </c>
      <c r="D3" s="274"/>
      <c r="E3" s="119">
        <v>1</v>
      </c>
      <c r="F3" s="119">
        <v>2</v>
      </c>
      <c r="G3" s="119">
        <v>3</v>
      </c>
      <c r="H3" s="119">
        <v>4</v>
      </c>
      <c r="I3" s="119">
        <v>5</v>
      </c>
      <c r="J3" s="119">
        <v>6</v>
      </c>
      <c r="K3" s="119">
        <v>7</v>
      </c>
      <c r="L3" s="119">
        <v>8</v>
      </c>
      <c r="M3" s="119">
        <v>9</v>
      </c>
      <c r="N3" s="119">
        <v>10</v>
      </c>
      <c r="O3" s="119">
        <v>11</v>
      </c>
      <c r="P3" s="119">
        <v>12</v>
      </c>
      <c r="Q3" s="119">
        <v>13</v>
      </c>
      <c r="R3" s="119">
        <v>14</v>
      </c>
      <c r="S3" s="119">
        <v>15</v>
      </c>
      <c r="T3" s="119">
        <v>16</v>
      </c>
      <c r="U3" s="119">
        <v>17</v>
      </c>
      <c r="V3" s="119">
        <v>18</v>
      </c>
      <c r="W3" s="119">
        <v>19</v>
      </c>
      <c r="X3" s="119">
        <v>20</v>
      </c>
      <c r="Y3" s="119">
        <v>21</v>
      </c>
      <c r="Z3" s="119" t="s">
        <v>1</v>
      </c>
      <c r="AA3" s="154"/>
    </row>
    <row r="4" spans="2:28">
      <c r="B4" s="169"/>
      <c r="C4" s="275" t="s">
        <v>111</v>
      </c>
      <c r="D4" s="276" t="s">
        <v>117</v>
      </c>
      <c r="E4" s="117">
        <f t="shared" ref="E4:N13" si="0">INDEX(scorematrix,MATCH($C4,renners,0),MATCH(E$3,etappes,0))</f>
        <v>0</v>
      </c>
      <c r="F4" s="117">
        <f t="shared" si="0"/>
        <v>0</v>
      </c>
      <c r="G4" s="117">
        <f t="shared" si="0"/>
        <v>0</v>
      </c>
      <c r="H4" s="117">
        <f t="shared" si="0"/>
        <v>0</v>
      </c>
      <c r="I4" s="117">
        <f t="shared" si="0"/>
        <v>0</v>
      </c>
      <c r="J4" s="117">
        <f t="shared" si="0"/>
        <v>0</v>
      </c>
      <c r="K4" s="117">
        <f t="shared" si="0"/>
        <v>0</v>
      </c>
      <c r="L4" s="117">
        <f t="shared" si="0"/>
        <v>0</v>
      </c>
      <c r="M4" s="117">
        <f t="shared" si="0"/>
        <v>0</v>
      </c>
      <c r="N4" s="117">
        <f t="shared" si="0"/>
        <v>0</v>
      </c>
      <c r="O4" s="117">
        <f t="shared" ref="O4:Z13" si="1">INDEX(scorematrix,MATCH($C4,renners,0),MATCH(O$3,etappes,0))</f>
        <v>0</v>
      </c>
      <c r="P4" s="117">
        <f t="shared" si="1"/>
        <v>0</v>
      </c>
      <c r="Q4" s="117">
        <f t="shared" si="1"/>
        <v>0</v>
      </c>
      <c r="R4" s="117">
        <f t="shared" si="1"/>
        <v>0</v>
      </c>
      <c r="S4" s="117">
        <f t="shared" si="1"/>
        <v>0</v>
      </c>
      <c r="T4" s="117">
        <f t="shared" si="1"/>
        <v>0</v>
      </c>
      <c r="U4" s="117">
        <f t="shared" si="1"/>
        <v>0</v>
      </c>
      <c r="V4" s="117">
        <f t="shared" si="1"/>
        <v>0</v>
      </c>
      <c r="W4" s="117">
        <f t="shared" si="1"/>
        <v>0</v>
      </c>
      <c r="X4" s="117">
        <f t="shared" si="1"/>
        <v>0</v>
      </c>
      <c r="Y4" s="117">
        <f t="shared" si="1"/>
        <v>0</v>
      </c>
      <c r="Z4" s="117">
        <f t="shared" si="1"/>
        <v>0</v>
      </c>
      <c r="AA4" s="186">
        <f t="shared" ref="AA4:AA21" si="2">SUM(E4:Z4)</f>
        <v>0</v>
      </c>
      <c r="AB4" s="116" t="str">
        <f t="shared" ref="AB4:AB20" si="3">C4</f>
        <v>Kwiatkowski</v>
      </c>
    </row>
    <row r="5" spans="2:28">
      <c r="B5" s="169"/>
      <c r="C5" s="277" t="s">
        <v>135</v>
      </c>
      <c r="D5" s="276" t="s">
        <v>136</v>
      </c>
      <c r="E5" s="117">
        <f t="shared" si="0"/>
        <v>0</v>
      </c>
      <c r="F5" s="117">
        <f t="shared" si="0"/>
        <v>0</v>
      </c>
      <c r="G5" s="117">
        <f t="shared" si="0"/>
        <v>13</v>
      </c>
      <c r="H5" s="117">
        <f t="shared" si="0"/>
        <v>0</v>
      </c>
      <c r="I5" s="117">
        <f t="shared" si="0"/>
        <v>0</v>
      </c>
      <c r="J5" s="117">
        <f t="shared" si="0"/>
        <v>0</v>
      </c>
      <c r="K5" s="117">
        <f t="shared" si="0"/>
        <v>0</v>
      </c>
      <c r="L5" s="117">
        <f t="shared" si="0"/>
        <v>15</v>
      </c>
      <c r="M5" s="117">
        <f t="shared" si="0"/>
        <v>0</v>
      </c>
      <c r="N5" s="117">
        <f t="shared" si="0"/>
        <v>0</v>
      </c>
      <c r="O5" s="117">
        <f t="shared" si="1"/>
        <v>0</v>
      </c>
      <c r="P5" s="117">
        <f t="shared" si="1"/>
        <v>0</v>
      </c>
      <c r="Q5" s="117">
        <f t="shared" si="1"/>
        <v>0</v>
      </c>
      <c r="R5" s="117">
        <f t="shared" si="1"/>
        <v>0</v>
      </c>
      <c r="S5" s="117">
        <f t="shared" si="1"/>
        <v>0</v>
      </c>
      <c r="T5" s="117">
        <f t="shared" si="1"/>
        <v>0</v>
      </c>
      <c r="U5" s="117">
        <f t="shared" si="1"/>
        <v>0</v>
      </c>
      <c r="V5" s="117">
        <f t="shared" si="1"/>
        <v>0</v>
      </c>
      <c r="W5" s="117">
        <f t="shared" si="1"/>
        <v>0</v>
      </c>
      <c r="X5" s="117">
        <f t="shared" si="1"/>
        <v>0</v>
      </c>
      <c r="Y5" s="117">
        <f t="shared" si="1"/>
        <v>0</v>
      </c>
      <c r="Z5" s="117">
        <f t="shared" si="1"/>
        <v>0</v>
      </c>
      <c r="AA5" s="186">
        <f t="shared" si="2"/>
        <v>28</v>
      </c>
      <c r="AB5" s="116" t="str">
        <f t="shared" si="3"/>
        <v>Arredondo</v>
      </c>
    </row>
    <row r="6" spans="2:28">
      <c r="B6" s="169"/>
      <c r="C6" s="277" t="s">
        <v>116</v>
      </c>
      <c r="D6" s="276" t="s">
        <v>136</v>
      </c>
      <c r="E6" s="117">
        <f t="shared" si="0"/>
        <v>0</v>
      </c>
      <c r="F6" s="117">
        <f t="shared" si="0"/>
        <v>0</v>
      </c>
      <c r="G6" s="117">
        <f t="shared" si="0"/>
        <v>0</v>
      </c>
      <c r="H6" s="117">
        <f t="shared" si="0"/>
        <v>8</v>
      </c>
      <c r="I6" s="117">
        <f t="shared" si="0"/>
        <v>0</v>
      </c>
      <c r="J6" s="117">
        <f t="shared" si="0"/>
        <v>0</v>
      </c>
      <c r="K6" s="117">
        <f t="shared" si="0"/>
        <v>0</v>
      </c>
      <c r="L6" s="117">
        <f t="shared" si="0"/>
        <v>0</v>
      </c>
      <c r="M6" s="117">
        <f t="shared" si="0"/>
        <v>0</v>
      </c>
      <c r="N6" s="117">
        <f t="shared" si="0"/>
        <v>0</v>
      </c>
      <c r="O6" s="117">
        <f t="shared" si="1"/>
        <v>0</v>
      </c>
      <c r="P6" s="117">
        <f t="shared" si="1"/>
        <v>27</v>
      </c>
      <c r="Q6" s="117">
        <f t="shared" si="1"/>
        <v>1</v>
      </c>
      <c r="R6" s="117">
        <f t="shared" si="1"/>
        <v>27</v>
      </c>
      <c r="S6" s="117">
        <f t="shared" si="1"/>
        <v>1</v>
      </c>
      <c r="T6" s="117">
        <f t="shared" si="1"/>
        <v>1</v>
      </c>
      <c r="U6" s="117">
        <f t="shared" si="1"/>
        <v>0</v>
      </c>
      <c r="V6" s="117">
        <f t="shared" si="1"/>
        <v>40</v>
      </c>
      <c r="W6" s="117">
        <f t="shared" si="1"/>
        <v>29</v>
      </c>
      <c r="X6" s="117">
        <f t="shared" si="1"/>
        <v>13</v>
      </c>
      <c r="Y6" s="117">
        <f t="shared" si="1"/>
        <v>5</v>
      </c>
      <c r="Z6" s="117">
        <f t="shared" si="1"/>
        <v>39</v>
      </c>
      <c r="AA6" s="186">
        <f t="shared" si="2"/>
        <v>191</v>
      </c>
      <c r="AB6" s="116" t="str">
        <f t="shared" si="3"/>
        <v>Bardet</v>
      </c>
    </row>
    <row r="7" spans="2:28">
      <c r="B7" s="169"/>
      <c r="C7" s="296" t="s">
        <v>143</v>
      </c>
      <c r="D7" s="276" t="s">
        <v>136</v>
      </c>
      <c r="E7" s="117">
        <f t="shared" si="0"/>
        <v>0</v>
      </c>
      <c r="F7" s="117">
        <f t="shared" si="0"/>
        <v>16</v>
      </c>
      <c r="G7" s="117">
        <f t="shared" si="0"/>
        <v>9</v>
      </c>
      <c r="H7" s="117">
        <f t="shared" si="0"/>
        <v>0</v>
      </c>
      <c r="I7" s="117">
        <f t="shared" si="0"/>
        <v>0</v>
      </c>
      <c r="J7" s="117">
        <f t="shared" si="0"/>
        <v>0</v>
      </c>
      <c r="K7" s="117">
        <f t="shared" si="0"/>
        <v>10</v>
      </c>
      <c r="L7" s="117">
        <f t="shared" si="0"/>
        <v>16</v>
      </c>
      <c r="M7" s="117">
        <f t="shared" si="0"/>
        <v>0</v>
      </c>
      <c r="N7" s="117">
        <f t="shared" si="0"/>
        <v>13</v>
      </c>
      <c r="O7" s="117">
        <f t="shared" si="1"/>
        <v>2</v>
      </c>
      <c r="P7" s="117">
        <f t="shared" si="1"/>
        <v>0</v>
      </c>
      <c r="Q7" s="117">
        <f t="shared" si="1"/>
        <v>10</v>
      </c>
      <c r="R7" s="117">
        <f t="shared" si="1"/>
        <v>0</v>
      </c>
      <c r="S7" s="117">
        <f t="shared" si="1"/>
        <v>0</v>
      </c>
      <c r="T7" s="117">
        <f t="shared" si="1"/>
        <v>1</v>
      </c>
      <c r="U7" s="117">
        <f t="shared" si="1"/>
        <v>1</v>
      </c>
      <c r="V7" s="117">
        <f t="shared" si="1"/>
        <v>16</v>
      </c>
      <c r="W7" s="117">
        <f t="shared" si="1"/>
        <v>0</v>
      </c>
      <c r="X7" s="117">
        <f t="shared" si="1"/>
        <v>0</v>
      </c>
      <c r="Y7" s="117">
        <f t="shared" si="1"/>
        <v>0</v>
      </c>
      <c r="Z7" s="117">
        <f t="shared" si="1"/>
        <v>24</v>
      </c>
      <c r="AA7" s="186">
        <f t="shared" si="2"/>
        <v>118</v>
      </c>
      <c r="AB7" s="116" t="str">
        <f t="shared" si="3"/>
        <v>Barguil</v>
      </c>
    </row>
    <row r="8" spans="2:28">
      <c r="B8" s="169"/>
      <c r="C8" s="277" t="s">
        <v>93</v>
      </c>
      <c r="D8" s="276" t="s">
        <v>136</v>
      </c>
      <c r="E8" s="117">
        <f t="shared" si="0"/>
        <v>0</v>
      </c>
      <c r="F8" s="117">
        <f t="shared" si="0"/>
        <v>0</v>
      </c>
      <c r="G8" s="117">
        <f t="shared" si="0"/>
        <v>0</v>
      </c>
      <c r="H8" s="117">
        <f t="shared" si="0"/>
        <v>0</v>
      </c>
      <c r="I8" s="117">
        <f t="shared" si="0"/>
        <v>0</v>
      </c>
      <c r="J8" s="117">
        <f t="shared" si="0"/>
        <v>0</v>
      </c>
      <c r="K8" s="117">
        <f t="shared" si="0"/>
        <v>0</v>
      </c>
      <c r="L8" s="117">
        <f t="shared" si="0"/>
        <v>0</v>
      </c>
      <c r="M8" s="117">
        <f t="shared" si="0"/>
        <v>0</v>
      </c>
      <c r="N8" s="117">
        <f t="shared" si="0"/>
        <v>0</v>
      </c>
      <c r="O8" s="117">
        <f t="shared" si="1"/>
        <v>0</v>
      </c>
      <c r="P8" s="117">
        <f t="shared" si="1"/>
        <v>0</v>
      </c>
      <c r="Q8" s="117">
        <f t="shared" si="1"/>
        <v>0</v>
      </c>
      <c r="R8" s="117">
        <f t="shared" si="1"/>
        <v>0</v>
      </c>
      <c r="S8" s="117">
        <f t="shared" si="1"/>
        <v>0</v>
      </c>
      <c r="T8" s="117">
        <f t="shared" si="1"/>
        <v>0</v>
      </c>
      <c r="U8" s="117">
        <f t="shared" si="1"/>
        <v>0</v>
      </c>
      <c r="V8" s="117">
        <f t="shared" si="1"/>
        <v>0</v>
      </c>
      <c r="W8" s="117">
        <f t="shared" si="1"/>
        <v>0</v>
      </c>
      <c r="X8" s="117">
        <f t="shared" si="1"/>
        <v>0</v>
      </c>
      <c r="Y8" s="117">
        <f t="shared" si="1"/>
        <v>0</v>
      </c>
      <c r="Z8" s="117">
        <f t="shared" si="1"/>
        <v>0</v>
      </c>
      <c r="AA8" s="186">
        <f t="shared" si="2"/>
        <v>0</v>
      </c>
      <c r="AB8" s="116" t="str">
        <f t="shared" si="3"/>
        <v>Costa</v>
      </c>
    </row>
    <row r="9" spans="2:28">
      <c r="B9" s="169"/>
      <c r="C9" s="277" t="s">
        <v>139</v>
      </c>
      <c r="D9" s="276" t="s">
        <v>136</v>
      </c>
      <c r="E9" s="117">
        <f t="shared" si="0"/>
        <v>0</v>
      </c>
      <c r="F9" s="117">
        <f t="shared" si="0"/>
        <v>0</v>
      </c>
      <c r="G9" s="117">
        <f t="shared" si="0"/>
        <v>4</v>
      </c>
      <c r="H9" s="117">
        <f t="shared" si="0"/>
        <v>4</v>
      </c>
      <c r="I9" s="117">
        <f t="shared" si="0"/>
        <v>4</v>
      </c>
      <c r="J9" s="117">
        <f t="shared" si="0"/>
        <v>2</v>
      </c>
      <c r="K9" s="117">
        <f t="shared" si="0"/>
        <v>2</v>
      </c>
      <c r="L9" s="117">
        <f t="shared" si="0"/>
        <v>1</v>
      </c>
      <c r="M9" s="117">
        <f t="shared" si="0"/>
        <v>0</v>
      </c>
      <c r="N9" s="117">
        <f t="shared" si="0"/>
        <v>0</v>
      </c>
      <c r="O9" s="117">
        <f t="shared" si="1"/>
        <v>38</v>
      </c>
      <c r="P9" s="117">
        <f t="shared" si="1"/>
        <v>0</v>
      </c>
      <c r="Q9" s="117">
        <f t="shared" si="1"/>
        <v>0</v>
      </c>
      <c r="R9" s="117">
        <f t="shared" si="1"/>
        <v>0</v>
      </c>
      <c r="S9" s="117">
        <f t="shared" si="1"/>
        <v>0</v>
      </c>
      <c r="T9" s="117">
        <f t="shared" si="1"/>
        <v>0</v>
      </c>
      <c r="U9" s="117">
        <f t="shared" si="1"/>
        <v>13</v>
      </c>
      <c r="V9" s="117">
        <f t="shared" si="1"/>
        <v>0</v>
      </c>
      <c r="W9" s="117">
        <f t="shared" si="1"/>
        <v>11</v>
      </c>
      <c r="X9" s="117">
        <f t="shared" si="1"/>
        <v>9</v>
      </c>
      <c r="Y9" s="117">
        <f t="shared" si="1"/>
        <v>0</v>
      </c>
      <c r="Z9" s="117">
        <f t="shared" si="1"/>
        <v>0</v>
      </c>
      <c r="AA9" s="186">
        <f t="shared" si="2"/>
        <v>88</v>
      </c>
      <c r="AB9" s="116" t="str">
        <f t="shared" si="3"/>
        <v>Majka</v>
      </c>
    </row>
    <row r="10" spans="2:28">
      <c r="B10" s="169"/>
      <c r="C10" s="277" t="s">
        <v>90</v>
      </c>
      <c r="D10" s="276" t="s">
        <v>136</v>
      </c>
      <c r="E10" s="117">
        <f t="shared" si="0"/>
        <v>8</v>
      </c>
      <c r="F10" s="117">
        <f t="shared" si="0"/>
        <v>0</v>
      </c>
      <c r="G10" s="117">
        <f t="shared" si="0"/>
        <v>0</v>
      </c>
      <c r="H10" s="117">
        <f t="shared" si="0"/>
        <v>0</v>
      </c>
      <c r="I10" s="117">
        <f t="shared" si="0"/>
        <v>0</v>
      </c>
      <c r="J10" s="117">
        <f t="shared" si="0"/>
        <v>0</v>
      </c>
      <c r="K10" s="117">
        <f t="shared" si="0"/>
        <v>0</v>
      </c>
      <c r="L10" s="117">
        <f t="shared" si="0"/>
        <v>0</v>
      </c>
      <c r="M10" s="117">
        <f t="shared" si="0"/>
        <v>0</v>
      </c>
      <c r="N10" s="117">
        <f t="shared" si="0"/>
        <v>0</v>
      </c>
      <c r="O10" s="117">
        <f t="shared" si="1"/>
        <v>0</v>
      </c>
      <c r="P10" s="117">
        <f t="shared" si="1"/>
        <v>14</v>
      </c>
      <c r="Q10" s="117">
        <f t="shared" si="1"/>
        <v>0</v>
      </c>
      <c r="R10" s="117">
        <f t="shared" si="1"/>
        <v>30</v>
      </c>
      <c r="S10" s="117">
        <f t="shared" si="1"/>
        <v>0</v>
      </c>
      <c r="T10" s="117">
        <f t="shared" si="1"/>
        <v>0</v>
      </c>
      <c r="U10" s="117">
        <f t="shared" si="1"/>
        <v>24</v>
      </c>
      <c r="V10" s="117">
        <f t="shared" si="1"/>
        <v>0</v>
      </c>
      <c r="W10" s="117">
        <f t="shared" si="1"/>
        <v>24</v>
      </c>
      <c r="X10" s="117">
        <f t="shared" si="1"/>
        <v>37</v>
      </c>
      <c r="Y10" s="117">
        <f t="shared" si="1"/>
        <v>2</v>
      </c>
      <c r="Z10" s="117">
        <f t="shared" si="1"/>
        <v>23</v>
      </c>
      <c r="AA10" s="186">
        <f t="shared" si="2"/>
        <v>162</v>
      </c>
      <c r="AB10" s="116" t="str">
        <f t="shared" si="3"/>
        <v>Pinot</v>
      </c>
    </row>
    <row r="11" spans="2:28">
      <c r="B11" s="169"/>
      <c r="C11" s="277" t="s">
        <v>94</v>
      </c>
      <c r="D11" s="276" t="s">
        <v>136</v>
      </c>
      <c r="E11" s="117">
        <f t="shared" si="0"/>
        <v>0</v>
      </c>
      <c r="F11" s="117">
        <f t="shared" si="0"/>
        <v>0</v>
      </c>
      <c r="G11" s="117">
        <f t="shared" si="0"/>
        <v>40</v>
      </c>
      <c r="H11" s="117">
        <f t="shared" si="0"/>
        <v>11</v>
      </c>
      <c r="I11" s="117">
        <f t="shared" si="0"/>
        <v>5</v>
      </c>
      <c r="J11" s="117">
        <f t="shared" si="0"/>
        <v>17</v>
      </c>
      <c r="K11" s="117">
        <f t="shared" si="0"/>
        <v>4</v>
      </c>
      <c r="L11" s="117">
        <f t="shared" si="0"/>
        <v>18</v>
      </c>
      <c r="M11" s="117">
        <f t="shared" si="0"/>
        <v>0</v>
      </c>
      <c r="N11" s="117">
        <f t="shared" si="0"/>
        <v>0</v>
      </c>
      <c r="O11" s="117">
        <f t="shared" si="1"/>
        <v>0</v>
      </c>
      <c r="P11" s="117">
        <f t="shared" si="1"/>
        <v>39</v>
      </c>
      <c r="Q11" s="117">
        <f t="shared" si="1"/>
        <v>4</v>
      </c>
      <c r="R11" s="117">
        <f t="shared" si="1"/>
        <v>4</v>
      </c>
      <c r="S11" s="117">
        <f t="shared" si="1"/>
        <v>4</v>
      </c>
      <c r="T11" s="117">
        <f t="shared" si="1"/>
        <v>4</v>
      </c>
      <c r="U11" s="117">
        <f t="shared" si="1"/>
        <v>4</v>
      </c>
      <c r="V11" s="117">
        <f t="shared" si="1"/>
        <v>5</v>
      </c>
      <c r="W11" s="117">
        <f t="shared" si="1"/>
        <v>3</v>
      </c>
      <c r="X11" s="117">
        <f t="shared" si="1"/>
        <v>15</v>
      </c>
      <c r="Y11" s="117">
        <f t="shared" si="1"/>
        <v>1</v>
      </c>
      <c r="Z11" s="117">
        <f t="shared" si="1"/>
        <v>1</v>
      </c>
      <c r="AA11" s="186">
        <f t="shared" si="2"/>
        <v>179</v>
      </c>
      <c r="AB11" s="116" t="str">
        <f t="shared" si="3"/>
        <v>Rodriguez</v>
      </c>
    </row>
    <row r="12" spans="2:28">
      <c r="B12" s="169"/>
      <c r="C12" s="277" t="s">
        <v>81</v>
      </c>
      <c r="D12" s="276" t="s">
        <v>136</v>
      </c>
      <c r="E12" s="117">
        <f t="shared" si="0"/>
        <v>0</v>
      </c>
      <c r="F12" s="117">
        <f t="shared" si="0"/>
        <v>0</v>
      </c>
      <c r="G12" s="117">
        <f t="shared" si="0"/>
        <v>6</v>
      </c>
      <c r="H12" s="117">
        <f t="shared" si="0"/>
        <v>0</v>
      </c>
      <c r="I12" s="117">
        <f t="shared" si="0"/>
        <v>0</v>
      </c>
      <c r="J12" s="117">
        <f t="shared" si="0"/>
        <v>0</v>
      </c>
      <c r="K12" s="117">
        <f t="shared" si="0"/>
        <v>0</v>
      </c>
      <c r="L12" s="117">
        <f t="shared" si="0"/>
        <v>6</v>
      </c>
      <c r="M12" s="117">
        <f t="shared" si="0"/>
        <v>0</v>
      </c>
      <c r="N12" s="117">
        <f t="shared" si="0"/>
        <v>18</v>
      </c>
      <c r="O12" s="117">
        <f t="shared" si="1"/>
        <v>10</v>
      </c>
      <c r="P12" s="117">
        <f t="shared" si="1"/>
        <v>11</v>
      </c>
      <c r="Q12" s="117">
        <f t="shared" si="1"/>
        <v>7</v>
      </c>
      <c r="R12" s="117">
        <f t="shared" si="1"/>
        <v>0</v>
      </c>
      <c r="S12" s="117">
        <f t="shared" si="1"/>
        <v>0</v>
      </c>
      <c r="T12" s="117">
        <f t="shared" si="1"/>
        <v>0</v>
      </c>
      <c r="U12" s="117">
        <f t="shared" si="1"/>
        <v>0</v>
      </c>
      <c r="V12" s="117">
        <f t="shared" si="1"/>
        <v>30</v>
      </c>
      <c r="W12" s="117">
        <f t="shared" si="1"/>
        <v>16</v>
      </c>
      <c r="X12" s="117">
        <f t="shared" si="1"/>
        <v>21</v>
      </c>
      <c r="Y12" s="117">
        <f t="shared" si="1"/>
        <v>1</v>
      </c>
      <c r="Z12" s="117">
        <f t="shared" si="1"/>
        <v>32</v>
      </c>
      <c r="AA12" s="186">
        <f t="shared" si="2"/>
        <v>158</v>
      </c>
      <c r="AB12" s="116" t="str">
        <f t="shared" si="3"/>
        <v>Rolland</v>
      </c>
    </row>
    <row r="13" spans="2:28">
      <c r="B13" s="169"/>
      <c r="C13" s="277" t="s">
        <v>98</v>
      </c>
      <c r="D13" s="276" t="s">
        <v>136</v>
      </c>
      <c r="E13" s="117">
        <f t="shared" si="0"/>
        <v>0</v>
      </c>
      <c r="F13" s="117">
        <f t="shared" si="0"/>
        <v>0</v>
      </c>
      <c r="G13" s="117">
        <f t="shared" si="0"/>
        <v>0</v>
      </c>
      <c r="H13" s="117">
        <f t="shared" si="0"/>
        <v>0</v>
      </c>
      <c r="I13" s="117">
        <f t="shared" si="0"/>
        <v>0</v>
      </c>
      <c r="J13" s="117">
        <f t="shared" si="0"/>
        <v>6</v>
      </c>
      <c r="K13" s="117">
        <f t="shared" si="0"/>
        <v>0</v>
      </c>
      <c r="L13" s="117">
        <f t="shared" si="0"/>
        <v>0</v>
      </c>
      <c r="M13" s="117">
        <f t="shared" si="0"/>
        <v>0</v>
      </c>
      <c r="N13" s="117">
        <f t="shared" si="0"/>
        <v>0</v>
      </c>
      <c r="O13" s="117">
        <f t="shared" si="1"/>
        <v>6</v>
      </c>
      <c r="P13" s="117">
        <f t="shared" si="1"/>
        <v>0</v>
      </c>
      <c r="Q13" s="117">
        <f t="shared" si="1"/>
        <v>0</v>
      </c>
      <c r="R13" s="117">
        <f t="shared" si="1"/>
        <v>0</v>
      </c>
      <c r="S13" s="117">
        <f t="shared" si="1"/>
        <v>0</v>
      </c>
      <c r="T13" s="117">
        <f t="shared" si="1"/>
        <v>0</v>
      </c>
      <c r="U13" s="117">
        <f t="shared" si="1"/>
        <v>30</v>
      </c>
      <c r="V13" s="117">
        <f t="shared" si="1"/>
        <v>17</v>
      </c>
      <c r="W13" s="117">
        <f t="shared" si="1"/>
        <v>14</v>
      </c>
      <c r="X13" s="117">
        <f t="shared" si="1"/>
        <v>0</v>
      </c>
      <c r="Y13" s="117">
        <f t="shared" si="1"/>
        <v>0</v>
      </c>
      <c r="Z13" s="117">
        <f t="shared" si="1"/>
        <v>30</v>
      </c>
      <c r="AA13" s="186">
        <f t="shared" si="2"/>
        <v>103</v>
      </c>
      <c r="AB13" s="116" t="str">
        <f t="shared" si="3"/>
        <v>Talansky</v>
      </c>
    </row>
    <row r="14" spans="2:28">
      <c r="B14" s="169"/>
      <c r="C14" s="277" t="s">
        <v>76</v>
      </c>
      <c r="D14" s="276" t="s">
        <v>136</v>
      </c>
      <c r="E14" s="117">
        <f t="shared" ref="E14:N20" si="4">INDEX(scorematrix,MATCH($C14,renners,0),MATCH(E$3,etappes,0))</f>
        <v>0</v>
      </c>
      <c r="F14" s="117">
        <f t="shared" si="4"/>
        <v>0</v>
      </c>
      <c r="G14" s="117">
        <f t="shared" si="4"/>
        <v>15</v>
      </c>
      <c r="H14" s="117">
        <f t="shared" si="4"/>
        <v>15</v>
      </c>
      <c r="I14" s="117">
        <f t="shared" si="4"/>
        <v>0</v>
      </c>
      <c r="J14" s="117">
        <f t="shared" si="4"/>
        <v>11</v>
      </c>
      <c r="K14" s="117">
        <f t="shared" si="4"/>
        <v>0</v>
      </c>
      <c r="L14" s="117">
        <f t="shared" si="4"/>
        <v>26</v>
      </c>
      <c r="M14" s="117">
        <f t="shared" si="4"/>
        <v>0</v>
      </c>
      <c r="N14" s="117">
        <f t="shared" si="4"/>
        <v>30</v>
      </c>
      <c r="O14" s="117">
        <f t="shared" ref="O14:Z20" si="5">INDEX(scorematrix,MATCH($C14,renners,0),MATCH(O$3,etappes,0))</f>
        <v>25</v>
      </c>
      <c r="P14" s="117">
        <f t="shared" si="5"/>
        <v>24</v>
      </c>
      <c r="Q14" s="117">
        <f t="shared" si="5"/>
        <v>24</v>
      </c>
      <c r="R14" s="117">
        <f t="shared" si="5"/>
        <v>7</v>
      </c>
      <c r="S14" s="117">
        <f t="shared" si="5"/>
        <v>7</v>
      </c>
      <c r="T14" s="117">
        <f t="shared" si="5"/>
        <v>7</v>
      </c>
      <c r="U14" s="117">
        <f t="shared" si="5"/>
        <v>8</v>
      </c>
      <c r="V14" s="117">
        <f t="shared" si="5"/>
        <v>21</v>
      </c>
      <c r="W14" s="117">
        <f t="shared" si="5"/>
        <v>28</v>
      </c>
      <c r="X14" s="117">
        <f t="shared" si="5"/>
        <v>32</v>
      </c>
      <c r="Y14" s="117">
        <f t="shared" si="5"/>
        <v>8</v>
      </c>
      <c r="Z14" s="117">
        <f t="shared" si="5"/>
        <v>52</v>
      </c>
      <c r="AA14" s="186">
        <f t="shared" si="2"/>
        <v>340</v>
      </c>
      <c r="AB14" s="116" t="str">
        <f t="shared" si="3"/>
        <v>Valverde</v>
      </c>
    </row>
    <row r="15" spans="2:28">
      <c r="B15" s="169"/>
      <c r="C15" s="277" t="s">
        <v>95</v>
      </c>
      <c r="D15" s="276" t="s">
        <v>136</v>
      </c>
      <c r="E15" s="117">
        <f t="shared" si="4"/>
        <v>6</v>
      </c>
      <c r="F15" s="117">
        <f t="shared" si="4"/>
        <v>18</v>
      </c>
      <c r="G15" s="117">
        <f t="shared" si="4"/>
        <v>28</v>
      </c>
      <c r="H15" s="117">
        <f t="shared" si="4"/>
        <v>8</v>
      </c>
      <c r="I15" s="117">
        <f t="shared" si="4"/>
        <v>8</v>
      </c>
      <c r="J15" s="117">
        <f t="shared" si="4"/>
        <v>8</v>
      </c>
      <c r="K15" s="117">
        <f t="shared" si="4"/>
        <v>8</v>
      </c>
      <c r="L15" s="117">
        <f t="shared" si="4"/>
        <v>24</v>
      </c>
      <c r="M15" s="117">
        <f t="shared" si="4"/>
        <v>0.1</v>
      </c>
      <c r="N15" s="117">
        <f t="shared" si="4"/>
        <v>25</v>
      </c>
      <c r="O15" s="117">
        <f t="shared" si="5"/>
        <v>22</v>
      </c>
      <c r="P15" s="117">
        <f t="shared" si="5"/>
        <v>22</v>
      </c>
      <c r="Q15" s="117">
        <f t="shared" si="5"/>
        <v>25</v>
      </c>
      <c r="R15" s="117">
        <f t="shared" si="5"/>
        <v>8</v>
      </c>
      <c r="S15" s="117">
        <f t="shared" si="5"/>
        <v>8</v>
      </c>
      <c r="T15" s="117">
        <f t="shared" si="5"/>
        <v>8</v>
      </c>
      <c r="U15" s="117">
        <f t="shared" si="5"/>
        <v>0</v>
      </c>
      <c r="V15" s="117">
        <f t="shared" si="5"/>
        <v>0</v>
      </c>
      <c r="W15" s="117">
        <f t="shared" si="5"/>
        <v>0</v>
      </c>
      <c r="X15" s="117">
        <f t="shared" si="5"/>
        <v>0</v>
      </c>
      <c r="Y15" s="117">
        <f t="shared" si="5"/>
        <v>0</v>
      </c>
      <c r="Z15" s="117">
        <f t="shared" si="5"/>
        <v>0</v>
      </c>
      <c r="AA15" s="186">
        <f t="shared" si="2"/>
        <v>226.1</v>
      </c>
      <c r="AB15" s="116" t="str">
        <f t="shared" si="3"/>
        <v>van Garderen</v>
      </c>
    </row>
    <row r="16" spans="2:28">
      <c r="B16" s="169"/>
      <c r="C16" s="277" t="s">
        <v>45</v>
      </c>
      <c r="D16" s="276" t="s">
        <v>11</v>
      </c>
      <c r="E16" s="117">
        <f t="shared" si="4"/>
        <v>0</v>
      </c>
      <c r="F16" s="117">
        <f t="shared" si="4"/>
        <v>26</v>
      </c>
      <c r="G16" s="117">
        <f t="shared" si="4"/>
        <v>2</v>
      </c>
      <c r="H16" s="117">
        <f t="shared" si="4"/>
        <v>15</v>
      </c>
      <c r="I16" s="117">
        <f t="shared" si="4"/>
        <v>28</v>
      </c>
      <c r="J16" s="117">
        <f t="shared" si="4"/>
        <v>2</v>
      </c>
      <c r="K16" s="117">
        <f t="shared" si="4"/>
        <v>38</v>
      </c>
      <c r="L16" s="117">
        <f t="shared" si="4"/>
        <v>3</v>
      </c>
      <c r="M16" s="117">
        <f t="shared" si="4"/>
        <v>0</v>
      </c>
      <c r="N16" s="117">
        <f t="shared" si="4"/>
        <v>3</v>
      </c>
      <c r="O16" s="117">
        <f t="shared" si="5"/>
        <v>2</v>
      </c>
      <c r="P16" s="117">
        <f t="shared" si="5"/>
        <v>2</v>
      </c>
      <c r="Q16" s="117">
        <f t="shared" si="5"/>
        <v>2</v>
      </c>
      <c r="R16" s="117">
        <f t="shared" si="5"/>
        <v>2</v>
      </c>
      <c r="S16" s="117">
        <f t="shared" si="5"/>
        <v>2</v>
      </c>
      <c r="T16" s="117">
        <f t="shared" si="5"/>
        <v>2</v>
      </c>
      <c r="U16" s="117">
        <f t="shared" si="5"/>
        <v>2</v>
      </c>
      <c r="V16" s="117">
        <f t="shared" si="5"/>
        <v>2</v>
      </c>
      <c r="W16" s="117">
        <f t="shared" si="5"/>
        <v>2</v>
      </c>
      <c r="X16" s="117">
        <f t="shared" si="5"/>
        <v>2</v>
      </c>
      <c r="Y16" s="117">
        <f t="shared" si="5"/>
        <v>22</v>
      </c>
      <c r="Z16" s="117">
        <f t="shared" si="5"/>
        <v>3</v>
      </c>
      <c r="AA16" s="186">
        <f t="shared" si="2"/>
        <v>162</v>
      </c>
      <c r="AB16" s="116" t="str">
        <f t="shared" si="3"/>
        <v>Cavendish</v>
      </c>
    </row>
    <row r="17" spans="2:28">
      <c r="B17" s="169"/>
      <c r="C17" s="277" t="s">
        <v>96</v>
      </c>
      <c r="D17" s="276" t="s">
        <v>11</v>
      </c>
      <c r="E17" s="117">
        <f t="shared" si="4"/>
        <v>0</v>
      </c>
      <c r="F17" s="117">
        <f t="shared" si="4"/>
        <v>0</v>
      </c>
      <c r="G17" s="117">
        <f t="shared" si="4"/>
        <v>0</v>
      </c>
      <c r="H17" s="117">
        <f t="shared" si="4"/>
        <v>33</v>
      </c>
      <c r="I17" s="117">
        <f t="shared" si="4"/>
        <v>23</v>
      </c>
      <c r="J17" s="117">
        <f t="shared" si="4"/>
        <v>27</v>
      </c>
      <c r="K17" s="117">
        <f t="shared" si="4"/>
        <v>26</v>
      </c>
      <c r="L17" s="117">
        <f t="shared" si="4"/>
        <v>2</v>
      </c>
      <c r="M17" s="117">
        <f t="shared" si="4"/>
        <v>0</v>
      </c>
      <c r="N17" s="117">
        <f t="shared" si="4"/>
        <v>2</v>
      </c>
      <c r="O17" s="117">
        <f t="shared" si="5"/>
        <v>3</v>
      </c>
      <c r="P17" s="117">
        <f t="shared" si="5"/>
        <v>3</v>
      </c>
      <c r="Q17" s="117">
        <f t="shared" si="5"/>
        <v>27</v>
      </c>
      <c r="R17" s="117">
        <f t="shared" si="5"/>
        <v>3</v>
      </c>
      <c r="S17" s="117">
        <f t="shared" si="5"/>
        <v>33</v>
      </c>
      <c r="T17" s="117">
        <f t="shared" si="5"/>
        <v>3</v>
      </c>
      <c r="U17" s="117">
        <f t="shared" si="5"/>
        <v>3</v>
      </c>
      <c r="V17" s="117">
        <f t="shared" si="5"/>
        <v>3</v>
      </c>
      <c r="W17" s="117">
        <f t="shared" si="5"/>
        <v>3</v>
      </c>
      <c r="X17" s="117">
        <f t="shared" si="5"/>
        <v>3</v>
      </c>
      <c r="Y17" s="117">
        <f t="shared" si="5"/>
        <v>21</v>
      </c>
      <c r="Z17" s="117">
        <f t="shared" si="5"/>
        <v>5</v>
      </c>
      <c r="AA17" s="186">
        <f t="shared" si="2"/>
        <v>223</v>
      </c>
      <c r="AB17" s="116" t="str">
        <f t="shared" si="3"/>
        <v>Degenkolb</v>
      </c>
    </row>
    <row r="18" spans="2:28" s="170" customFormat="1">
      <c r="B18" s="169"/>
      <c r="C18" s="277" t="s">
        <v>97</v>
      </c>
      <c r="D18" s="276" t="s">
        <v>11</v>
      </c>
      <c r="E18" s="117">
        <f t="shared" si="4"/>
        <v>0</v>
      </c>
      <c r="F18" s="117">
        <f t="shared" si="4"/>
        <v>0</v>
      </c>
      <c r="G18" s="117">
        <f t="shared" si="4"/>
        <v>0</v>
      </c>
      <c r="H18" s="117">
        <f t="shared" si="4"/>
        <v>0</v>
      </c>
      <c r="I18" s="117">
        <f t="shared" si="4"/>
        <v>24</v>
      </c>
      <c r="J18" s="117">
        <f t="shared" si="4"/>
        <v>15</v>
      </c>
      <c r="K18" s="117">
        <f t="shared" si="4"/>
        <v>22</v>
      </c>
      <c r="L18" s="117">
        <f t="shared" si="4"/>
        <v>0</v>
      </c>
      <c r="M18" s="117">
        <f t="shared" si="4"/>
        <v>0</v>
      </c>
      <c r="N18" s="117">
        <f t="shared" si="4"/>
        <v>0</v>
      </c>
      <c r="O18" s="117">
        <f t="shared" si="5"/>
        <v>0</v>
      </c>
      <c r="P18" s="117">
        <f t="shared" si="5"/>
        <v>0</v>
      </c>
      <c r="Q18" s="117">
        <f t="shared" si="5"/>
        <v>0</v>
      </c>
      <c r="R18" s="117">
        <f t="shared" si="5"/>
        <v>0</v>
      </c>
      <c r="S18" s="117">
        <f t="shared" si="5"/>
        <v>26</v>
      </c>
      <c r="T18" s="117">
        <f t="shared" si="5"/>
        <v>0</v>
      </c>
      <c r="U18" s="117">
        <f t="shared" si="5"/>
        <v>0</v>
      </c>
      <c r="V18" s="117">
        <f t="shared" si="5"/>
        <v>0</v>
      </c>
      <c r="W18" s="117">
        <f t="shared" si="5"/>
        <v>0</v>
      </c>
      <c r="X18" s="117">
        <f t="shared" si="5"/>
        <v>0</v>
      </c>
      <c r="Y18" s="117">
        <f t="shared" si="5"/>
        <v>26</v>
      </c>
      <c r="Z18" s="117">
        <f t="shared" si="5"/>
        <v>0</v>
      </c>
      <c r="AA18" s="186">
        <f t="shared" si="2"/>
        <v>113</v>
      </c>
      <c r="AB18" s="116" t="str">
        <f t="shared" si="3"/>
        <v>Kristoff</v>
      </c>
    </row>
    <row r="19" spans="2:28">
      <c r="B19" s="169"/>
      <c r="C19" s="277" t="s">
        <v>125</v>
      </c>
      <c r="D19" s="276" t="s">
        <v>11</v>
      </c>
      <c r="E19" s="117">
        <f t="shared" si="4"/>
        <v>0</v>
      </c>
      <c r="F19" s="117">
        <f t="shared" si="4"/>
        <v>0</v>
      </c>
      <c r="G19" s="117">
        <f t="shared" si="4"/>
        <v>0</v>
      </c>
      <c r="H19" s="117">
        <f t="shared" si="4"/>
        <v>0</v>
      </c>
      <c r="I19" s="117">
        <f t="shared" si="4"/>
        <v>0</v>
      </c>
      <c r="J19" s="117">
        <f t="shared" si="4"/>
        <v>0</v>
      </c>
      <c r="K19" s="117">
        <f t="shared" si="4"/>
        <v>0</v>
      </c>
      <c r="L19" s="117">
        <f t="shared" si="4"/>
        <v>0</v>
      </c>
      <c r="M19" s="117">
        <f t="shared" si="4"/>
        <v>0</v>
      </c>
      <c r="N19" s="117">
        <f t="shared" si="4"/>
        <v>0</v>
      </c>
      <c r="O19" s="117">
        <f t="shared" si="5"/>
        <v>0</v>
      </c>
      <c r="P19" s="117">
        <f t="shared" si="5"/>
        <v>0</v>
      </c>
      <c r="Q19" s="117">
        <f t="shared" si="5"/>
        <v>9</v>
      </c>
      <c r="R19" s="117">
        <f t="shared" si="5"/>
        <v>0</v>
      </c>
      <c r="S19" s="117">
        <f t="shared" si="5"/>
        <v>18</v>
      </c>
      <c r="T19" s="117">
        <f t="shared" si="5"/>
        <v>0</v>
      </c>
      <c r="U19" s="117">
        <f t="shared" si="5"/>
        <v>0</v>
      </c>
      <c r="V19" s="117">
        <f t="shared" si="5"/>
        <v>0</v>
      </c>
      <c r="W19" s="117">
        <f t="shared" si="5"/>
        <v>0</v>
      </c>
      <c r="X19" s="117">
        <f t="shared" si="5"/>
        <v>0</v>
      </c>
      <c r="Y19" s="117">
        <f t="shared" si="5"/>
        <v>17</v>
      </c>
      <c r="Z19" s="117">
        <f t="shared" si="5"/>
        <v>0</v>
      </c>
      <c r="AA19" s="186">
        <f t="shared" si="2"/>
        <v>44</v>
      </c>
      <c r="AB19" s="116" t="str">
        <f t="shared" si="3"/>
        <v>Matthews</v>
      </c>
    </row>
    <row r="20" spans="2:28" ht="13.5" thickBot="1">
      <c r="B20" s="169"/>
      <c r="C20" s="289" t="s">
        <v>74</v>
      </c>
      <c r="D20" s="276" t="s">
        <v>11</v>
      </c>
      <c r="E20" s="117">
        <f t="shared" si="4"/>
        <v>7</v>
      </c>
      <c r="F20" s="117">
        <f t="shared" si="4"/>
        <v>41</v>
      </c>
      <c r="G20" s="117">
        <f t="shared" si="4"/>
        <v>9</v>
      </c>
      <c r="H20" s="117">
        <f t="shared" si="4"/>
        <v>36</v>
      </c>
      <c r="I20" s="117">
        <f t="shared" si="4"/>
        <v>41</v>
      </c>
      <c r="J20" s="117">
        <f t="shared" si="4"/>
        <v>41</v>
      </c>
      <c r="K20" s="117">
        <f t="shared" si="4"/>
        <v>39</v>
      </c>
      <c r="L20" s="117">
        <f t="shared" si="4"/>
        <v>38</v>
      </c>
      <c r="M20" s="117">
        <f t="shared" si="4"/>
        <v>0</v>
      </c>
      <c r="N20" s="117">
        <f t="shared" si="4"/>
        <v>4</v>
      </c>
      <c r="O20" s="117">
        <f t="shared" si="5"/>
        <v>5</v>
      </c>
      <c r="P20" s="117">
        <f t="shared" si="5"/>
        <v>5</v>
      </c>
      <c r="Q20" s="117">
        <f t="shared" si="5"/>
        <v>35</v>
      </c>
      <c r="R20" s="117">
        <f t="shared" si="5"/>
        <v>27</v>
      </c>
      <c r="S20" s="117">
        <f t="shared" si="5"/>
        <v>29</v>
      </c>
      <c r="T20" s="117">
        <f t="shared" si="5"/>
        <v>35</v>
      </c>
      <c r="U20" s="117">
        <f t="shared" si="5"/>
        <v>5</v>
      </c>
      <c r="V20" s="117">
        <f t="shared" si="5"/>
        <v>5</v>
      </c>
      <c r="W20" s="117">
        <f t="shared" si="5"/>
        <v>5</v>
      </c>
      <c r="X20" s="117">
        <f t="shared" si="5"/>
        <v>5</v>
      </c>
      <c r="Y20" s="117">
        <f t="shared" si="5"/>
        <v>24</v>
      </c>
      <c r="Z20" s="117">
        <f t="shared" si="5"/>
        <v>10</v>
      </c>
      <c r="AA20" s="186">
        <f t="shared" si="2"/>
        <v>446</v>
      </c>
      <c r="AB20" s="116" t="str">
        <f t="shared" si="3"/>
        <v>Sagan</v>
      </c>
    </row>
    <row r="21" spans="2:28" s="171" customFormat="1">
      <c r="C21" s="278"/>
      <c r="D21" s="178"/>
      <c r="E21" s="180"/>
      <c r="F21" s="180"/>
      <c r="G21" s="180"/>
      <c r="H21" s="180"/>
      <c r="I21" s="180"/>
      <c r="J21" s="180"/>
      <c r="K21" s="180"/>
      <c r="L21" s="180"/>
      <c r="M21" s="180"/>
      <c r="N21" s="180"/>
      <c r="O21" s="180"/>
      <c r="P21" s="180"/>
      <c r="Q21" s="180"/>
      <c r="R21" s="180"/>
      <c r="S21" s="180"/>
      <c r="T21" s="180"/>
      <c r="U21" s="180"/>
      <c r="V21" s="180"/>
      <c r="W21" s="180">
        <f>W24</f>
        <v>0</v>
      </c>
      <c r="X21" s="180">
        <f>X26</f>
        <v>7</v>
      </c>
      <c r="Y21" s="180"/>
      <c r="Z21" s="180"/>
      <c r="AA21" s="235">
        <f t="shared" si="2"/>
        <v>7</v>
      </c>
    </row>
    <row r="22" spans="2:28" s="120" customFormat="1">
      <c r="C22" s="179"/>
      <c r="D22" s="179"/>
      <c r="E22" s="172">
        <f t="shared" ref="E22:AA22" si="6">SUM(E4:E21)</f>
        <v>21</v>
      </c>
      <c r="F22" s="172">
        <f t="shared" ref="F22" si="7">SUM(F4:F21)</f>
        <v>101</v>
      </c>
      <c r="G22" s="172">
        <f>SUM(G4:G21)</f>
        <v>126</v>
      </c>
      <c r="H22" s="172">
        <f t="shared" si="6"/>
        <v>130</v>
      </c>
      <c r="I22" s="172">
        <f t="shared" si="6"/>
        <v>133</v>
      </c>
      <c r="J22" s="172">
        <f t="shared" si="6"/>
        <v>129</v>
      </c>
      <c r="K22" s="172">
        <f t="shared" si="6"/>
        <v>149</v>
      </c>
      <c r="L22" s="172">
        <f t="shared" si="6"/>
        <v>149</v>
      </c>
      <c r="M22" s="172">
        <f t="shared" si="6"/>
        <v>0.1</v>
      </c>
      <c r="N22" s="172">
        <f t="shared" si="6"/>
        <v>95</v>
      </c>
      <c r="O22" s="172">
        <f t="shared" si="6"/>
        <v>113</v>
      </c>
      <c r="P22" s="172">
        <f t="shared" si="6"/>
        <v>147</v>
      </c>
      <c r="Q22" s="172">
        <f t="shared" si="6"/>
        <v>144</v>
      </c>
      <c r="R22" s="172">
        <f t="shared" si="6"/>
        <v>108</v>
      </c>
      <c r="S22" s="172">
        <f t="shared" si="6"/>
        <v>128</v>
      </c>
      <c r="T22" s="172">
        <f t="shared" si="6"/>
        <v>61</v>
      </c>
      <c r="U22" s="172">
        <f t="shared" si="6"/>
        <v>90</v>
      </c>
      <c r="V22" s="172">
        <f t="shared" si="6"/>
        <v>139</v>
      </c>
      <c r="W22" s="172">
        <f t="shared" si="6"/>
        <v>135</v>
      </c>
      <c r="X22" s="172">
        <f t="shared" si="6"/>
        <v>144</v>
      </c>
      <c r="Y22" s="172">
        <f t="shared" si="6"/>
        <v>127</v>
      </c>
      <c r="Z22" s="172">
        <f t="shared" si="6"/>
        <v>219</v>
      </c>
      <c r="AA22" s="236">
        <f t="shared" si="6"/>
        <v>2588.1</v>
      </c>
    </row>
    <row r="23" spans="2:28" s="173" customFormat="1">
      <c r="C23" s="176"/>
      <c r="D23" s="176"/>
      <c r="E23" s="151"/>
      <c r="F23" s="151"/>
      <c r="G23" s="151"/>
      <c r="H23" s="174"/>
      <c r="I23" s="151"/>
      <c r="J23" s="151"/>
      <c r="K23" s="151"/>
      <c r="L23" s="151"/>
      <c r="M23" s="151"/>
      <c r="N23" s="151"/>
      <c r="O23" s="151"/>
      <c r="P23" s="151"/>
      <c r="Q23" s="151"/>
      <c r="R23" s="151"/>
      <c r="S23" s="151"/>
      <c r="T23" s="151"/>
      <c r="U23" s="151"/>
      <c r="V23" s="151"/>
      <c r="W23" s="151"/>
      <c r="X23" s="151"/>
      <c r="Y23" s="151"/>
      <c r="Z23" s="151"/>
      <c r="AA23" s="237"/>
    </row>
    <row r="24" spans="2:28" s="175" customFormat="1">
      <c r="B24" s="169"/>
      <c r="C24" s="279" t="s">
        <v>91</v>
      </c>
      <c r="D24" s="279"/>
      <c r="E24" s="193">
        <f t="shared" ref="E24:Z26" si="8">INDEX(scorematrix,MATCH($C24,renners,0),MATCH(E$3,etappes,0))</f>
        <v>0</v>
      </c>
      <c r="F24" s="193">
        <f t="shared" si="8"/>
        <v>0</v>
      </c>
      <c r="G24" s="193">
        <f t="shared" si="8"/>
        <v>0</v>
      </c>
      <c r="H24" s="193">
        <f t="shared" si="8"/>
        <v>0</v>
      </c>
      <c r="I24" s="193">
        <f t="shared" si="8"/>
        <v>0</v>
      </c>
      <c r="J24" s="193">
        <f t="shared" si="8"/>
        <v>0</v>
      </c>
      <c r="K24" s="193">
        <f t="shared" si="8"/>
        <v>0</v>
      </c>
      <c r="L24" s="193">
        <f t="shared" si="8"/>
        <v>0</v>
      </c>
      <c r="M24" s="193">
        <f t="shared" si="8"/>
        <v>0</v>
      </c>
      <c r="N24" s="193">
        <f t="shared" si="8"/>
        <v>34</v>
      </c>
      <c r="O24" s="193">
        <f t="shared" si="8"/>
        <v>4</v>
      </c>
      <c r="P24" s="193">
        <f t="shared" si="8"/>
        <v>2</v>
      </c>
      <c r="Q24" s="193">
        <f t="shared" si="8"/>
        <v>2</v>
      </c>
      <c r="R24" s="193">
        <f t="shared" si="8"/>
        <v>2</v>
      </c>
      <c r="S24" s="193">
        <f t="shared" si="8"/>
        <v>2</v>
      </c>
      <c r="T24" s="193">
        <f t="shared" si="8"/>
        <v>2</v>
      </c>
      <c r="U24" s="193">
        <f t="shared" si="8"/>
        <v>1</v>
      </c>
      <c r="V24" s="193">
        <f t="shared" si="8"/>
        <v>0</v>
      </c>
      <c r="W24" s="234">
        <f t="shared" si="8"/>
        <v>0</v>
      </c>
      <c r="X24" s="193">
        <f t="shared" si="8"/>
        <v>19</v>
      </c>
      <c r="Y24" s="193">
        <f t="shared" si="8"/>
        <v>0</v>
      </c>
      <c r="Z24" s="193">
        <f t="shared" si="8"/>
        <v>0</v>
      </c>
      <c r="AA24" s="238">
        <f>SUM(E24:Z24)</f>
        <v>68</v>
      </c>
    </row>
    <row r="25" spans="2:28" s="175" customFormat="1">
      <c r="B25" s="169"/>
      <c r="C25" s="279"/>
      <c r="D25" s="279"/>
      <c r="E25" s="193" t="e">
        <f t="shared" si="8"/>
        <v>#N/A</v>
      </c>
      <c r="F25" s="193" t="e">
        <f t="shared" si="8"/>
        <v>#N/A</v>
      </c>
      <c r="G25" s="193" t="e">
        <f t="shared" si="8"/>
        <v>#N/A</v>
      </c>
      <c r="H25" s="193" t="e">
        <f t="shared" si="8"/>
        <v>#N/A</v>
      </c>
      <c r="I25" s="193" t="e">
        <f t="shared" si="8"/>
        <v>#N/A</v>
      </c>
      <c r="J25" s="193" t="e">
        <f t="shared" si="8"/>
        <v>#N/A</v>
      </c>
      <c r="K25" s="193" t="e">
        <f t="shared" si="8"/>
        <v>#N/A</v>
      </c>
      <c r="L25" s="193" t="e">
        <f t="shared" si="8"/>
        <v>#N/A</v>
      </c>
      <c r="M25" s="193" t="e">
        <f t="shared" si="8"/>
        <v>#N/A</v>
      </c>
      <c r="N25" s="193" t="e">
        <f t="shared" si="8"/>
        <v>#N/A</v>
      </c>
      <c r="O25" s="193" t="e">
        <f t="shared" si="8"/>
        <v>#N/A</v>
      </c>
      <c r="P25" s="193" t="e">
        <f t="shared" si="8"/>
        <v>#N/A</v>
      </c>
      <c r="Q25" s="193" t="e">
        <f t="shared" si="8"/>
        <v>#N/A</v>
      </c>
      <c r="R25" s="193" t="e">
        <f t="shared" si="8"/>
        <v>#N/A</v>
      </c>
      <c r="S25" s="193" t="e">
        <f t="shared" si="8"/>
        <v>#N/A</v>
      </c>
      <c r="T25" s="193" t="e">
        <f t="shared" si="8"/>
        <v>#N/A</v>
      </c>
      <c r="U25" s="193" t="e">
        <f t="shared" si="8"/>
        <v>#N/A</v>
      </c>
      <c r="V25" s="193" t="e">
        <f t="shared" si="8"/>
        <v>#N/A</v>
      </c>
      <c r="W25" s="193" t="e">
        <f t="shared" si="8"/>
        <v>#N/A</v>
      </c>
      <c r="X25" s="193" t="e">
        <f t="shared" si="8"/>
        <v>#N/A</v>
      </c>
      <c r="Y25" s="193" t="e">
        <f t="shared" si="8"/>
        <v>#N/A</v>
      </c>
      <c r="Z25" s="193" t="e">
        <f t="shared" si="8"/>
        <v>#N/A</v>
      </c>
      <c r="AA25" s="238" t="e">
        <f>SUM(E25:Z25)</f>
        <v>#N/A</v>
      </c>
    </row>
    <row r="26" spans="2:28" s="175" customFormat="1">
      <c r="B26" s="169"/>
      <c r="C26" s="279" t="s">
        <v>144</v>
      </c>
      <c r="D26" s="279"/>
      <c r="E26" s="193">
        <f t="shared" si="8"/>
        <v>0</v>
      </c>
      <c r="F26" s="193">
        <f t="shared" si="8"/>
        <v>0</v>
      </c>
      <c r="G26" s="193">
        <f t="shared" si="8"/>
        <v>0</v>
      </c>
      <c r="H26" s="193">
        <f t="shared" si="8"/>
        <v>0</v>
      </c>
      <c r="I26" s="193">
        <f t="shared" si="8"/>
        <v>0</v>
      </c>
      <c r="J26" s="193">
        <f t="shared" si="8"/>
        <v>0</v>
      </c>
      <c r="K26" s="193">
        <f t="shared" si="8"/>
        <v>0</v>
      </c>
      <c r="L26" s="193">
        <f t="shared" si="8"/>
        <v>0</v>
      </c>
      <c r="M26" s="193">
        <f t="shared" si="8"/>
        <v>0</v>
      </c>
      <c r="N26" s="193">
        <f t="shared" si="8"/>
        <v>0</v>
      </c>
      <c r="O26" s="193">
        <f t="shared" si="8"/>
        <v>0</v>
      </c>
      <c r="P26" s="193">
        <f t="shared" si="8"/>
        <v>0</v>
      </c>
      <c r="Q26" s="193">
        <f t="shared" si="8"/>
        <v>0</v>
      </c>
      <c r="R26" s="193">
        <f t="shared" si="8"/>
        <v>0</v>
      </c>
      <c r="S26" s="193">
        <f t="shared" si="8"/>
        <v>0</v>
      </c>
      <c r="T26" s="193">
        <f t="shared" si="8"/>
        <v>0</v>
      </c>
      <c r="U26" s="193">
        <f t="shared" si="8"/>
        <v>20</v>
      </c>
      <c r="V26" s="193">
        <f t="shared" si="8"/>
        <v>0</v>
      </c>
      <c r="W26" s="193">
        <f t="shared" si="8"/>
        <v>6</v>
      </c>
      <c r="X26" s="327">
        <f t="shared" si="8"/>
        <v>7</v>
      </c>
      <c r="Y26" s="193">
        <f t="shared" si="8"/>
        <v>0</v>
      </c>
      <c r="Z26" s="193">
        <f t="shared" si="8"/>
        <v>0</v>
      </c>
      <c r="AA26" s="238">
        <f>SUM(E26:Z26)</f>
        <v>33</v>
      </c>
    </row>
    <row r="28" spans="2:28">
      <c r="C28" s="301" t="s">
        <v>136</v>
      </c>
      <c r="D28" s="302">
        <f>COUNTIF($D$4:$D$21,C28)</f>
        <v>11</v>
      </c>
    </row>
    <row r="29" spans="2:28">
      <c r="C29" s="303" t="s">
        <v>11</v>
      </c>
      <c r="D29" s="302">
        <f>COUNTIF($D$4:$D$21,C29)</f>
        <v>5</v>
      </c>
    </row>
    <row r="30" spans="2:28">
      <c r="C30" s="303" t="s">
        <v>117</v>
      </c>
      <c r="D30" s="302">
        <f>COUNTIF($D$4:$D$21,C30)</f>
        <v>1</v>
      </c>
    </row>
  </sheetData>
  <sortState ref="C4:D20">
    <sortCondition ref="D4:D20"/>
    <sortCondition ref="C4:C20"/>
  </sortState>
  <phoneticPr fontId="0" type="noConversion"/>
  <dataValidations disablePrompts="1" count="1">
    <dataValidation type="list" allowBlank="1" showInputMessage="1" showErrorMessage="1" prompt="selecteer type renner:" sqref="D4:D20">
      <formula1>type_renner</formula1>
    </dataValidation>
  </dataValidations>
  <pageMargins left="0.75" right="0.75" top="1" bottom="1" header="0.5" footer="0.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sheetPr codeName="Blad21" enableFormatConditionsCalculation="0">
    <tabColor indexed="12"/>
  </sheetPr>
  <dimension ref="B1:AB30"/>
  <sheetViews>
    <sheetView showZeros="0" workbookViewId="0">
      <selection activeCell="X26" sqref="X26"/>
    </sheetView>
  </sheetViews>
  <sheetFormatPr defaultRowHeight="12.75"/>
  <cols>
    <col min="1" max="1" width="2.7109375" style="116" customWidth="1"/>
    <col min="2" max="2" width="8.85546875" style="116" customWidth="1"/>
    <col min="3" max="4" width="13" style="121" customWidth="1"/>
    <col min="5" max="7" width="5" style="117" customWidth="1"/>
    <col min="8" max="8" width="5" style="148" customWidth="1"/>
    <col min="9" max="16" width="5" style="136" customWidth="1"/>
    <col min="17" max="17" width="5" style="134" customWidth="1"/>
    <col min="18" max="26" width="5" style="116" customWidth="1"/>
    <col min="27" max="27" width="5" style="120" customWidth="1"/>
    <col min="28" max="28" width="15" style="116" customWidth="1"/>
    <col min="29" max="16384" width="9.140625" style="116"/>
  </cols>
  <sheetData>
    <row r="1" spans="2:28">
      <c r="C1" s="273" t="s">
        <v>156</v>
      </c>
      <c r="D1" s="273"/>
    </row>
    <row r="2" spans="2:28">
      <c r="C2" s="177"/>
      <c r="D2" s="177"/>
      <c r="H2" s="136"/>
    </row>
    <row r="3" spans="2:28" s="134" customFormat="1" ht="13.5" thickBot="1">
      <c r="C3" s="274" t="s">
        <v>48</v>
      </c>
      <c r="D3" s="274"/>
      <c r="E3" s="119">
        <v>1</v>
      </c>
      <c r="F3" s="119">
        <v>2</v>
      </c>
      <c r="G3" s="119">
        <v>3</v>
      </c>
      <c r="H3" s="119">
        <v>4</v>
      </c>
      <c r="I3" s="119">
        <v>5</v>
      </c>
      <c r="J3" s="119">
        <v>6</v>
      </c>
      <c r="K3" s="119">
        <v>7</v>
      </c>
      <c r="L3" s="119">
        <v>8</v>
      </c>
      <c r="M3" s="119">
        <v>9</v>
      </c>
      <c r="N3" s="119">
        <v>10</v>
      </c>
      <c r="O3" s="119">
        <v>11</v>
      </c>
      <c r="P3" s="119">
        <v>12</v>
      </c>
      <c r="Q3" s="119">
        <v>13</v>
      </c>
      <c r="R3" s="119">
        <v>14</v>
      </c>
      <c r="S3" s="119">
        <v>15</v>
      </c>
      <c r="T3" s="119">
        <v>16</v>
      </c>
      <c r="U3" s="119">
        <v>17</v>
      </c>
      <c r="V3" s="119">
        <v>18</v>
      </c>
      <c r="W3" s="119">
        <v>19</v>
      </c>
      <c r="X3" s="119">
        <v>20</v>
      </c>
      <c r="Y3" s="119">
        <v>21</v>
      </c>
      <c r="Z3" s="119" t="s">
        <v>1</v>
      </c>
      <c r="AA3" s="154"/>
    </row>
    <row r="4" spans="2:28">
      <c r="B4" s="169"/>
      <c r="C4" s="275" t="s">
        <v>111</v>
      </c>
      <c r="D4" s="276" t="s">
        <v>117</v>
      </c>
      <c r="E4" s="117">
        <f t="shared" ref="E4:N13" si="0">INDEX(scorematrix,MATCH($C4,renners,0),MATCH(E$3,etappes,0))</f>
        <v>0</v>
      </c>
      <c r="F4" s="117">
        <f t="shared" si="0"/>
        <v>0</v>
      </c>
      <c r="G4" s="117">
        <f t="shared" si="0"/>
        <v>0</v>
      </c>
      <c r="H4" s="117">
        <f t="shared" si="0"/>
        <v>0</v>
      </c>
      <c r="I4" s="117">
        <f t="shared" si="0"/>
        <v>0</v>
      </c>
      <c r="J4" s="117">
        <f t="shared" si="0"/>
        <v>0</v>
      </c>
      <c r="K4" s="117">
        <f t="shared" si="0"/>
        <v>0</v>
      </c>
      <c r="L4" s="117">
        <f t="shared" si="0"/>
        <v>0</v>
      </c>
      <c r="M4" s="117">
        <f t="shared" si="0"/>
        <v>0</v>
      </c>
      <c r="N4" s="117">
        <f t="shared" si="0"/>
        <v>0</v>
      </c>
      <c r="O4" s="117">
        <f t="shared" ref="O4:Z13" si="1">INDEX(scorematrix,MATCH($C4,renners,0),MATCH(O$3,etappes,0))</f>
        <v>0</v>
      </c>
      <c r="P4" s="117">
        <f t="shared" si="1"/>
        <v>0</v>
      </c>
      <c r="Q4" s="117">
        <f t="shared" si="1"/>
        <v>0</v>
      </c>
      <c r="R4" s="117">
        <f t="shared" si="1"/>
        <v>0</v>
      </c>
      <c r="S4" s="117">
        <f t="shared" si="1"/>
        <v>0</v>
      </c>
      <c r="T4" s="117">
        <f t="shared" si="1"/>
        <v>0</v>
      </c>
      <c r="U4" s="117">
        <f t="shared" si="1"/>
        <v>0</v>
      </c>
      <c r="V4" s="117">
        <f t="shared" si="1"/>
        <v>0</v>
      </c>
      <c r="W4" s="117">
        <f t="shared" si="1"/>
        <v>0</v>
      </c>
      <c r="X4" s="117">
        <f t="shared" si="1"/>
        <v>0</v>
      </c>
      <c r="Y4" s="117">
        <f t="shared" si="1"/>
        <v>0</v>
      </c>
      <c r="Z4" s="117">
        <f t="shared" si="1"/>
        <v>0</v>
      </c>
      <c r="AA4" s="186">
        <f t="shared" ref="AA4:AA20" si="2">SUM(E4:Z4)</f>
        <v>0</v>
      </c>
      <c r="AB4" s="116" t="str">
        <f t="shared" ref="AB4:AB20" si="3">C4</f>
        <v>Kwiatkowski</v>
      </c>
    </row>
    <row r="5" spans="2:28">
      <c r="B5" s="169"/>
      <c r="C5" s="277" t="s">
        <v>116</v>
      </c>
      <c r="D5" s="276" t="s">
        <v>136</v>
      </c>
      <c r="E5" s="117">
        <f t="shared" si="0"/>
        <v>0</v>
      </c>
      <c r="F5" s="117">
        <f t="shared" si="0"/>
        <v>0</v>
      </c>
      <c r="G5" s="117">
        <f t="shared" si="0"/>
        <v>0</v>
      </c>
      <c r="H5" s="117">
        <f t="shared" si="0"/>
        <v>8</v>
      </c>
      <c r="I5" s="117">
        <f t="shared" si="0"/>
        <v>0</v>
      </c>
      <c r="J5" s="117">
        <f t="shared" si="0"/>
        <v>0</v>
      </c>
      <c r="K5" s="117">
        <f t="shared" si="0"/>
        <v>0</v>
      </c>
      <c r="L5" s="117">
        <f t="shared" si="0"/>
        <v>0</v>
      </c>
      <c r="M5" s="117">
        <f t="shared" si="0"/>
        <v>0</v>
      </c>
      <c r="N5" s="117">
        <f t="shared" si="0"/>
        <v>0</v>
      </c>
      <c r="O5" s="117">
        <f t="shared" si="1"/>
        <v>0</v>
      </c>
      <c r="P5" s="117">
        <f t="shared" si="1"/>
        <v>27</v>
      </c>
      <c r="Q5" s="117">
        <f t="shared" si="1"/>
        <v>1</v>
      </c>
      <c r="R5" s="117">
        <f t="shared" si="1"/>
        <v>27</v>
      </c>
      <c r="S5" s="117">
        <f t="shared" si="1"/>
        <v>1</v>
      </c>
      <c r="T5" s="117">
        <f t="shared" si="1"/>
        <v>1</v>
      </c>
      <c r="U5" s="117">
        <f t="shared" si="1"/>
        <v>0</v>
      </c>
      <c r="V5" s="117">
        <f t="shared" si="1"/>
        <v>40</v>
      </c>
      <c r="W5" s="117">
        <f t="shared" si="1"/>
        <v>29</v>
      </c>
      <c r="X5" s="117">
        <f t="shared" si="1"/>
        <v>13</v>
      </c>
      <c r="Y5" s="117">
        <f t="shared" si="1"/>
        <v>5</v>
      </c>
      <c r="Z5" s="117">
        <f t="shared" si="1"/>
        <v>39</v>
      </c>
      <c r="AA5" s="186">
        <f t="shared" si="2"/>
        <v>191</v>
      </c>
      <c r="AB5" s="116" t="str">
        <f t="shared" si="3"/>
        <v>Bardet</v>
      </c>
    </row>
    <row r="6" spans="2:28">
      <c r="B6" s="169"/>
      <c r="C6" s="277" t="s">
        <v>93</v>
      </c>
      <c r="D6" s="276" t="s">
        <v>136</v>
      </c>
      <c r="E6" s="117">
        <f t="shared" si="0"/>
        <v>0</v>
      </c>
      <c r="F6" s="117">
        <f t="shared" si="0"/>
        <v>0</v>
      </c>
      <c r="G6" s="117">
        <f t="shared" si="0"/>
        <v>0</v>
      </c>
      <c r="H6" s="117">
        <f t="shared" si="0"/>
        <v>0</v>
      </c>
      <c r="I6" s="117">
        <f t="shared" si="0"/>
        <v>0</v>
      </c>
      <c r="J6" s="117">
        <f t="shared" si="0"/>
        <v>0</v>
      </c>
      <c r="K6" s="117">
        <f t="shared" si="0"/>
        <v>0</v>
      </c>
      <c r="L6" s="117">
        <f t="shared" si="0"/>
        <v>0</v>
      </c>
      <c r="M6" s="117">
        <f t="shared" si="0"/>
        <v>0</v>
      </c>
      <c r="N6" s="117">
        <f t="shared" si="0"/>
        <v>0</v>
      </c>
      <c r="O6" s="117">
        <f t="shared" si="1"/>
        <v>0</v>
      </c>
      <c r="P6" s="117">
        <f t="shared" si="1"/>
        <v>0</v>
      </c>
      <c r="Q6" s="117">
        <f t="shared" si="1"/>
        <v>0</v>
      </c>
      <c r="R6" s="117">
        <f t="shared" si="1"/>
        <v>0</v>
      </c>
      <c r="S6" s="117">
        <f t="shared" si="1"/>
        <v>0</v>
      </c>
      <c r="T6" s="117">
        <f t="shared" si="1"/>
        <v>0</v>
      </c>
      <c r="U6" s="117">
        <f t="shared" si="1"/>
        <v>0</v>
      </c>
      <c r="V6" s="117">
        <f t="shared" si="1"/>
        <v>0</v>
      </c>
      <c r="W6" s="117">
        <f t="shared" si="1"/>
        <v>0</v>
      </c>
      <c r="X6" s="117">
        <f t="shared" si="1"/>
        <v>0</v>
      </c>
      <c r="Y6" s="117">
        <f t="shared" si="1"/>
        <v>0</v>
      </c>
      <c r="Z6" s="117">
        <f t="shared" si="1"/>
        <v>0</v>
      </c>
      <c r="AA6" s="186">
        <f t="shared" si="2"/>
        <v>0</v>
      </c>
      <c r="AB6" s="116" t="str">
        <f t="shared" si="3"/>
        <v>Costa</v>
      </c>
    </row>
    <row r="7" spans="2:28">
      <c r="B7" s="169"/>
      <c r="C7" s="277" t="s">
        <v>132</v>
      </c>
      <c r="D7" s="276" t="s">
        <v>136</v>
      </c>
      <c r="E7" s="117">
        <f t="shared" si="0"/>
        <v>19</v>
      </c>
      <c r="F7" s="117">
        <f t="shared" si="0"/>
        <v>0</v>
      </c>
      <c r="G7" s="117">
        <f t="shared" si="0"/>
        <v>0</v>
      </c>
      <c r="H7" s="117">
        <f t="shared" si="0"/>
        <v>0</v>
      </c>
      <c r="I7" s="117">
        <f t="shared" si="0"/>
        <v>0</v>
      </c>
      <c r="J7" s="117">
        <f t="shared" si="0"/>
        <v>0</v>
      </c>
      <c r="K7" s="117">
        <f t="shared" si="0"/>
        <v>0</v>
      </c>
      <c r="L7" s="117">
        <f t="shared" si="0"/>
        <v>0</v>
      </c>
      <c r="M7" s="117">
        <f t="shared" si="0"/>
        <v>0</v>
      </c>
      <c r="N7" s="117">
        <f t="shared" si="0"/>
        <v>0</v>
      </c>
      <c r="O7" s="117">
        <f t="shared" si="1"/>
        <v>0</v>
      </c>
      <c r="P7" s="117">
        <f t="shared" si="1"/>
        <v>0</v>
      </c>
      <c r="Q7" s="117">
        <f t="shared" si="1"/>
        <v>6</v>
      </c>
      <c r="R7" s="117">
        <f t="shared" si="1"/>
        <v>0</v>
      </c>
      <c r="S7" s="117">
        <f t="shared" si="1"/>
        <v>0</v>
      </c>
      <c r="T7" s="117">
        <f t="shared" si="1"/>
        <v>0</v>
      </c>
      <c r="U7" s="117">
        <f t="shared" si="1"/>
        <v>0</v>
      </c>
      <c r="V7" s="117">
        <f t="shared" si="1"/>
        <v>0</v>
      </c>
      <c r="W7" s="117">
        <f t="shared" si="1"/>
        <v>0</v>
      </c>
      <c r="X7" s="117">
        <f t="shared" si="1"/>
        <v>0</v>
      </c>
      <c r="Y7" s="117">
        <f t="shared" si="1"/>
        <v>0</v>
      </c>
      <c r="Z7" s="117">
        <f t="shared" si="1"/>
        <v>0</v>
      </c>
      <c r="AA7" s="186">
        <f t="shared" si="2"/>
        <v>25</v>
      </c>
      <c r="AB7" s="116" t="str">
        <f t="shared" si="3"/>
        <v>Kelderman</v>
      </c>
    </row>
    <row r="8" spans="2:28">
      <c r="B8" s="169"/>
      <c r="C8" s="277" t="s">
        <v>55</v>
      </c>
      <c r="D8" s="276" t="s">
        <v>136</v>
      </c>
      <c r="E8" s="117">
        <f t="shared" si="0"/>
        <v>12</v>
      </c>
      <c r="F8" s="117">
        <f t="shared" si="0"/>
        <v>0</v>
      </c>
      <c r="G8" s="117">
        <f t="shared" si="0"/>
        <v>16</v>
      </c>
      <c r="H8" s="117">
        <f t="shared" si="0"/>
        <v>10</v>
      </c>
      <c r="I8" s="117">
        <f t="shared" si="0"/>
        <v>0</v>
      </c>
      <c r="J8" s="117">
        <f t="shared" si="0"/>
        <v>0</v>
      </c>
      <c r="K8" s="117">
        <f t="shared" si="0"/>
        <v>0</v>
      </c>
      <c r="L8" s="117">
        <f t="shared" si="0"/>
        <v>18</v>
      </c>
      <c r="M8" s="117">
        <f t="shared" si="0"/>
        <v>0</v>
      </c>
      <c r="N8" s="117">
        <f t="shared" si="0"/>
        <v>9</v>
      </c>
      <c r="O8" s="117">
        <f t="shared" si="1"/>
        <v>20</v>
      </c>
      <c r="P8" s="117">
        <f t="shared" si="1"/>
        <v>8</v>
      </c>
      <c r="Q8" s="117">
        <f t="shared" si="1"/>
        <v>1</v>
      </c>
      <c r="R8" s="117">
        <f t="shared" si="1"/>
        <v>1</v>
      </c>
      <c r="S8" s="117">
        <f t="shared" si="1"/>
        <v>1</v>
      </c>
      <c r="T8" s="117">
        <f t="shared" si="1"/>
        <v>2</v>
      </c>
      <c r="U8" s="117">
        <f t="shared" si="1"/>
        <v>2</v>
      </c>
      <c r="V8" s="117">
        <f t="shared" si="1"/>
        <v>2</v>
      </c>
      <c r="W8" s="117">
        <f t="shared" si="1"/>
        <v>22</v>
      </c>
      <c r="X8" s="117">
        <f t="shared" si="1"/>
        <v>16</v>
      </c>
      <c r="Y8" s="117">
        <f t="shared" si="1"/>
        <v>4</v>
      </c>
      <c r="Z8" s="117">
        <f t="shared" si="1"/>
        <v>38</v>
      </c>
      <c r="AA8" s="186">
        <f t="shared" si="2"/>
        <v>182</v>
      </c>
      <c r="AB8" s="116" t="str">
        <f t="shared" si="3"/>
        <v>Mollema</v>
      </c>
    </row>
    <row r="9" spans="2:28">
      <c r="B9" s="169"/>
      <c r="C9" s="277" t="s">
        <v>90</v>
      </c>
      <c r="D9" s="276" t="s">
        <v>136</v>
      </c>
      <c r="E9" s="117">
        <f t="shared" si="0"/>
        <v>8</v>
      </c>
      <c r="F9" s="117">
        <f t="shared" si="0"/>
        <v>0</v>
      </c>
      <c r="G9" s="117">
        <f t="shared" si="0"/>
        <v>0</v>
      </c>
      <c r="H9" s="117">
        <f t="shared" si="0"/>
        <v>0</v>
      </c>
      <c r="I9" s="117">
        <f t="shared" si="0"/>
        <v>0</v>
      </c>
      <c r="J9" s="117">
        <f t="shared" si="0"/>
        <v>0</v>
      </c>
      <c r="K9" s="117">
        <f t="shared" si="0"/>
        <v>0</v>
      </c>
      <c r="L9" s="117">
        <f t="shared" si="0"/>
        <v>0</v>
      </c>
      <c r="M9" s="117">
        <f t="shared" si="0"/>
        <v>0</v>
      </c>
      <c r="N9" s="117">
        <f t="shared" si="0"/>
        <v>0</v>
      </c>
      <c r="O9" s="117">
        <f t="shared" si="1"/>
        <v>0</v>
      </c>
      <c r="P9" s="117">
        <f t="shared" si="1"/>
        <v>14</v>
      </c>
      <c r="Q9" s="117">
        <f t="shared" si="1"/>
        <v>0</v>
      </c>
      <c r="R9" s="117">
        <f t="shared" si="1"/>
        <v>30</v>
      </c>
      <c r="S9" s="117">
        <f t="shared" si="1"/>
        <v>0</v>
      </c>
      <c r="T9" s="117">
        <f t="shared" si="1"/>
        <v>0</v>
      </c>
      <c r="U9" s="117">
        <f t="shared" si="1"/>
        <v>24</v>
      </c>
      <c r="V9" s="117">
        <f t="shared" si="1"/>
        <v>0</v>
      </c>
      <c r="W9" s="117">
        <f t="shared" si="1"/>
        <v>24</v>
      </c>
      <c r="X9" s="117">
        <f t="shared" si="1"/>
        <v>37</v>
      </c>
      <c r="Y9" s="117">
        <f t="shared" si="1"/>
        <v>2</v>
      </c>
      <c r="Z9" s="117">
        <f t="shared" si="1"/>
        <v>23</v>
      </c>
      <c r="AA9" s="186">
        <f t="shared" si="2"/>
        <v>162</v>
      </c>
      <c r="AB9" s="116" t="str">
        <f t="shared" si="3"/>
        <v>Pinot</v>
      </c>
    </row>
    <row r="10" spans="2:28">
      <c r="B10" s="169"/>
      <c r="C10" s="277" t="s">
        <v>94</v>
      </c>
      <c r="D10" s="276" t="s">
        <v>136</v>
      </c>
      <c r="E10" s="117">
        <f t="shared" si="0"/>
        <v>0</v>
      </c>
      <c r="F10" s="117">
        <f t="shared" si="0"/>
        <v>0</v>
      </c>
      <c r="G10" s="117">
        <f t="shared" si="0"/>
        <v>40</v>
      </c>
      <c r="H10" s="117">
        <f t="shared" si="0"/>
        <v>11</v>
      </c>
      <c r="I10" s="117">
        <f t="shared" si="0"/>
        <v>5</v>
      </c>
      <c r="J10" s="117">
        <f t="shared" si="0"/>
        <v>17</v>
      </c>
      <c r="K10" s="117">
        <f t="shared" si="0"/>
        <v>4</v>
      </c>
      <c r="L10" s="117">
        <f t="shared" si="0"/>
        <v>18</v>
      </c>
      <c r="M10" s="117">
        <f t="shared" si="0"/>
        <v>0</v>
      </c>
      <c r="N10" s="117">
        <f t="shared" si="0"/>
        <v>0</v>
      </c>
      <c r="O10" s="117">
        <f t="shared" si="1"/>
        <v>0</v>
      </c>
      <c r="P10" s="117">
        <f t="shared" si="1"/>
        <v>39</v>
      </c>
      <c r="Q10" s="117">
        <f t="shared" si="1"/>
        <v>4</v>
      </c>
      <c r="R10" s="117">
        <f t="shared" si="1"/>
        <v>4</v>
      </c>
      <c r="S10" s="117">
        <f t="shared" si="1"/>
        <v>4</v>
      </c>
      <c r="T10" s="117">
        <f t="shared" si="1"/>
        <v>4</v>
      </c>
      <c r="U10" s="117">
        <f t="shared" si="1"/>
        <v>4</v>
      </c>
      <c r="V10" s="117">
        <f t="shared" si="1"/>
        <v>5</v>
      </c>
      <c r="W10" s="117">
        <f t="shared" si="1"/>
        <v>3</v>
      </c>
      <c r="X10" s="117">
        <f t="shared" si="1"/>
        <v>15</v>
      </c>
      <c r="Y10" s="117">
        <f t="shared" si="1"/>
        <v>1</v>
      </c>
      <c r="Z10" s="117">
        <f t="shared" si="1"/>
        <v>1</v>
      </c>
      <c r="AA10" s="186">
        <f t="shared" si="2"/>
        <v>179</v>
      </c>
      <c r="AB10" s="116" t="str">
        <f t="shared" si="3"/>
        <v>Rodriguez</v>
      </c>
    </row>
    <row r="11" spans="2:28">
      <c r="B11" s="169"/>
      <c r="C11" s="277" t="s">
        <v>98</v>
      </c>
      <c r="D11" s="276" t="s">
        <v>136</v>
      </c>
      <c r="E11" s="117">
        <f t="shared" si="0"/>
        <v>0</v>
      </c>
      <c r="F11" s="117">
        <f t="shared" si="0"/>
        <v>0</v>
      </c>
      <c r="G11" s="117">
        <f t="shared" si="0"/>
        <v>0</v>
      </c>
      <c r="H11" s="117">
        <f t="shared" si="0"/>
        <v>0</v>
      </c>
      <c r="I11" s="117">
        <f t="shared" si="0"/>
        <v>0</v>
      </c>
      <c r="J11" s="117">
        <f t="shared" si="0"/>
        <v>6</v>
      </c>
      <c r="K11" s="117">
        <f t="shared" si="0"/>
        <v>0</v>
      </c>
      <c r="L11" s="117">
        <f t="shared" si="0"/>
        <v>0</v>
      </c>
      <c r="M11" s="117">
        <f t="shared" si="0"/>
        <v>0</v>
      </c>
      <c r="N11" s="117">
        <f t="shared" si="0"/>
        <v>0</v>
      </c>
      <c r="O11" s="117">
        <f t="shared" si="1"/>
        <v>6</v>
      </c>
      <c r="P11" s="117">
        <f t="shared" si="1"/>
        <v>0</v>
      </c>
      <c r="Q11" s="117">
        <f t="shared" si="1"/>
        <v>0</v>
      </c>
      <c r="R11" s="117">
        <f t="shared" si="1"/>
        <v>0</v>
      </c>
      <c r="S11" s="117">
        <f t="shared" si="1"/>
        <v>0</v>
      </c>
      <c r="T11" s="117">
        <f t="shared" si="1"/>
        <v>0</v>
      </c>
      <c r="U11" s="117">
        <f t="shared" si="1"/>
        <v>30</v>
      </c>
      <c r="V11" s="117">
        <f t="shared" si="1"/>
        <v>17</v>
      </c>
      <c r="W11" s="117">
        <f t="shared" si="1"/>
        <v>14</v>
      </c>
      <c r="X11" s="117">
        <f t="shared" si="1"/>
        <v>0</v>
      </c>
      <c r="Y11" s="117">
        <f t="shared" si="1"/>
        <v>0</v>
      </c>
      <c r="Z11" s="117">
        <f t="shared" si="1"/>
        <v>30</v>
      </c>
      <c r="AA11" s="186">
        <f t="shared" si="2"/>
        <v>103</v>
      </c>
      <c r="AB11" s="116" t="str">
        <f t="shared" si="3"/>
        <v>Talansky</v>
      </c>
    </row>
    <row r="12" spans="2:28">
      <c r="B12" s="169"/>
      <c r="C12" s="277" t="s">
        <v>76</v>
      </c>
      <c r="D12" s="276" t="s">
        <v>136</v>
      </c>
      <c r="E12" s="117">
        <f t="shared" si="0"/>
        <v>0</v>
      </c>
      <c r="F12" s="117">
        <f t="shared" si="0"/>
        <v>0</v>
      </c>
      <c r="G12" s="117">
        <f t="shared" si="0"/>
        <v>15</v>
      </c>
      <c r="H12" s="117">
        <f t="shared" si="0"/>
        <v>15</v>
      </c>
      <c r="I12" s="117">
        <f t="shared" si="0"/>
        <v>0</v>
      </c>
      <c r="J12" s="117">
        <f t="shared" si="0"/>
        <v>11</v>
      </c>
      <c r="K12" s="117">
        <f t="shared" si="0"/>
        <v>0</v>
      </c>
      <c r="L12" s="117">
        <f t="shared" si="0"/>
        <v>26</v>
      </c>
      <c r="M12" s="117">
        <f t="shared" si="0"/>
        <v>0</v>
      </c>
      <c r="N12" s="117">
        <f t="shared" si="0"/>
        <v>30</v>
      </c>
      <c r="O12" s="117">
        <f t="shared" si="1"/>
        <v>25</v>
      </c>
      <c r="P12" s="117">
        <f t="shared" si="1"/>
        <v>24</v>
      </c>
      <c r="Q12" s="117">
        <f t="shared" si="1"/>
        <v>24</v>
      </c>
      <c r="R12" s="117">
        <f t="shared" si="1"/>
        <v>7</v>
      </c>
      <c r="S12" s="117">
        <f t="shared" si="1"/>
        <v>7</v>
      </c>
      <c r="T12" s="117">
        <f t="shared" si="1"/>
        <v>7</v>
      </c>
      <c r="U12" s="117">
        <f t="shared" si="1"/>
        <v>8</v>
      </c>
      <c r="V12" s="117">
        <f t="shared" si="1"/>
        <v>21</v>
      </c>
      <c r="W12" s="117">
        <f t="shared" si="1"/>
        <v>28</v>
      </c>
      <c r="X12" s="117">
        <f t="shared" si="1"/>
        <v>32</v>
      </c>
      <c r="Y12" s="117">
        <f t="shared" si="1"/>
        <v>8</v>
      </c>
      <c r="Z12" s="117">
        <f t="shared" si="1"/>
        <v>52</v>
      </c>
      <c r="AA12" s="186">
        <f t="shared" si="2"/>
        <v>340</v>
      </c>
      <c r="AB12" s="116" t="str">
        <f t="shared" si="3"/>
        <v>Valverde</v>
      </c>
    </row>
    <row r="13" spans="2:28">
      <c r="B13" s="169"/>
      <c r="C13" s="277" t="s">
        <v>95</v>
      </c>
      <c r="D13" s="276" t="s">
        <v>136</v>
      </c>
      <c r="E13" s="117">
        <f t="shared" si="0"/>
        <v>6</v>
      </c>
      <c r="F13" s="117">
        <f t="shared" si="0"/>
        <v>18</v>
      </c>
      <c r="G13" s="117">
        <f t="shared" si="0"/>
        <v>28</v>
      </c>
      <c r="H13" s="117">
        <f t="shared" si="0"/>
        <v>8</v>
      </c>
      <c r="I13" s="117">
        <f t="shared" si="0"/>
        <v>8</v>
      </c>
      <c r="J13" s="117">
        <f t="shared" si="0"/>
        <v>8</v>
      </c>
      <c r="K13" s="117">
        <f t="shared" si="0"/>
        <v>8</v>
      </c>
      <c r="L13" s="117">
        <f t="shared" si="0"/>
        <v>24</v>
      </c>
      <c r="M13" s="117">
        <f t="shared" si="0"/>
        <v>0.1</v>
      </c>
      <c r="N13" s="117">
        <f t="shared" si="0"/>
        <v>25</v>
      </c>
      <c r="O13" s="117">
        <f t="shared" si="1"/>
        <v>22</v>
      </c>
      <c r="P13" s="117">
        <f t="shared" si="1"/>
        <v>22</v>
      </c>
      <c r="Q13" s="117">
        <f t="shared" si="1"/>
        <v>25</v>
      </c>
      <c r="R13" s="117">
        <f t="shared" si="1"/>
        <v>8</v>
      </c>
      <c r="S13" s="117">
        <f t="shared" si="1"/>
        <v>8</v>
      </c>
      <c r="T13" s="117">
        <f t="shared" si="1"/>
        <v>8</v>
      </c>
      <c r="U13" s="117">
        <f t="shared" si="1"/>
        <v>0</v>
      </c>
      <c r="V13" s="117">
        <f t="shared" si="1"/>
        <v>0</v>
      </c>
      <c r="W13" s="117">
        <f t="shared" si="1"/>
        <v>0</v>
      </c>
      <c r="X13" s="117">
        <f t="shared" si="1"/>
        <v>0</v>
      </c>
      <c r="Y13" s="117">
        <f t="shared" si="1"/>
        <v>0</v>
      </c>
      <c r="Z13" s="117">
        <f t="shared" si="1"/>
        <v>0</v>
      </c>
      <c r="AA13" s="186">
        <f t="shared" si="2"/>
        <v>226.1</v>
      </c>
      <c r="AB13" s="116" t="str">
        <f t="shared" si="3"/>
        <v>van Garderen</v>
      </c>
    </row>
    <row r="14" spans="2:28">
      <c r="B14" s="169"/>
      <c r="C14" s="277" t="s">
        <v>45</v>
      </c>
      <c r="D14" s="276" t="s">
        <v>11</v>
      </c>
      <c r="E14" s="117">
        <f t="shared" ref="E14:N20" si="4">INDEX(scorematrix,MATCH($C14,renners,0),MATCH(E$3,etappes,0))</f>
        <v>0</v>
      </c>
      <c r="F14" s="117">
        <f t="shared" si="4"/>
        <v>26</v>
      </c>
      <c r="G14" s="117">
        <f t="shared" si="4"/>
        <v>2</v>
      </c>
      <c r="H14" s="117">
        <f t="shared" si="4"/>
        <v>15</v>
      </c>
      <c r="I14" s="117">
        <f t="shared" si="4"/>
        <v>28</v>
      </c>
      <c r="J14" s="117">
        <f t="shared" si="4"/>
        <v>2</v>
      </c>
      <c r="K14" s="117">
        <f t="shared" si="4"/>
        <v>38</v>
      </c>
      <c r="L14" s="117">
        <f t="shared" si="4"/>
        <v>3</v>
      </c>
      <c r="M14" s="117">
        <f t="shared" si="4"/>
        <v>0</v>
      </c>
      <c r="N14" s="117">
        <f t="shared" si="4"/>
        <v>3</v>
      </c>
      <c r="O14" s="117">
        <f t="shared" ref="O14:Z20" si="5">INDEX(scorematrix,MATCH($C14,renners,0),MATCH(O$3,etappes,0))</f>
        <v>2</v>
      </c>
      <c r="P14" s="117">
        <f t="shared" si="5"/>
        <v>2</v>
      </c>
      <c r="Q14" s="117">
        <f t="shared" si="5"/>
        <v>2</v>
      </c>
      <c r="R14" s="117">
        <f t="shared" si="5"/>
        <v>2</v>
      </c>
      <c r="S14" s="117">
        <f t="shared" si="5"/>
        <v>2</v>
      </c>
      <c r="T14" s="117">
        <f t="shared" si="5"/>
        <v>2</v>
      </c>
      <c r="U14" s="117">
        <f t="shared" si="5"/>
        <v>2</v>
      </c>
      <c r="V14" s="117">
        <f t="shared" si="5"/>
        <v>2</v>
      </c>
      <c r="W14" s="117">
        <f t="shared" si="5"/>
        <v>2</v>
      </c>
      <c r="X14" s="117">
        <f t="shared" si="5"/>
        <v>2</v>
      </c>
      <c r="Y14" s="117">
        <f t="shared" si="5"/>
        <v>22</v>
      </c>
      <c r="Z14" s="117">
        <f t="shared" si="5"/>
        <v>3</v>
      </c>
      <c r="AA14" s="186">
        <f t="shared" si="2"/>
        <v>162</v>
      </c>
      <c r="AB14" s="116" t="str">
        <f t="shared" si="3"/>
        <v>Cavendish</v>
      </c>
    </row>
    <row r="15" spans="2:28">
      <c r="B15" s="169"/>
      <c r="C15" s="277" t="s">
        <v>154</v>
      </c>
      <c r="D15" s="276" t="s">
        <v>11</v>
      </c>
      <c r="E15" s="117">
        <f t="shared" si="4"/>
        <v>0</v>
      </c>
      <c r="F15" s="117">
        <f t="shared" si="4"/>
        <v>0</v>
      </c>
      <c r="G15" s="117">
        <f t="shared" si="4"/>
        <v>0</v>
      </c>
      <c r="H15" s="117">
        <f t="shared" si="4"/>
        <v>0</v>
      </c>
      <c r="I15" s="117">
        <f t="shared" si="4"/>
        <v>17</v>
      </c>
      <c r="J15" s="117">
        <f t="shared" si="4"/>
        <v>18</v>
      </c>
      <c r="K15" s="117">
        <f t="shared" si="4"/>
        <v>17</v>
      </c>
      <c r="L15" s="117">
        <f t="shared" si="4"/>
        <v>0</v>
      </c>
      <c r="M15" s="117">
        <f t="shared" si="4"/>
        <v>0</v>
      </c>
      <c r="N15" s="117">
        <f t="shared" si="4"/>
        <v>0</v>
      </c>
      <c r="O15" s="117">
        <f t="shared" si="5"/>
        <v>0</v>
      </c>
      <c r="P15" s="117">
        <f t="shared" si="5"/>
        <v>0</v>
      </c>
      <c r="Q15" s="117">
        <f t="shared" si="5"/>
        <v>0</v>
      </c>
      <c r="R15" s="117">
        <f t="shared" si="5"/>
        <v>0</v>
      </c>
      <c r="S15" s="117">
        <f t="shared" si="5"/>
        <v>17</v>
      </c>
      <c r="T15" s="117">
        <f t="shared" si="5"/>
        <v>0</v>
      </c>
      <c r="U15" s="117">
        <f t="shared" si="5"/>
        <v>0</v>
      </c>
      <c r="V15" s="117">
        <f t="shared" si="5"/>
        <v>0</v>
      </c>
      <c r="W15" s="117">
        <f t="shared" si="5"/>
        <v>0</v>
      </c>
      <c r="X15" s="117">
        <f t="shared" si="5"/>
        <v>0</v>
      </c>
      <c r="Y15" s="117">
        <f t="shared" si="5"/>
        <v>7</v>
      </c>
      <c r="Z15" s="117">
        <f t="shared" si="5"/>
        <v>0</v>
      </c>
      <c r="AA15" s="186">
        <f t="shared" si="2"/>
        <v>76</v>
      </c>
      <c r="AB15" s="116" t="str">
        <f t="shared" si="3"/>
        <v>Cimolai</v>
      </c>
    </row>
    <row r="16" spans="2:28">
      <c r="B16" s="169"/>
      <c r="C16" s="277" t="s">
        <v>96</v>
      </c>
      <c r="D16" s="276" t="s">
        <v>11</v>
      </c>
      <c r="E16" s="117">
        <f t="shared" si="4"/>
        <v>0</v>
      </c>
      <c r="F16" s="117">
        <f t="shared" si="4"/>
        <v>0</v>
      </c>
      <c r="G16" s="117">
        <f t="shared" si="4"/>
        <v>0</v>
      </c>
      <c r="H16" s="117">
        <f t="shared" si="4"/>
        <v>33</v>
      </c>
      <c r="I16" s="117">
        <f t="shared" si="4"/>
        <v>23</v>
      </c>
      <c r="J16" s="117">
        <f t="shared" si="4"/>
        <v>27</v>
      </c>
      <c r="K16" s="117">
        <f t="shared" si="4"/>
        <v>26</v>
      </c>
      <c r="L16" s="117">
        <f t="shared" si="4"/>
        <v>2</v>
      </c>
      <c r="M16" s="117">
        <f t="shared" si="4"/>
        <v>0</v>
      </c>
      <c r="N16" s="117">
        <f t="shared" si="4"/>
        <v>2</v>
      </c>
      <c r="O16" s="117">
        <f t="shared" si="5"/>
        <v>3</v>
      </c>
      <c r="P16" s="117">
        <f t="shared" si="5"/>
        <v>3</v>
      </c>
      <c r="Q16" s="117">
        <f t="shared" si="5"/>
        <v>27</v>
      </c>
      <c r="R16" s="117">
        <f t="shared" si="5"/>
        <v>3</v>
      </c>
      <c r="S16" s="117">
        <f t="shared" si="5"/>
        <v>33</v>
      </c>
      <c r="T16" s="117">
        <f t="shared" si="5"/>
        <v>3</v>
      </c>
      <c r="U16" s="117">
        <f t="shared" si="5"/>
        <v>3</v>
      </c>
      <c r="V16" s="117">
        <f t="shared" si="5"/>
        <v>3</v>
      </c>
      <c r="W16" s="117">
        <f t="shared" si="5"/>
        <v>3</v>
      </c>
      <c r="X16" s="117">
        <f t="shared" si="5"/>
        <v>3</v>
      </c>
      <c r="Y16" s="117">
        <f t="shared" si="5"/>
        <v>21</v>
      </c>
      <c r="Z16" s="117">
        <f t="shared" si="5"/>
        <v>5</v>
      </c>
      <c r="AA16" s="186">
        <f t="shared" si="2"/>
        <v>223</v>
      </c>
      <c r="AB16" s="116" t="str">
        <f t="shared" si="3"/>
        <v>Degenkolb</v>
      </c>
    </row>
    <row r="17" spans="2:28" s="170" customFormat="1">
      <c r="B17" s="169"/>
      <c r="C17" s="277" t="s">
        <v>155</v>
      </c>
      <c r="D17" s="276" t="s">
        <v>11</v>
      </c>
      <c r="E17" s="117">
        <f t="shared" si="4"/>
        <v>0</v>
      </c>
      <c r="F17" s="117">
        <f t="shared" si="4"/>
        <v>0</v>
      </c>
      <c r="G17" s="117">
        <f t="shared" si="4"/>
        <v>0</v>
      </c>
      <c r="H17" s="117">
        <f t="shared" si="4"/>
        <v>0</v>
      </c>
      <c r="I17" s="117">
        <f t="shared" si="4"/>
        <v>19</v>
      </c>
      <c r="J17" s="117">
        <f t="shared" si="4"/>
        <v>0</v>
      </c>
      <c r="K17" s="117">
        <f t="shared" si="4"/>
        <v>20</v>
      </c>
      <c r="L17" s="117">
        <f t="shared" si="4"/>
        <v>0</v>
      </c>
      <c r="M17" s="117">
        <f t="shared" si="4"/>
        <v>0</v>
      </c>
      <c r="N17" s="117">
        <f t="shared" si="4"/>
        <v>0</v>
      </c>
      <c r="O17" s="117">
        <f t="shared" si="5"/>
        <v>0</v>
      </c>
      <c r="P17" s="117">
        <f t="shared" si="5"/>
        <v>0</v>
      </c>
      <c r="Q17" s="117">
        <f t="shared" si="5"/>
        <v>0</v>
      </c>
      <c r="R17" s="117">
        <f t="shared" si="5"/>
        <v>0</v>
      </c>
      <c r="S17" s="117">
        <f t="shared" si="5"/>
        <v>0</v>
      </c>
      <c r="T17" s="117">
        <f t="shared" si="5"/>
        <v>0</v>
      </c>
      <c r="U17" s="117">
        <f t="shared" si="5"/>
        <v>0</v>
      </c>
      <c r="V17" s="117">
        <f t="shared" si="5"/>
        <v>0</v>
      </c>
      <c r="W17" s="117">
        <f t="shared" si="5"/>
        <v>0</v>
      </c>
      <c r="X17" s="117">
        <f t="shared" si="5"/>
        <v>0</v>
      </c>
      <c r="Y17" s="117">
        <f t="shared" si="5"/>
        <v>22</v>
      </c>
      <c r="Z17" s="117">
        <f t="shared" si="5"/>
        <v>0</v>
      </c>
      <c r="AA17" s="186">
        <f t="shared" si="2"/>
        <v>61</v>
      </c>
      <c r="AB17" s="116" t="str">
        <f t="shared" si="3"/>
        <v>Demare</v>
      </c>
    </row>
    <row r="18" spans="2:28">
      <c r="B18" s="169"/>
      <c r="C18" s="277" t="s">
        <v>97</v>
      </c>
      <c r="D18" s="276" t="s">
        <v>11</v>
      </c>
      <c r="E18" s="117">
        <f t="shared" si="4"/>
        <v>0</v>
      </c>
      <c r="F18" s="117">
        <f t="shared" si="4"/>
        <v>0</v>
      </c>
      <c r="G18" s="117">
        <f t="shared" si="4"/>
        <v>0</v>
      </c>
      <c r="H18" s="117">
        <f t="shared" si="4"/>
        <v>0</v>
      </c>
      <c r="I18" s="117">
        <f t="shared" si="4"/>
        <v>24</v>
      </c>
      <c r="J18" s="117">
        <f t="shared" si="4"/>
        <v>15</v>
      </c>
      <c r="K18" s="117">
        <f t="shared" si="4"/>
        <v>22</v>
      </c>
      <c r="L18" s="117">
        <f t="shared" si="4"/>
        <v>0</v>
      </c>
      <c r="M18" s="117">
        <f t="shared" si="4"/>
        <v>0</v>
      </c>
      <c r="N18" s="117">
        <f t="shared" si="4"/>
        <v>0</v>
      </c>
      <c r="O18" s="117">
        <f t="shared" si="5"/>
        <v>0</v>
      </c>
      <c r="P18" s="117">
        <f t="shared" si="5"/>
        <v>0</v>
      </c>
      <c r="Q18" s="117">
        <f t="shared" si="5"/>
        <v>0</v>
      </c>
      <c r="R18" s="117">
        <f t="shared" si="5"/>
        <v>0</v>
      </c>
      <c r="S18" s="117">
        <f t="shared" si="5"/>
        <v>26</v>
      </c>
      <c r="T18" s="117">
        <f t="shared" si="5"/>
        <v>0</v>
      </c>
      <c r="U18" s="117">
        <f t="shared" si="5"/>
        <v>0</v>
      </c>
      <c r="V18" s="117">
        <f t="shared" si="5"/>
        <v>0</v>
      </c>
      <c r="W18" s="117">
        <f t="shared" si="5"/>
        <v>0</v>
      </c>
      <c r="X18" s="117">
        <f t="shared" si="5"/>
        <v>0</v>
      </c>
      <c r="Y18" s="117">
        <f t="shared" si="5"/>
        <v>26</v>
      </c>
      <c r="Z18" s="117">
        <f t="shared" si="5"/>
        <v>0</v>
      </c>
      <c r="AA18" s="186">
        <f t="shared" si="2"/>
        <v>113</v>
      </c>
      <c r="AB18" s="116" t="str">
        <f t="shared" si="3"/>
        <v>Kristoff</v>
      </c>
    </row>
    <row r="19" spans="2:28">
      <c r="B19" s="169"/>
      <c r="C19" s="277" t="s">
        <v>125</v>
      </c>
      <c r="D19" s="276" t="s">
        <v>11</v>
      </c>
      <c r="E19" s="117">
        <f t="shared" si="4"/>
        <v>0</v>
      </c>
      <c r="F19" s="117">
        <f t="shared" si="4"/>
        <v>0</v>
      </c>
      <c r="G19" s="117">
        <f t="shared" si="4"/>
        <v>0</v>
      </c>
      <c r="H19" s="117">
        <f t="shared" si="4"/>
        <v>0</v>
      </c>
      <c r="I19" s="117">
        <f t="shared" si="4"/>
        <v>0</v>
      </c>
      <c r="J19" s="117">
        <f t="shared" si="4"/>
        <v>0</v>
      </c>
      <c r="K19" s="117">
        <f t="shared" si="4"/>
        <v>0</v>
      </c>
      <c r="L19" s="117">
        <f t="shared" si="4"/>
        <v>0</v>
      </c>
      <c r="M19" s="117">
        <f t="shared" si="4"/>
        <v>0</v>
      </c>
      <c r="N19" s="117">
        <f t="shared" si="4"/>
        <v>0</v>
      </c>
      <c r="O19" s="117">
        <f t="shared" si="5"/>
        <v>0</v>
      </c>
      <c r="P19" s="117">
        <f t="shared" si="5"/>
        <v>0</v>
      </c>
      <c r="Q19" s="117">
        <f t="shared" si="5"/>
        <v>9</v>
      </c>
      <c r="R19" s="117">
        <f t="shared" si="5"/>
        <v>0</v>
      </c>
      <c r="S19" s="117">
        <f t="shared" si="5"/>
        <v>18</v>
      </c>
      <c r="T19" s="117">
        <f t="shared" si="5"/>
        <v>0</v>
      </c>
      <c r="U19" s="117">
        <f t="shared" si="5"/>
        <v>0</v>
      </c>
      <c r="V19" s="117">
        <f t="shared" si="5"/>
        <v>0</v>
      </c>
      <c r="W19" s="117">
        <f t="shared" si="5"/>
        <v>0</v>
      </c>
      <c r="X19" s="117">
        <f t="shared" si="5"/>
        <v>0</v>
      </c>
      <c r="Y19" s="117">
        <f t="shared" si="5"/>
        <v>17</v>
      </c>
      <c r="Z19" s="117">
        <f t="shared" si="5"/>
        <v>0</v>
      </c>
      <c r="AA19" s="186">
        <f t="shared" si="2"/>
        <v>44</v>
      </c>
      <c r="AB19" s="116" t="str">
        <f t="shared" si="3"/>
        <v>Matthews</v>
      </c>
    </row>
    <row r="20" spans="2:28" ht="13.5" thickBot="1">
      <c r="B20" s="169"/>
      <c r="C20" s="289" t="s">
        <v>74</v>
      </c>
      <c r="D20" s="276" t="s">
        <v>11</v>
      </c>
      <c r="E20" s="117">
        <f t="shared" si="4"/>
        <v>7</v>
      </c>
      <c r="F20" s="117">
        <f t="shared" si="4"/>
        <v>41</v>
      </c>
      <c r="G20" s="117">
        <f t="shared" si="4"/>
        <v>9</v>
      </c>
      <c r="H20" s="117">
        <f t="shared" si="4"/>
        <v>36</v>
      </c>
      <c r="I20" s="117">
        <f t="shared" si="4"/>
        <v>41</v>
      </c>
      <c r="J20" s="117">
        <f t="shared" si="4"/>
        <v>41</v>
      </c>
      <c r="K20" s="117">
        <f t="shared" si="4"/>
        <v>39</v>
      </c>
      <c r="L20" s="117">
        <f t="shared" si="4"/>
        <v>38</v>
      </c>
      <c r="M20" s="117">
        <f t="shared" si="4"/>
        <v>0</v>
      </c>
      <c r="N20" s="117">
        <f t="shared" si="4"/>
        <v>4</v>
      </c>
      <c r="O20" s="117">
        <f t="shared" si="5"/>
        <v>5</v>
      </c>
      <c r="P20" s="117">
        <f t="shared" si="5"/>
        <v>5</v>
      </c>
      <c r="Q20" s="117">
        <f t="shared" si="5"/>
        <v>35</v>
      </c>
      <c r="R20" s="117">
        <f t="shared" si="5"/>
        <v>27</v>
      </c>
      <c r="S20" s="117">
        <f t="shared" si="5"/>
        <v>29</v>
      </c>
      <c r="T20" s="117">
        <f t="shared" si="5"/>
        <v>35</v>
      </c>
      <c r="U20" s="117">
        <f t="shared" si="5"/>
        <v>5</v>
      </c>
      <c r="V20" s="117">
        <f t="shared" si="5"/>
        <v>5</v>
      </c>
      <c r="W20" s="117">
        <f t="shared" si="5"/>
        <v>5</v>
      </c>
      <c r="X20" s="117">
        <f t="shared" si="5"/>
        <v>5</v>
      </c>
      <c r="Y20" s="117">
        <f t="shared" si="5"/>
        <v>24</v>
      </c>
      <c r="Z20" s="117">
        <f t="shared" si="5"/>
        <v>10</v>
      </c>
      <c r="AA20" s="186">
        <f t="shared" si="2"/>
        <v>446</v>
      </c>
      <c r="AB20" s="116" t="str">
        <f t="shared" si="3"/>
        <v>Sagan</v>
      </c>
    </row>
    <row r="21" spans="2:28" s="171" customFormat="1">
      <c r="C21" s="278"/>
      <c r="D21" s="178"/>
      <c r="E21" s="180"/>
      <c r="F21" s="180"/>
      <c r="G21" s="180"/>
      <c r="H21" s="180"/>
      <c r="I21" s="180"/>
      <c r="J21" s="180"/>
      <c r="K21" s="180">
        <f>K25</f>
        <v>15</v>
      </c>
      <c r="L21" s="180"/>
      <c r="M21" s="180"/>
      <c r="N21" s="180"/>
      <c r="O21" s="180"/>
      <c r="P21" s="180"/>
      <c r="Q21" s="180"/>
      <c r="R21" s="180"/>
      <c r="S21" s="180"/>
      <c r="T21" s="180"/>
      <c r="U21" s="180"/>
      <c r="V21" s="180"/>
      <c r="W21" s="180"/>
      <c r="X21" s="180">
        <f>X24+X26</f>
        <v>9</v>
      </c>
      <c r="Y21" s="180"/>
      <c r="Z21" s="180"/>
      <c r="AA21" s="239"/>
    </row>
    <row r="22" spans="2:28" s="120" customFormat="1">
      <c r="C22" s="179"/>
      <c r="D22" s="179"/>
      <c r="E22" s="172">
        <f t="shared" ref="E22:AA22" si="6">SUM(E4:E21)</f>
        <v>52</v>
      </c>
      <c r="F22" s="172">
        <f t="shared" ref="F22" si="7">SUM(F4:F21)</f>
        <v>85</v>
      </c>
      <c r="G22" s="172">
        <f>SUM(G4:G21)</f>
        <v>110</v>
      </c>
      <c r="H22" s="172">
        <f t="shared" si="6"/>
        <v>136</v>
      </c>
      <c r="I22" s="172">
        <f t="shared" si="6"/>
        <v>165</v>
      </c>
      <c r="J22" s="172">
        <f t="shared" si="6"/>
        <v>145</v>
      </c>
      <c r="K22" s="172">
        <f t="shared" si="6"/>
        <v>189</v>
      </c>
      <c r="L22" s="172">
        <f t="shared" si="6"/>
        <v>129</v>
      </c>
      <c r="M22" s="172">
        <f t="shared" si="6"/>
        <v>0.1</v>
      </c>
      <c r="N22" s="172">
        <f t="shared" si="6"/>
        <v>73</v>
      </c>
      <c r="O22" s="172">
        <f t="shared" si="6"/>
        <v>83</v>
      </c>
      <c r="P22" s="172">
        <f t="shared" si="6"/>
        <v>144</v>
      </c>
      <c r="Q22" s="172">
        <f t="shared" si="6"/>
        <v>134</v>
      </c>
      <c r="R22" s="172">
        <f t="shared" si="6"/>
        <v>109</v>
      </c>
      <c r="S22" s="172">
        <f t="shared" si="6"/>
        <v>146</v>
      </c>
      <c r="T22" s="172">
        <f t="shared" si="6"/>
        <v>62</v>
      </c>
      <c r="U22" s="172">
        <f t="shared" si="6"/>
        <v>78</v>
      </c>
      <c r="V22" s="172">
        <f t="shared" si="6"/>
        <v>95</v>
      </c>
      <c r="W22" s="172">
        <f t="shared" si="6"/>
        <v>130</v>
      </c>
      <c r="X22" s="172">
        <f t="shared" si="6"/>
        <v>132</v>
      </c>
      <c r="Y22" s="172">
        <f t="shared" si="6"/>
        <v>159</v>
      </c>
      <c r="Z22" s="172">
        <f t="shared" si="6"/>
        <v>201</v>
      </c>
      <c r="AA22" s="236">
        <f t="shared" si="6"/>
        <v>2533.1</v>
      </c>
    </row>
    <row r="23" spans="2:28" s="173" customFormat="1">
      <c r="C23" s="176"/>
      <c r="D23" s="176"/>
      <c r="E23" s="151"/>
      <c r="F23" s="151"/>
      <c r="G23" s="151"/>
      <c r="H23" s="174"/>
      <c r="I23" s="151"/>
      <c r="J23" s="151"/>
      <c r="K23" s="151"/>
      <c r="L23" s="151"/>
      <c r="M23" s="151"/>
      <c r="N23" s="151"/>
      <c r="O23" s="151"/>
      <c r="P23" s="151"/>
      <c r="Q23" s="151"/>
      <c r="R23" s="151"/>
      <c r="S23" s="151"/>
      <c r="T23" s="151"/>
      <c r="U23" s="151"/>
      <c r="V23" s="151"/>
      <c r="W23" s="151"/>
      <c r="X23" s="151"/>
      <c r="Y23" s="151"/>
      <c r="Z23" s="151"/>
      <c r="AA23" s="237"/>
    </row>
    <row r="24" spans="2:28" s="175" customFormat="1">
      <c r="B24" s="169"/>
      <c r="C24" s="279" t="s">
        <v>143</v>
      </c>
      <c r="D24" s="279"/>
      <c r="E24" s="193">
        <f t="shared" ref="E24:Z26" si="8">INDEX(scorematrix,MATCH($C24,renners,0),MATCH(E$3,etappes,0))</f>
        <v>0</v>
      </c>
      <c r="F24" s="193">
        <f t="shared" si="8"/>
        <v>16</v>
      </c>
      <c r="G24" s="193">
        <f t="shared" si="8"/>
        <v>9</v>
      </c>
      <c r="H24" s="193">
        <f t="shared" si="8"/>
        <v>0</v>
      </c>
      <c r="I24" s="193">
        <f t="shared" si="8"/>
        <v>0</v>
      </c>
      <c r="J24" s="193">
        <f t="shared" si="8"/>
        <v>0</v>
      </c>
      <c r="K24" s="193">
        <f t="shared" si="8"/>
        <v>10</v>
      </c>
      <c r="L24" s="193">
        <f t="shared" si="8"/>
        <v>16</v>
      </c>
      <c r="M24" s="193">
        <f t="shared" si="8"/>
        <v>0</v>
      </c>
      <c r="N24" s="193">
        <f t="shared" si="8"/>
        <v>13</v>
      </c>
      <c r="O24" s="193">
        <f t="shared" si="8"/>
        <v>2</v>
      </c>
      <c r="P24" s="193">
        <f t="shared" si="8"/>
        <v>0</v>
      </c>
      <c r="Q24" s="193">
        <f t="shared" si="8"/>
        <v>10</v>
      </c>
      <c r="R24" s="193">
        <f t="shared" si="8"/>
        <v>0</v>
      </c>
      <c r="S24" s="193">
        <f t="shared" si="8"/>
        <v>0</v>
      </c>
      <c r="T24" s="193">
        <f t="shared" si="8"/>
        <v>1</v>
      </c>
      <c r="U24" s="193">
        <f t="shared" si="8"/>
        <v>1</v>
      </c>
      <c r="V24" s="193">
        <f t="shared" si="8"/>
        <v>16</v>
      </c>
      <c r="W24" s="193">
        <f t="shared" si="8"/>
        <v>0</v>
      </c>
      <c r="X24" s="234">
        <f t="shared" si="8"/>
        <v>0</v>
      </c>
      <c r="Y24" s="193">
        <f t="shared" si="8"/>
        <v>0</v>
      </c>
      <c r="Z24" s="193">
        <f t="shared" si="8"/>
        <v>24</v>
      </c>
      <c r="AA24" s="238">
        <f>SUM(E24:Z24)</f>
        <v>118</v>
      </c>
    </row>
    <row r="25" spans="2:28" s="175" customFormat="1">
      <c r="B25" s="169"/>
      <c r="C25" s="279" t="s">
        <v>112</v>
      </c>
      <c r="D25" s="279"/>
      <c r="E25" s="193">
        <f t="shared" si="8"/>
        <v>0</v>
      </c>
      <c r="F25" s="193">
        <f t="shared" si="8"/>
        <v>0</v>
      </c>
      <c r="G25" s="193">
        <f t="shared" si="8"/>
        <v>0</v>
      </c>
      <c r="H25" s="193">
        <f t="shared" si="8"/>
        <v>16</v>
      </c>
      <c r="I25" s="193">
        <f t="shared" si="8"/>
        <v>18</v>
      </c>
      <c r="J25" s="193">
        <f t="shared" si="8"/>
        <v>27</v>
      </c>
      <c r="K25" s="234">
        <f t="shared" si="8"/>
        <v>15</v>
      </c>
      <c r="L25" s="193">
        <f t="shared" si="8"/>
        <v>1</v>
      </c>
      <c r="M25" s="193">
        <f t="shared" si="8"/>
        <v>0</v>
      </c>
      <c r="N25" s="193">
        <f t="shared" si="8"/>
        <v>1</v>
      </c>
      <c r="O25" s="193">
        <f t="shared" si="8"/>
        <v>1</v>
      </c>
      <c r="P25" s="193">
        <f t="shared" si="8"/>
        <v>1</v>
      </c>
      <c r="Q25" s="193">
        <f t="shared" si="8"/>
        <v>1</v>
      </c>
      <c r="R25" s="193">
        <f t="shared" si="8"/>
        <v>1</v>
      </c>
      <c r="S25" s="193">
        <f t="shared" si="8"/>
        <v>12</v>
      </c>
      <c r="T25" s="193">
        <f t="shared" si="8"/>
        <v>1</v>
      </c>
      <c r="U25" s="193">
        <f t="shared" si="8"/>
        <v>1</v>
      </c>
      <c r="V25" s="193">
        <f t="shared" si="8"/>
        <v>1</v>
      </c>
      <c r="W25" s="193">
        <f t="shared" si="8"/>
        <v>0</v>
      </c>
      <c r="X25" s="193">
        <f t="shared" si="8"/>
        <v>0</v>
      </c>
      <c r="Y25" s="193">
        <f t="shared" si="8"/>
        <v>31</v>
      </c>
      <c r="Z25" s="193">
        <f t="shared" si="8"/>
        <v>1</v>
      </c>
      <c r="AA25" s="238">
        <f>SUM(E25:Z25)</f>
        <v>129</v>
      </c>
    </row>
    <row r="26" spans="2:28" s="175" customFormat="1">
      <c r="B26" s="169"/>
      <c r="C26" s="279" t="s">
        <v>139</v>
      </c>
      <c r="D26" s="279"/>
      <c r="E26" s="193">
        <f t="shared" si="8"/>
        <v>0</v>
      </c>
      <c r="F26" s="193">
        <f t="shared" si="8"/>
        <v>0</v>
      </c>
      <c r="G26" s="193">
        <f t="shared" si="8"/>
        <v>4</v>
      </c>
      <c r="H26" s="193">
        <f t="shared" si="8"/>
        <v>4</v>
      </c>
      <c r="I26" s="193">
        <f t="shared" si="8"/>
        <v>4</v>
      </c>
      <c r="J26" s="193">
        <f t="shared" si="8"/>
        <v>2</v>
      </c>
      <c r="K26" s="193">
        <f t="shared" si="8"/>
        <v>2</v>
      </c>
      <c r="L26" s="193">
        <f t="shared" si="8"/>
        <v>1</v>
      </c>
      <c r="M26" s="193">
        <f t="shared" si="8"/>
        <v>0</v>
      </c>
      <c r="N26" s="193">
        <f t="shared" si="8"/>
        <v>0</v>
      </c>
      <c r="O26" s="193">
        <f t="shared" si="8"/>
        <v>38</v>
      </c>
      <c r="P26" s="193">
        <f t="shared" si="8"/>
        <v>0</v>
      </c>
      <c r="Q26" s="193">
        <f t="shared" si="8"/>
        <v>0</v>
      </c>
      <c r="R26" s="193">
        <f t="shared" si="8"/>
        <v>0</v>
      </c>
      <c r="S26" s="193">
        <f t="shared" si="8"/>
        <v>0</v>
      </c>
      <c r="T26" s="193">
        <f t="shared" si="8"/>
        <v>0</v>
      </c>
      <c r="U26" s="193">
        <f t="shared" si="8"/>
        <v>13</v>
      </c>
      <c r="V26" s="193">
        <f t="shared" si="8"/>
        <v>0</v>
      </c>
      <c r="W26" s="193">
        <f t="shared" si="8"/>
        <v>11</v>
      </c>
      <c r="X26" s="234">
        <f t="shared" si="8"/>
        <v>9</v>
      </c>
      <c r="Y26" s="193">
        <f t="shared" si="8"/>
        <v>0</v>
      </c>
      <c r="Z26" s="193">
        <f t="shared" si="8"/>
        <v>0</v>
      </c>
      <c r="AA26" s="238">
        <f>SUM(E26:Z26)</f>
        <v>88</v>
      </c>
    </row>
    <row r="28" spans="2:28">
      <c r="C28" s="301" t="s">
        <v>136</v>
      </c>
      <c r="D28" s="302">
        <f>COUNTIF($D$4:$D$21,C28)</f>
        <v>9</v>
      </c>
    </row>
    <row r="29" spans="2:28">
      <c r="C29" s="303" t="s">
        <v>11</v>
      </c>
      <c r="D29" s="302">
        <f>COUNTIF($D$4:$D$21,C29)</f>
        <v>7</v>
      </c>
    </row>
    <row r="30" spans="2:28">
      <c r="C30" s="303" t="s">
        <v>117</v>
      </c>
      <c r="D30" s="302">
        <f>COUNTIF($D$4:$D$21,C30)</f>
        <v>1</v>
      </c>
    </row>
  </sheetData>
  <sortState ref="C4:D20">
    <sortCondition ref="D4:D20"/>
    <sortCondition ref="C4:C20"/>
  </sortState>
  <phoneticPr fontId="0" type="noConversion"/>
  <dataValidations count="1">
    <dataValidation type="list" allowBlank="1" showInputMessage="1" showErrorMessage="1" prompt="selecteer type renner:" sqref="D4:D20">
      <formula1>type_renner</formula1>
    </dataValidation>
  </dataValidations>
  <pageMargins left="0.75" right="0.75" top="1" bottom="1" header="0.5" footer="0.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sheetPr codeName="Blad14" enableFormatConditionsCalculation="0">
    <tabColor indexed="12"/>
  </sheetPr>
  <dimension ref="B1:AB30"/>
  <sheetViews>
    <sheetView showZeros="0" workbookViewId="0">
      <selection activeCell="X22" sqref="X22"/>
    </sheetView>
  </sheetViews>
  <sheetFormatPr defaultRowHeight="12.75"/>
  <cols>
    <col min="1" max="1" width="2.7109375" style="116" customWidth="1"/>
    <col min="2" max="2" width="8.85546875" style="116" customWidth="1"/>
    <col min="3" max="4" width="13" style="121" customWidth="1"/>
    <col min="5" max="7" width="5" style="117" customWidth="1"/>
    <col min="8" max="8" width="5" style="148" customWidth="1"/>
    <col min="9" max="16" width="5" style="136" customWidth="1"/>
    <col min="17" max="17" width="5" style="134" customWidth="1"/>
    <col min="18" max="26" width="5" style="116" customWidth="1"/>
    <col min="27" max="27" width="5" style="120" customWidth="1"/>
    <col min="28" max="28" width="15" style="116" customWidth="1"/>
    <col min="29" max="16384" width="9.140625" style="116"/>
  </cols>
  <sheetData>
    <row r="1" spans="2:28">
      <c r="C1" s="273" t="s">
        <v>142</v>
      </c>
      <c r="D1" s="273"/>
    </row>
    <row r="2" spans="2:28">
      <c r="C2" s="177"/>
      <c r="D2" s="177"/>
      <c r="H2" s="136"/>
    </row>
    <row r="3" spans="2:28" s="134" customFormat="1" ht="13.5" thickBot="1">
      <c r="C3" s="274" t="s">
        <v>108</v>
      </c>
      <c r="D3" s="274"/>
      <c r="E3" s="119">
        <v>1</v>
      </c>
      <c r="F3" s="119">
        <v>2</v>
      </c>
      <c r="G3" s="119">
        <v>3</v>
      </c>
      <c r="H3" s="119">
        <v>4</v>
      </c>
      <c r="I3" s="119">
        <v>5</v>
      </c>
      <c r="J3" s="119">
        <v>6</v>
      </c>
      <c r="K3" s="119">
        <v>7</v>
      </c>
      <c r="L3" s="119">
        <v>8</v>
      </c>
      <c r="M3" s="119">
        <v>9</v>
      </c>
      <c r="N3" s="119">
        <v>10</v>
      </c>
      <c r="O3" s="119">
        <v>11</v>
      </c>
      <c r="P3" s="119">
        <v>12</v>
      </c>
      <c r="Q3" s="119">
        <v>13</v>
      </c>
      <c r="R3" s="119">
        <v>14</v>
      </c>
      <c r="S3" s="119">
        <v>15</v>
      </c>
      <c r="T3" s="119">
        <v>16</v>
      </c>
      <c r="U3" s="119">
        <v>17</v>
      </c>
      <c r="V3" s="119">
        <v>18</v>
      </c>
      <c r="W3" s="119">
        <v>19</v>
      </c>
      <c r="X3" s="119">
        <v>20</v>
      </c>
      <c r="Y3" s="119">
        <v>21</v>
      </c>
      <c r="Z3" s="119" t="s">
        <v>1</v>
      </c>
      <c r="AA3" s="154"/>
    </row>
    <row r="4" spans="2:28">
      <c r="B4" s="169"/>
      <c r="C4" s="275" t="s">
        <v>111</v>
      </c>
      <c r="D4" s="276" t="s">
        <v>117</v>
      </c>
      <c r="E4" s="117">
        <f t="shared" ref="E4:N13" si="0">INDEX(scorematrix,MATCH($C4,renners,0),MATCH(E$3,etappes,0))</f>
        <v>0</v>
      </c>
      <c r="F4" s="117">
        <f t="shared" si="0"/>
        <v>0</v>
      </c>
      <c r="G4" s="117">
        <f t="shared" si="0"/>
        <v>0</v>
      </c>
      <c r="H4" s="117">
        <f t="shared" si="0"/>
        <v>0</v>
      </c>
      <c r="I4" s="117">
        <f t="shared" si="0"/>
        <v>0</v>
      </c>
      <c r="J4" s="117">
        <f t="shared" si="0"/>
        <v>0</v>
      </c>
      <c r="K4" s="117">
        <f t="shared" si="0"/>
        <v>0</v>
      </c>
      <c r="L4" s="117">
        <f t="shared" si="0"/>
        <v>0</v>
      </c>
      <c r="M4" s="117">
        <f t="shared" si="0"/>
        <v>0</v>
      </c>
      <c r="N4" s="117">
        <f t="shared" si="0"/>
        <v>0</v>
      </c>
      <c r="O4" s="117">
        <f t="shared" ref="O4:Z13" si="1">INDEX(scorematrix,MATCH($C4,renners,0),MATCH(O$3,etappes,0))</f>
        <v>0</v>
      </c>
      <c r="P4" s="117">
        <f t="shared" si="1"/>
        <v>0</v>
      </c>
      <c r="Q4" s="117">
        <f t="shared" si="1"/>
        <v>0</v>
      </c>
      <c r="R4" s="117">
        <f t="shared" si="1"/>
        <v>0</v>
      </c>
      <c r="S4" s="117">
        <f t="shared" si="1"/>
        <v>0</v>
      </c>
      <c r="T4" s="117">
        <f t="shared" si="1"/>
        <v>0</v>
      </c>
      <c r="U4" s="117">
        <f t="shared" si="1"/>
        <v>0</v>
      </c>
      <c r="V4" s="117">
        <f t="shared" si="1"/>
        <v>0</v>
      </c>
      <c r="W4" s="117">
        <f t="shared" si="1"/>
        <v>0</v>
      </c>
      <c r="X4" s="117">
        <f t="shared" si="1"/>
        <v>0</v>
      </c>
      <c r="Y4" s="117">
        <f t="shared" si="1"/>
        <v>0</v>
      </c>
      <c r="Z4" s="117">
        <f t="shared" si="1"/>
        <v>0</v>
      </c>
      <c r="AA4" s="186">
        <f t="shared" ref="AA4:AA20" si="2">SUM(E4:Z4)</f>
        <v>0</v>
      </c>
      <c r="AB4" s="116" t="str">
        <f t="shared" ref="AB4:AB18" si="3">C4</f>
        <v>Kwiatkowski</v>
      </c>
    </row>
    <row r="5" spans="2:28">
      <c r="B5" s="169"/>
      <c r="C5" s="277" t="s">
        <v>116</v>
      </c>
      <c r="D5" s="276" t="s">
        <v>136</v>
      </c>
      <c r="E5" s="117">
        <f t="shared" si="0"/>
        <v>0</v>
      </c>
      <c r="F5" s="117">
        <f t="shared" si="0"/>
        <v>0</v>
      </c>
      <c r="G5" s="117">
        <f t="shared" si="0"/>
        <v>0</v>
      </c>
      <c r="H5" s="117">
        <f t="shared" si="0"/>
        <v>8</v>
      </c>
      <c r="I5" s="117">
        <f t="shared" si="0"/>
        <v>0</v>
      </c>
      <c r="J5" s="117">
        <f t="shared" si="0"/>
        <v>0</v>
      </c>
      <c r="K5" s="117">
        <f t="shared" si="0"/>
        <v>0</v>
      </c>
      <c r="L5" s="117">
        <f t="shared" si="0"/>
        <v>0</v>
      </c>
      <c r="M5" s="117">
        <f t="shared" si="0"/>
        <v>0</v>
      </c>
      <c r="N5" s="117">
        <f t="shared" si="0"/>
        <v>0</v>
      </c>
      <c r="O5" s="117">
        <f t="shared" si="1"/>
        <v>0</v>
      </c>
      <c r="P5" s="117">
        <f t="shared" si="1"/>
        <v>27</v>
      </c>
      <c r="Q5" s="117">
        <f t="shared" si="1"/>
        <v>1</v>
      </c>
      <c r="R5" s="117">
        <f t="shared" si="1"/>
        <v>27</v>
      </c>
      <c r="S5" s="117">
        <f t="shared" si="1"/>
        <v>1</v>
      </c>
      <c r="T5" s="117">
        <f t="shared" si="1"/>
        <v>1</v>
      </c>
      <c r="U5" s="117">
        <f t="shared" si="1"/>
        <v>0</v>
      </c>
      <c r="V5" s="117">
        <f t="shared" si="1"/>
        <v>40</v>
      </c>
      <c r="W5" s="117">
        <f t="shared" si="1"/>
        <v>29</v>
      </c>
      <c r="X5" s="117">
        <f t="shared" si="1"/>
        <v>13</v>
      </c>
      <c r="Y5" s="117">
        <f t="shared" si="1"/>
        <v>5</v>
      </c>
      <c r="Z5" s="117">
        <f t="shared" si="1"/>
        <v>39</v>
      </c>
      <c r="AA5" s="186">
        <f t="shared" si="2"/>
        <v>191</v>
      </c>
      <c r="AB5" s="116" t="str">
        <f t="shared" si="3"/>
        <v>Bardet</v>
      </c>
    </row>
    <row r="6" spans="2:28">
      <c r="B6" s="169"/>
      <c r="C6" s="277" t="s">
        <v>93</v>
      </c>
      <c r="D6" s="276" t="s">
        <v>136</v>
      </c>
      <c r="E6" s="117">
        <f t="shared" si="0"/>
        <v>0</v>
      </c>
      <c r="F6" s="117">
        <f t="shared" si="0"/>
        <v>0</v>
      </c>
      <c r="G6" s="117">
        <f t="shared" si="0"/>
        <v>0</v>
      </c>
      <c r="H6" s="117">
        <f t="shared" si="0"/>
        <v>0</v>
      </c>
      <c r="I6" s="117">
        <f t="shared" si="0"/>
        <v>0</v>
      </c>
      <c r="J6" s="117">
        <f t="shared" si="0"/>
        <v>0</v>
      </c>
      <c r="K6" s="117">
        <f t="shared" si="0"/>
        <v>0</v>
      </c>
      <c r="L6" s="117">
        <f t="shared" si="0"/>
        <v>0</v>
      </c>
      <c r="M6" s="117">
        <f t="shared" si="0"/>
        <v>0</v>
      </c>
      <c r="N6" s="117">
        <f t="shared" si="0"/>
        <v>0</v>
      </c>
      <c r="O6" s="117">
        <f t="shared" si="1"/>
        <v>0</v>
      </c>
      <c r="P6" s="117">
        <f t="shared" si="1"/>
        <v>0</v>
      </c>
      <c r="Q6" s="117">
        <f t="shared" si="1"/>
        <v>0</v>
      </c>
      <c r="R6" s="117">
        <f t="shared" si="1"/>
        <v>0</v>
      </c>
      <c r="S6" s="117">
        <f t="shared" si="1"/>
        <v>0</v>
      </c>
      <c r="T6" s="117">
        <f t="shared" si="1"/>
        <v>0</v>
      </c>
      <c r="U6" s="117">
        <f t="shared" si="1"/>
        <v>0</v>
      </c>
      <c r="V6" s="117">
        <f t="shared" si="1"/>
        <v>0</v>
      </c>
      <c r="W6" s="117">
        <f t="shared" si="1"/>
        <v>0</v>
      </c>
      <c r="X6" s="117">
        <f t="shared" si="1"/>
        <v>0</v>
      </c>
      <c r="Y6" s="117">
        <f t="shared" si="1"/>
        <v>0</v>
      </c>
      <c r="Z6" s="117">
        <f t="shared" si="1"/>
        <v>0</v>
      </c>
      <c r="AA6" s="186">
        <f t="shared" si="2"/>
        <v>0</v>
      </c>
      <c r="AB6" s="116" t="str">
        <f t="shared" si="3"/>
        <v>Costa</v>
      </c>
    </row>
    <row r="7" spans="2:28">
      <c r="B7" s="169"/>
      <c r="C7" s="277" t="s">
        <v>139</v>
      </c>
      <c r="D7" s="276" t="s">
        <v>136</v>
      </c>
      <c r="E7" s="117">
        <f t="shared" si="0"/>
        <v>0</v>
      </c>
      <c r="F7" s="117">
        <f t="shared" si="0"/>
        <v>0</v>
      </c>
      <c r="G7" s="117">
        <f t="shared" si="0"/>
        <v>4</v>
      </c>
      <c r="H7" s="117">
        <f t="shared" si="0"/>
        <v>4</v>
      </c>
      <c r="I7" s="117">
        <f t="shared" si="0"/>
        <v>4</v>
      </c>
      <c r="J7" s="117">
        <f t="shared" si="0"/>
        <v>2</v>
      </c>
      <c r="K7" s="117">
        <f t="shared" si="0"/>
        <v>2</v>
      </c>
      <c r="L7" s="117">
        <f t="shared" si="0"/>
        <v>1</v>
      </c>
      <c r="M7" s="117">
        <f t="shared" si="0"/>
        <v>0</v>
      </c>
      <c r="N7" s="117">
        <f t="shared" si="0"/>
        <v>0</v>
      </c>
      <c r="O7" s="117">
        <f t="shared" si="1"/>
        <v>38</v>
      </c>
      <c r="P7" s="117">
        <f t="shared" si="1"/>
        <v>0</v>
      </c>
      <c r="Q7" s="117">
        <f t="shared" si="1"/>
        <v>0</v>
      </c>
      <c r="R7" s="117">
        <f t="shared" si="1"/>
        <v>0</v>
      </c>
      <c r="S7" s="117">
        <f t="shared" si="1"/>
        <v>0</v>
      </c>
      <c r="T7" s="117">
        <f t="shared" si="1"/>
        <v>0</v>
      </c>
      <c r="U7" s="117">
        <f t="shared" si="1"/>
        <v>13</v>
      </c>
      <c r="V7" s="117">
        <f t="shared" si="1"/>
        <v>0</v>
      </c>
      <c r="W7" s="117">
        <f t="shared" si="1"/>
        <v>11</v>
      </c>
      <c r="X7" s="117">
        <f t="shared" si="1"/>
        <v>9</v>
      </c>
      <c r="Y7" s="117">
        <f t="shared" si="1"/>
        <v>0</v>
      </c>
      <c r="Z7" s="117">
        <f t="shared" si="1"/>
        <v>0</v>
      </c>
      <c r="AA7" s="186">
        <f t="shared" si="2"/>
        <v>88</v>
      </c>
      <c r="AB7" s="116" t="str">
        <f t="shared" si="3"/>
        <v>Majka</v>
      </c>
    </row>
    <row r="8" spans="2:28">
      <c r="B8" s="169"/>
      <c r="C8" s="277" t="s">
        <v>140</v>
      </c>
      <c r="D8" s="276" t="s">
        <v>136</v>
      </c>
      <c r="E8" s="117">
        <f t="shared" si="0"/>
        <v>0</v>
      </c>
      <c r="F8" s="117">
        <f t="shared" si="0"/>
        <v>0</v>
      </c>
      <c r="G8" s="117">
        <f t="shared" si="0"/>
        <v>0</v>
      </c>
      <c r="H8" s="117">
        <f t="shared" si="0"/>
        <v>0</v>
      </c>
      <c r="I8" s="117">
        <f t="shared" si="0"/>
        <v>0</v>
      </c>
      <c r="J8" s="117">
        <f t="shared" si="0"/>
        <v>0</v>
      </c>
      <c r="K8" s="117">
        <f t="shared" si="0"/>
        <v>0</v>
      </c>
      <c r="L8" s="117">
        <f t="shared" si="0"/>
        <v>0</v>
      </c>
      <c r="M8" s="117">
        <f t="shared" si="0"/>
        <v>0</v>
      </c>
      <c r="N8" s="117">
        <f t="shared" si="0"/>
        <v>0</v>
      </c>
      <c r="O8" s="117">
        <f t="shared" si="1"/>
        <v>0</v>
      </c>
      <c r="P8" s="117">
        <f t="shared" si="1"/>
        <v>22</v>
      </c>
      <c r="Q8" s="117">
        <f t="shared" si="1"/>
        <v>0</v>
      </c>
      <c r="R8" s="117">
        <f t="shared" si="1"/>
        <v>0</v>
      </c>
      <c r="S8" s="117">
        <f t="shared" si="1"/>
        <v>0</v>
      </c>
      <c r="T8" s="117">
        <f t="shared" si="1"/>
        <v>0</v>
      </c>
      <c r="U8" s="117">
        <f t="shared" si="1"/>
        <v>0</v>
      </c>
      <c r="V8" s="117">
        <f t="shared" si="1"/>
        <v>0</v>
      </c>
      <c r="W8" s="117">
        <f t="shared" si="1"/>
        <v>0</v>
      </c>
      <c r="X8" s="117">
        <f t="shared" si="1"/>
        <v>0</v>
      </c>
      <c r="Y8" s="117">
        <f t="shared" si="1"/>
        <v>0</v>
      </c>
      <c r="Z8" s="117">
        <f t="shared" si="1"/>
        <v>0</v>
      </c>
      <c r="AA8" s="186">
        <f t="shared" si="2"/>
        <v>22</v>
      </c>
      <c r="AB8" s="116" t="str">
        <f t="shared" si="3"/>
        <v>Meintjes</v>
      </c>
    </row>
    <row r="9" spans="2:28">
      <c r="B9" s="169"/>
      <c r="C9" s="277" t="s">
        <v>90</v>
      </c>
      <c r="D9" s="276" t="s">
        <v>136</v>
      </c>
      <c r="E9" s="117">
        <f t="shared" si="0"/>
        <v>8</v>
      </c>
      <c r="F9" s="117">
        <f t="shared" si="0"/>
        <v>0</v>
      </c>
      <c r="G9" s="117">
        <f t="shared" si="0"/>
        <v>0</v>
      </c>
      <c r="H9" s="117">
        <f t="shared" si="0"/>
        <v>0</v>
      </c>
      <c r="I9" s="117">
        <f t="shared" si="0"/>
        <v>0</v>
      </c>
      <c r="J9" s="117">
        <f t="shared" si="0"/>
        <v>0</v>
      </c>
      <c r="K9" s="117">
        <f t="shared" si="0"/>
        <v>0</v>
      </c>
      <c r="L9" s="117">
        <f t="shared" si="0"/>
        <v>0</v>
      </c>
      <c r="M9" s="117">
        <f t="shared" si="0"/>
        <v>0</v>
      </c>
      <c r="N9" s="117">
        <f t="shared" si="0"/>
        <v>0</v>
      </c>
      <c r="O9" s="117">
        <f t="shared" si="1"/>
        <v>0</v>
      </c>
      <c r="P9" s="117">
        <f t="shared" si="1"/>
        <v>14</v>
      </c>
      <c r="Q9" s="117">
        <f t="shared" si="1"/>
        <v>0</v>
      </c>
      <c r="R9" s="117">
        <f t="shared" si="1"/>
        <v>30</v>
      </c>
      <c r="S9" s="117">
        <f t="shared" si="1"/>
        <v>0</v>
      </c>
      <c r="T9" s="117">
        <f t="shared" si="1"/>
        <v>0</v>
      </c>
      <c r="U9" s="117">
        <f t="shared" si="1"/>
        <v>24</v>
      </c>
      <c r="V9" s="117">
        <f t="shared" si="1"/>
        <v>0</v>
      </c>
      <c r="W9" s="117">
        <f t="shared" si="1"/>
        <v>24</v>
      </c>
      <c r="X9" s="117">
        <f t="shared" si="1"/>
        <v>37</v>
      </c>
      <c r="Y9" s="117">
        <f t="shared" si="1"/>
        <v>2</v>
      </c>
      <c r="Z9" s="117">
        <f t="shared" si="1"/>
        <v>23</v>
      </c>
      <c r="AA9" s="186">
        <f t="shared" si="2"/>
        <v>162</v>
      </c>
      <c r="AB9" s="116" t="str">
        <f t="shared" si="3"/>
        <v>Pinot</v>
      </c>
    </row>
    <row r="10" spans="2:28">
      <c r="B10" s="169"/>
      <c r="C10" s="277" t="s">
        <v>91</v>
      </c>
      <c r="D10" s="276" t="s">
        <v>136</v>
      </c>
      <c r="E10" s="117">
        <f t="shared" si="0"/>
        <v>0</v>
      </c>
      <c r="F10" s="117">
        <f t="shared" si="0"/>
        <v>0</v>
      </c>
      <c r="G10" s="117">
        <f t="shared" si="0"/>
        <v>0</v>
      </c>
      <c r="H10" s="117">
        <f t="shared" si="0"/>
        <v>0</v>
      </c>
      <c r="I10" s="117">
        <f t="shared" si="0"/>
        <v>0</v>
      </c>
      <c r="J10" s="117">
        <f t="shared" si="0"/>
        <v>0</v>
      </c>
      <c r="K10" s="117">
        <f t="shared" si="0"/>
        <v>0</v>
      </c>
      <c r="L10" s="117">
        <f t="shared" si="0"/>
        <v>0</v>
      </c>
      <c r="M10" s="117">
        <f t="shared" si="0"/>
        <v>0</v>
      </c>
      <c r="N10" s="117">
        <f t="shared" si="0"/>
        <v>34</v>
      </c>
      <c r="O10" s="117">
        <f t="shared" si="1"/>
        <v>4</v>
      </c>
      <c r="P10" s="117">
        <f t="shared" si="1"/>
        <v>2</v>
      </c>
      <c r="Q10" s="117">
        <f t="shared" si="1"/>
        <v>2</v>
      </c>
      <c r="R10" s="117">
        <f t="shared" si="1"/>
        <v>2</v>
      </c>
      <c r="S10" s="117">
        <f t="shared" si="1"/>
        <v>2</v>
      </c>
      <c r="T10" s="117">
        <f t="shared" si="1"/>
        <v>2</v>
      </c>
      <c r="U10" s="117">
        <f t="shared" si="1"/>
        <v>1</v>
      </c>
      <c r="V10" s="117">
        <f t="shared" si="1"/>
        <v>0</v>
      </c>
      <c r="W10" s="117">
        <f t="shared" si="1"/>
        <v>0</v>
      </c>
      <c r="X10" s="117">
        <f t="shared" si="1"/>
        <v>19</v>
      </c>
      <c r="Y10" s="117">
        <f t="shared" si="1"/>
        <v>0</v>
      </c>
      <c r="Z10" s="117">
        <f t="shared" si="1"/>
        <v>0</v>
      </c>
      <c r="AA10" s="186">
        <f t="shared" si="2"/>
        <v>68</v>
      </c>
      <c r="AB10" s="116" t="str">
        <f t="shared" si="3"/>
        <v>Porte</v>
      </c>
    </row>
    <row r="11" spans="2:28">
      <c r="B11" s="169"/>
      <c r="C11" s="277" t="s">
        <v>94</v>
      </c>
      <c r="D11" s="276" t="s">
        <v>136</v>
      </c>
      <c r="E11" s="117">
        <f t="shared" si="0"/>
        <v>0</v>
      </c>
      <c r="F11" s="117">
        <f t="shared" si="0"/>
        <v>0</v>
      </c>
      <c r="G11" s="117">
        <f t="shared" si="0"/>
        <v>40</v>
      </c>
      <c r="H11" s="117">
        <f t="shared" si="0"/>
        <v>11</v>
      </c>
      <c r="I11" s="117">
        <f t="shared" si="0"/>
        <v>5</v>
      </c>
      <c r="J11" s="117">
        <f t="shared" si="0"/>
        <v>17</v>
      </c>
      <c r="K11" s="117">
        <f t="shared" si="0"/>
        <v>4</v>
      </c>
      <c r="L11" s="117">
        <f t="shared" si="0"/>
        <v>18</v>
      </c>
      <c r="M11" s="117">
        <f t="shared" si="0"/>
        <v>0</v>
      </c>
      <c r="N11" s="117">
        <f t="shared" si="0"/>
        <v>0</v>
      </c>
      <c r="O11" s="117">
        <f t="shared" si="1"/>
        <v>0</v>
      </c>
      <c r="P11" s="117">
        <f t="shared" si="1"/>
        <v>39</v>
      </c>
      <c r="Q11" s="117">
        <f t="shared" si="1"/>
        <v>4</v>
      </c>
      <c r="R11" s="117">
        <f t="shared" si="1"/>
        <v>4</v>
      </c>
      <c r="S11" s="117">
        <f t="shared" si="1"/>
        <v>4</v>
      </c>
      <c r="T11" s="117">
        <f t="shared" si="1"/>
        <v>4</v>
      </c>
      <c r="U11" s="117">
        <f t="shared" si="1"/>
        <v>4</v>
      </c>
      <c r="V11" s="117">
        <f t="shared" si="1"/>
        <v>5</v>
      </c>
      <c r="W11" s="117">
        <f t="shared" si="1"/>
        <v>3</v>
      </c>
      <c r="X11" s="117">
        <f t="shared" si="1"/>
        <v>15</v>
      </c>
      <c r="Y11" s="117">
        <f t="shared" si="1"/>
        <v>1</v>
      </c>
      <c r="Z11" s="117">
        <f t="shared" si="1"/>
        <v>1</v>
      </c>
      <c r="AA11" s="186">
        <f t="shared" si="2"/>
        <v>179</v>
      </c>
      <c r="AB11" s="116" t="str">
        <f t="shared" si="3"/>
        <v>Rodriguez</v>
      </c>
    </row>
    <row r="12" spans="2:28">
      <c r="B12" s="169"/>
      <c r="C12" s="277" t="s">
        <v>98</v>
      </c>
      <c r="D12" s="276" t="s">
        <v>136</v>
      </c>
      <c r="E12" s="117">
        <f t="shared" si="0"/>
        <v>0</v>
      </c>
      <c r="F12" s="117">
        <f t="shared" si="0"/>
        <v>0</v>
      </c>
      <c r="G12" s="117">
        <f t="shared" si="0"/>
        <v>0</v>
      </c>
      <c r="H12" s="117">
        <f t="shared" si="0"/>
        <v>0</v>
      </c>
      <c r="I12" s="117">
        <f t="shared" si="0"/>
        <v>0</v>
      </c>
      <c r="J12" s="117">
        <f t="shared" si="0"/>
        <v>6</v>
      </c>
      <c r="K12" s="117">
        <f t="shared" si="0"/>
        <v>0</v>
      </c>
      <c r="L12" s="117">
        <f t="shared" si="0"/>
        <v>0</v>
      </c>
      <c r="M12" s="117">
        <f t="shared" si="0"/>
        <v>0</v>
      </c>
      <c r="N12" s="117">
        <f t="shared" si="0"/>
        <v>0</v>
      </c>
      <c r="O12" s="117">
        <f t="shared" si="1"/>
        <v>6</v>
      </c>
      <c r="P12" s="117">
        <f t="shared" si="1"/>
        <v>0</v>
      </c>
      <c r="Q12" s="117">
        <f t="shared" si="1"/>
        <v>0</v>
      </c>
      <c r="R12" s="117">
        <f t="shared" si="1"/>
        <v>0</v>
      </c>
      <c r="S12" s="117">
        <f t="shared" si="1"/>
        <v>0</v>
      </c>
      <c r="T12" s="117">
        <f t="shared" si="1"/>
        <v>0</v>
      </c>
      <c r="U12" s="117">
        <f t="shared" si="1"/>
        <v>30</v>
      </c>
      <c r="V12" s="117">
        <f t="shared" si="1"/>
        <v>17</v>
      </c>
      <c r="W12" s="117">
        <f t="shared" si="1"/>
        <v>14</v>
      </c>
      <c r="X12" s="117">
        <f t="shared" si="1"/>
        <v>0</v>
      </c>
      <c r="Y12" s="117">
        <f t="shared" si="1"/>
        <v>0</v>
      </c>
      <c r="Z12" s="117">
        <f t="shared" si="1"/>
        <v>30</v>
      </c>
      <c r="AA12" s="186">
        <f t="shared" si="2"/>
        <v>103</v>
      </c>
      <c r="AB12" s="116" t="str">
        <f t="shared" si="3"/>
        <v>Talansky</v>
      </c>
    </row>
    <row r="13" spans="2:28">
      <c r="B13" s="169"/>
      <c r="C13" s="277" t="s">
        <v>138</v>
      </c>
      <c r="D13" s="276" t="s">
        <v>136</v>
      </c>
      <c r="E13" s="117">
        <f t="shared" si="0"/>
        <v>9</v>
      </c>
      <c r="F13" s="117">
        <f t="shared" si="0"/>
        <v>16</v>
      </c>
      <c r="G13" s="117">
        <f t="shared" si="0"/>
        <v>11</v>
      </c>
      <c r="H13" s="117">
        <f t="shared" si="0"/>
        <v>17</v>
      </c>
      <c r="I13" s="117">
        <f t="shared" si="0"/>
        <v>4</v>
      </c>
      <c r="J13" s="117">
        <f t="shared" si="0"/>
        <v>13</v>
      </c>
      <c r="K13" s="117">
        <f t="shared" si="0"/>
        <v>5</v>
      </c>
      <c r="L13" s="117">
        <f t="shared" si="0"/>
        <v>16</v>
      </c>
      <c r="M13" s="117">
        <f t="shared" si="0"/>
        <v>0</v>
      </c>
      <c r="N13" s="117">
        <f t="shared" si="0"/>
        <v>0</v>
      </c>
      <c r="O13" s="117">
        <f t="shared" si="1"/>
        <v>0</v>
      </c>
      <c r="P13" s="117">
        <f t="shared" si="1"/>
        <v>0</v>
      </c>
      <c r="Q13" s="117">
        <f t="shared" si="1"/>
        <v>0</v>
      </c>
      <c r="R13" s="117">
        <f t="shared" si="1"/>
        <v>24</v>
      </c>
      <c r="S13" s="117">
        <f t="shared" si="1"/>
        <v>0</v>
      </c>
      <c r="T13" s="117">
        <f t="shared" si="1"/>
        <v>0</v>
      </c>
      <c r="U13" s="117">
        <f t="shared" si="1"/>
        <v>26</v>
      </c>
      <c r="V13" s="117">
        <f t="shared" si="1"/>
        <v>0</v>
      </c>
      <c r="W13" s="117">
        <f t="shared" si="1"/>
        <v>0</v>
      </c>
      <c r="X13" s="117">
        <f t="shared" si="1"/>
        <v>0</v>
      </c>
      <c r="Y13" s="117">
        <f t="shared" si="1"/>
        <v>0</v>
      </c>
      <c r="Z13" s="117">
        <f t="shared" si="1"/>
        <v>0</v>
      </c>
      <c r="AA13" s="186">
        <f t="shared" si="2"/>
        <v>141</v>
      </c>
      <c r="AB13" s="116" t="str">
        <f t="shared" si="3"/>
        <v>Uran</v>
      </c>
    </row>
    <row r="14" spans="2:28">
      <c r="B14" s="169"/>
      <c r="C14" s="277" t="s">
        <v>76</v>
      </c>
      <c r="D14" s="276" t="s">
        <v>136</v>
      </c>
      <c r="E14" s="117">
        <f t="shared" ref="E14:N20" si="4">INDEX(scorematrix,MATCH($C14,renners,0),MATCH(E$3,etappes,0))</f>
        <v>0</v>
      </c>
      <c r="F14" s="117">
        <f t="shared" si="4"/>
        <v>0</v>
      </c>
      <c r="G14" s="117">
        <f t="shared" si="4"/>
        <v>15</v>
      </c>
      <c r="H14" s="117">
        <f t="shared" si="4"/>
        <v>15</v>
      </c>
      <c r="I14" s="117">
        <f t="shared" si="4"/>
        <v>0</v>
      </c>
      <c r="J14" s="117">
        <f t="shared" si="4"/>
        <v>11</v>
      </c>
      <c r="K14" s="117">
        <f t="shared" si="4"/>
        <v>0</v>
      </c>
      <c r="L14" s="117">
        <f t="shared" si="4"/>
        <v>26</v>
      </c>
      <c r="M14" s="117">
        <f t="shared" si="4"/>
        <v>0</v>
      </c>
      <c r="N14" s="117">
        <f t="shared" si="4"/>
        <v>30</v>
      </c>
      <c r="O14" s="117">
        <f t="shared" ref="O14:Z20" si="5">INDEX(scorematrix,MATCH($C14,renners,0),MATCH(O$3,etappes,0))</f>
        <v>25</v>
      </c>
      <c r="P14" s="117">
        <f t="shared" si="5"/>
        <v>24</v>
      </c>
      <c r="Q14" s="117">
        <f t="shared" si="5"/>
        <v>24</v>
      </c>
      <c r="R14" s="117">
        <f t="shared" si="5"/>
        <v>7</v>
      </c>
      <c r="S14" s="117">
        <f t="shared" si="5"/>
        <v>7</v>
      </c>
      <c r="T14" s="117">
        <f t="shared" si="5"/>
        <v>7</v>
      </c>
      <c r="U14" s="117">
        <f t="shared" si="5"/>
        <v>8</v>
      </c>
      <c r="V14" s="117">
        <f t="shared" si="5"/>
        <v>21</v>
      </c>
      <c r="W14" s="117">
        <f t="shared" si="5"/>
        <v>28</v>
      </c>
      <c r="X14" s="117">
        <f t="shared" si="5"/>
        <v>32</v>
      </c>
      <c r="Y14" s="117">
        <f t="shared" si="5"/>
        <v>8</v>
      </c>
      <c r="Z14" s="117">
        <f t="shared" si="5"/>
        <v>52</v>
      </c>
      <c r="AA14" s="186">
        <f t="shared" si="2"/>
        <v>340</v>
      </c>
      <c r="AB14" s="116" t="str">
        <f t="shared" si="3"/>
        <v>Valverde</v>
      </c>
    </row>
    <row r="15" spans="2:28">
      <c r="B15" s="169"/>
      <c r="C15" s="277" t="s">
        <v>95</v>
      </c>
      <c r="D15" s="276" t="s">
        <v>136</v>
      </c>
      <c r="E15" s="117">
        <f t="shared" si="4"/>
        <v>6</v>
      </c>
      <c r="F15" s="117">
        <f t="shared" si="4"/>
        <v>18</v>
      </c>
      <c r="G15" s="117">
        <f t="shared" si="4"/>
        <v>28</v>
      </c>
      <c r="H15" s="117">
        <f t="shared" si="4"/>
        <v>8</v>
      </c>
      <c r="I15" s="117">
        <f t="shared" si="4"/>
        <v>8</v>
      </c>
      <c r="J15" s="117">
        <f t="shared" si="4"/>
        <v>8</v>
      </c>
      <c r="K15" s="117">
        <f t="shared" si="4"/>
        <v>8</v>
      </c>
      <c r="L15" s="117">
        <f t="shared" si="4"/>
        <v>24</v>
      </c>
      <c r="M15" s="117">
        <f t="shared" si="4"/>
        <v>0.1</v>
      </c>
      <c r="N15" s="117">
        <f t="shared" si="4"/>
        <v>25</v>
      </c>
      <c r="O15" s="117">
        <f t="shared" si="5"/>
        <v>22</v>
      </c>
      <c r="P15" s="117">
        <f t="shared" si="5"/>
        <v>22</v>
      </c>
      <c r="Q15" s="117">
        <f t="shared" si="5"/>
        <v>25</v>
      </c>
      <c r="R15" s="117">
        <f t="shared" si="5"/>
        <v>8</v>
      </c>
      <c r="S15" s="117">
        <f t="shared" si="5"/>
        <v>8</v>
      </c>
      <c r="T15" s="117">
        <f t="shared" si="5"/>
        <v>8</v>
      </c>
      <c r="U15" s="117">
        <f t="shared" si="5"/>
        <v>0</v>
      </c>
      <c r="V15" s="117">
        <f t="shared" si="5"/>
        <v>0</v>
      </c>
      <c r="W15" s="117">
        <f t="shared" si="5"/>
        <v>0</v>
      </c>
      <c r="X15" s="117">
        <f t="shared" si="5"/>
        <v>0</v>
      </c>
      <c r="Y15" s="117">
        <f t="shared" si="5"/>
        <v>0</v>
      </c>
      <c r="Z15" s="117">
        <f t="shared" si="5"/>
        <v>0</v>
      </c>
      <c r="AA15" s="186">
        <f t="shared" si="2"/>
        <v>226.1</v>
      </c>
      <c r="AB15" s="116" t="str">
        <f t="shared" si="3"/>
        <v>van Garderen</v>
      </c>
    </row>
    <row r="16" spans="2:28">
      <c r="B16" s="169"/>
      <c r="C16" s="277" t="s">
        <v>45</v>
      </c>
      <c r="D16" s="276" t="s">
        <v>11</v>
      </c>
      <c r="E16" s="117">
        <f t="shared" si="4"/>
        <v>0</v>
      </c>
      <c r="F16" s="117">
        <f t="shared" si="4"/>
        <v>26</v>
      </c>
      <c r="G16" s="117">
        <f t="shared" si="4"/>
        <v>2</v>
      </c>
      <c r="H16" s="117">
        <f t="shared" si="4"/>
        <v>15</v>
      </c>
      <c r="I16" s="117">
        <f t="shared" si="4"/>
        <v>28</v>
      </c>
      <c r="J16" s="117">
        <f t="shared" si="4"/>
        <v>2</v>
      </c>
      <c r="K16" s="117">
        <f t="shared" si="4"/>
        <v>38</v>
      </c>
      <c r="L16" s="117">
        <f t="shared" si="4"/>
        <v>3</v>
      </c>
      <c r="M16" s="117">
        <f t="shared" si="4"/>
        <v>0</v>
      </c>
      <c r="N16" s="117">
        <f t="shared" si="4"/>
        <v>3</v>
      </c>
      <c r="O16" s="117">
        <f t="shared" si="5"/>
        <v>2</v>
      </c>
      <c r="P16" s="117">
        <f t="shared" si="5"/>
        <v>2</v>
      </c>
      <c r="Q16" s="117">
        <f t="shared" si="5"/>
        <v>2</v>
      </c>
      <c r="R16" s="117">
        <f t="shared" si="5"/>
        <v>2</v>
      </c>
      <c r="S16" s="117">
        <f t="shared" si="5"/>
        <v>2</v>
      </c>
      <c r="T16" s="117">
        <f t="shared" si="5"/>
        <v>2</v>
      </c>
      <c r="U16" s="117">
        <f t="shared" si="5"/>
        <v>2</v>
      </c>
      <c r="V16" s="117">
        <f t="shared" si="5"/>
        <v>2</v>
      </c>
      <c r="W16" s="117">
        <f t="shared" si="5"/>
        <v>2</v>
      </c>
      <c r="X16" s="117">
        <f t="shared" si="5"/>
        <v>2</v>
      </c>
      <c r="Y16" s="117">
        <f t="shared" si="5"/>
        <v>22</v>
      </c>
      <c r="Z16" s="117">
        <f t="shared" si="5"/>
        <v>3</v>
      </c>
      <c r="AA16" s="186">
        <f t="shared" si="2"/>
        <v>162</v>
      </c>
      <c r="AB16" s="116" t="str">
        <f t="shared" si="3"/>
        <v>Cavendish</v>
      </c>
    </row>
    <row r="17" spans="2:28">
      <c r="B17" s="169"/>
      <c r="C17" s="277" t="s">
        <v>96</v>
      </c>
      <c r="D17" s="276" t="s">
        <v>11</v>
      </c>
      <c r="E17" s="117">
        <f t="shared" si="4"/>
        <v>0</v>
      </c>
      <c r="F17" s="117">
        <f t="shared" si="4"/>
        <v>0</v>
      </c>
      <c r="G17" s="117">
        <f t="shared" si="4"/>
        <v>0</v>
      </c>
      <c r="H17" s="117">
        <f t="shared" si="4"/>
        <v>33</v>
      </c>
      <c r="I17" s="117">
        <f t="shared" si="4"/>
        <v>23</v>
      </c>
      <c r="J17" s="117">
        <f t="shared" si="4"/>
        <v>27</v>
      </c>
      <c r="K17" s="117">
        <f t="shared" si="4"/>
        <v>26</v>
      </c>
      <c r="L17" s="117">
        <f t="shared" si="4"/>
        <v>2</v>
      </c>
      <c r="M17" s="117">
        <f t="shared" si="4"/>
        <v>0</v>
      </c>
      <c r="N17" s="117">
        <f t="shared" si="4"/>
        <v>2</v>
      </c>
      <c r="O17" s="117">
        <f t="shared" si="5"/>
        <v>3</v>
      </c>
      <c r="P17" s="117">
        <f t="shared" si="5"/>
        <v>3</v>
      </c>
      <c r="Q17" s="117">
        <f t="shared" si="5"/>
        <v>27</v>
      </c>
      <c r="R17" s="117">
        <f t="shared" si="5"/>
        <v>3</v>
      </c>
      <c r="S17" s="117">
        <f t="shared" si="5"/>
        <v>33</v>
      </c>
      <c r="T17" s="117">
        <f t="shared" si="5"/>
        <v>3</v>
      </c>
      <c r="U17" s="117">
        <f t="shared" si="5"/>
        <v>3</v>
      </c>
      <c r="V17" s="117">
        <f t="shared" si="5"/>
        <v>3</v>
      </c>
      <c r="W17" s="117">
        <f t="shared" si="5"/>
        <v>3</v>
      </c>
      <c r="X17" s="117">
        <f t="shared" si="5"/>
        <v>3</v>
      </c>
      <c r="Y17" s="117">
        <f t="shared" si="5"/>
        <v>21</v>
      </c>
      <c r="Z17" s="117">
        <f t="shared" si="5"/>
        <v>5</v>
      </c>
      <c r="AA17" s="186">
        <f t="shared" si="2"/>
        <v>223</v>
      </c>
      <c r="AB17" s="116" t="str">
        <f t="shared" si="3"/>
        <v>Degenkolb</v>
      </c>
    </row>
    <row r="18" spans="2:28">
      <c r="B18" s="169"/>
      <c r="C18" s="277" t="s">
        <v>97</v>
      </c>
      <c r="D18" s="276" t="s">
        <v>11</v>
      </c>
      <c r="E18" s="117">
        <f t="shared" si="4"/>
        <v>0</v>
      </c>
      <c r="F18" s="117">
        <f t="shared" si="4"/>
        <v>0</v>
      </c>
      <c r="G18" s="117">
        <f t="shared" si="4"/>
        <v>0</v>
      </c>
      <c r="H18" s="117">
        <f t="shared" si="4"/>
        <v>0</v>
      </c>
      <c r="I18" s="117">
        <f t="shared" si="4"/>
        <v>24</v>
      </c>
      <c r="J18" s="117">
        <f t="shared" si="4"/>
        <v>15</v>
      </c>
      <c r="K18" s="117">
        <f t="shared" si="4"/>
        <v>22</v>
      </c>
      <c r="L18" s="117">
        <f t="shared" si="4"/>
        <v>0</v>
      </c>
      <c r="M18" s="117">
        <f t="shared" si="4"/>
        <v>0</v>
      </c>
      <c r="N18" s="117">
        <f t="shared" si="4"/>
        <v>0</v>
      </c>
      <c r="O18" s="117">
        <f t="shared" si="5"/>
        <v>0</v>
      </c>
      <c r="P18" s="117">
        <f t="shared" si="5"/>
        <v>0</v>
      </c>
      <c r="Q18" s="117">
        <f t="shared" si="5"/>
        <v>0</v>
      </c>
      <c r="R18" s="117">
        <f t="shared" si="5"/>
        <v>0</v>
      </c>
      <c r="S18" s="117">
        <f t="shared" si="5"/>
        <v>26</v>
      </c>
      <c r="T18" s="117">
        <f t="shared" si="5"/>
        <v>0</v>
      </c>
      <c r="U18" s="117">
        <f t="shared" si="5"/>
        <v>0</v>
      </c>
      <c r="V18" s="117">
        <f t="shared" si="5"/>
        <v>0</v>
      </c>
      <c r="W18" s="117">
        <f t="shared" si="5"/>
        <v>0</v>
      </c>
      <c r="X18" s="117">
        <f t="shared" si="5"/>
        <v>0</v>
      </c>
      <c r="Y18" s="117">
        <f t="shared" si="5"/>
        <v>26</v>
      </c>
      <c r="Z18" s="117">
        <f t="shared" si="5"/>
        <v>0</v>
      </c>
      <c r="AA18" s="186">
        <f t="shared" si="2"/>
        <v>113</v>
      </c>
      <c r="AB18" s="116" t="str">
        <f t="shared" si="3"/>
        <v>Kristoff</v>
      </c>
    </row>
    <row r="19" spans="2:28">
      <c r="B19" s="169"/>
      <c r="C19" s="277" t="s">
        <v>125</v>
      </c>
      <c r="D19" s="276" t="s">
        <v>11</v>
      </c>
      <c r="E19" s="117">
        <f t="shared" si="4"/>
        <v>0</v>
      </c>
      <c r="F19" s="117">
        <f t="shared" si="4"/>
        <v>0</v>
      </c>
      <c r="G19" s="117">
        <f t="shared" si="4"/>
        <v>0</v>
      </c>
      <c r="H19" s="117">
        <f t="shared" si="4"/>
        <v>0</v>
      </c>
      <c r="I19" s="117">
        <f t="shared" si="4"/>
        <v>0</v>
      </c>
      <c r="J19" s="117">
        <f t="shared" si="4"/>
        <v>0</v>
      </c>
      <c r="K19" s="117">
        <f t="shared" si="4"/>
        <v>0</v>
      </c>
      <c r="L19" s="117">
        <f t="shared" si="4"/>
        <v>0</v>
      </c>
      <c r="M19" s="117">
        <f t="shared" si="4"/>
        <v>0</v>
      </c>
      <c r="N19" s="117">
        <f t="shared" si="4"/>
        <v>0</v>
      </c>
      <c r="O19" s="117">
        <f t="shared" si="5"/>
        <v>0</v>
      </c>
      <c r="P19" s="117">
        <f t="shared" si="5"/>
        <v>0</v>
      </c>
      <c r="Q19" s="117">
        <f t="shared" si="5"/>
        <v>9</v>
      </c>
      <c r="R19" s="117">
        <f t="shared" si="5"/>
        <v>0</v>
      </c>
      <c r="S19" s="117">
        <f t="shared" si="5"/>
        <v>18</v>
      </c>
      <c r="T19" s="117">
        <f t="shared" si="5"/>
        <v>0</v>
      </c>
      <c r="U19" s="117">
        <f t="shared" si="5"/>
        <v>0</v>
      </c>
      <c r="V19" s="117">
        <f t="shared" si="5"/>
        <v>0</v>
      </c>
      <c r="W19" s="117">
        <f t="shared" si="5"/>
        <v>0</v>
      </c>
      <c r="X19" s="117">
        <f t="shared" si="5"/>
        <v>0</v>
      </c>
      <c r="Y19" s="117">
        <f t="shared" si="5"/>
        <v>17</v>
      </c>
      <c r="Z19" s="117">
        <f t="shared" si="5"/>
        <v>0</v>
      </c>
      <c r="AA19" s="186">
        <f t="shared" si="2"/>
        <v>44</v>
      </c>
      <c r="AB19" s="116" t="str">
        <f>C19</f>
        <v>Matthews</v>
      </c>
    </row>
    <row r="20" spans="2:28" s="170" customFormat="1" ht="13.5" thickBot="1">
      <c r="B20" s="169"/>
      <c r="C20" s="289" t="s">
        <v>74</v>
      </c>
      <c r="D20" s="276" t="s">
        <v>11</v>
      </c>
      <c r="E20" s="117">
        <f t="shared" si="4"/>
        <v>7</v>
      </c>
      <c r="F20" s="117">
        <f t="shared" si="4"/>
        <v>41</v>
      </c>
      <c r="G20" s="117">
        <f t="shared" si="4"/>
        <v>9</v>
      </c>
      <c r="H20" s="117">
        <f t="shared" si="4"/>
        <v>36</v>
      </c>
      <c r="I20" s="117">
        <f t="shared" si="4"/>
        <v>41</v>
      </c>
      <c r="J20" s="117">
        <f t="shared" si="4"/>
        <v>41</v>
      </c>
      <c r="K20" s="117">
        <f t="shared" si="4"/>
        <v>39</v>
      </c>
      <c r="L20" s="117">
        <f t="shared" si="4"/>
        <v>38</v>
      </c>
      <c r="M20" s="117">
        <f t="shared" si="4"/>
        <v>0</v>
      </c>
      <c r="N20" s="117">
        <f t="shared" si="4"/>
        <v>4</v>
      </c>
      <c r="O20" s="117">
        <f t="shared" si="5"/>
        <v>5</v>
      </c>
      <c r="P20" s="117">
        <f t="shared" si="5"/>
        <v>5</v>
      </c>
      <c r="Q20" s="117">
        <f t="shared" si="5"/>
        <v>35</v>
      </c>
      <c r="R20" s="117">
        <f t="shared" si="5"/>
        <v>27</v>
      </c>
      <c r="S20" s="117">
        <f t="shared" si="5"/>
        <v>29</v>
      </c>
      <c r="T20" s="117">
        <f t="shared" si="5"/>
        <v>35</v>
      </c>
      <c r="U20" s="117">
        <f t="shared" si="5"/>
        <v>5</v>
      </c>
      <c r="V20" s="117">
        <f t="shared" si="5"/>
        <v>5</v>
      </c>
      <c r="W20" s="117">
        <f t="shared" si="5"/>
        <v>5</v>
      </c>
      <c r="X20" s="117">
        <f t="shared" si="5"/>
        <v>5</v>
      </c>
      <c r="Y20" s="117">
        <f t="shared" si="5"/>
        <v>24</v>
      </c>
      <c r="Z20" s="117">
        <f t="shared" si="5"/>
        <v>10</v>
      </c>
      <c r="AA20" s="186">
        <f t="shared" si="2"/>
        <v>446</v>
      </c>
      <c r="AB20" s="116" t="str">
        <f>C20</f>
        <v>Sagan</v>
      </c>
    </row>
    <row r="21" spans="2:28" s="171" customFormat="1">
      <c r="C21" s="278"/>
      <c r="D21" s="178"/>
      <c r="E21" s="180"/>
      <c r="F21" s="180"/>
      <c r="G21" s="180"/>
      <c r="H21" s="180"/>
      <c r="I21" s="180"/>
      <c r="J21" s="180"/>
      <c r="K21" s="180"/>
      <c r="L21" s="180"/>
      <c r="M21" s="180"/>
      <c r="N21" s="180"/>
      <c r="O21" s="180"/>
      <c r="P21" s="180"/>
      <c r="Q21" s="180"/>
      <c r="R21" s="180"/>
      <c r="S21" s="180"/>
      <c r="T21" s="180"/>
      <c r="U21" s="180"/>
      <c r="V21" s="180">
        <f>V25</f>
        <v>0</v>
      </c>
      <c r="W21" s="180">
        <f>W26</f>
        <v>16</v>
      </c>
      <c r="X21" s="180">
        <f>X24</f>
        <v>0</v>
      </c>
      <c r="Y21" s="180"/>
      <c r="Z21" s="180"/>
      <c r="AA21" s="239"/>
    </row>
    <row r="22" spans="2:28" s="120" customFormat="1">
      <c r="C22" s="179"/>
      <c r="D22" s="179"/>
      <c r="E22" s="172">
        <f t="shared" ref="E22:Z22" si="6">SUM(E4:E21)</f>
        <v>30</v>
      </c>
      <c r="F22" s="172">
        <f t="shared" ref="F22" si="7">SUM(F4:F21)</f>
        <v>101</v>
      </c>
      <c r="G22" s="172">
        <f>SUM(G4:G21)</f>
        <v>109</v>
      </c>
      <c r="H22" s="172">
        <f t="shared" si="6"/>
        <v>147</v>
      </c>
      <c r="I22" s="172">
        <f t="shared" si="6"/>
        <v>137</v>
      </c>
      <c r="J22" s="172">
        <f t="shared" si="6"/>
        <v>142</v>
      </c>
      <c r="K22" s="172">
        <f t="shared" si="6"/>
        <v>144</v>
      </c>
      <c r="L22" s="172">
        <f t="shared" si="6"/>
        <v>128</v>
      </c>
      <c r="M22" s="172">
        <f t="shared" si="6"/>
        <v>0.1</v>
      </c>
      <c r="N22" s="172">
        <f t="shared" si="6"/>
        <v>98</v>
      </c>
      <c r="O22" s="172">
        <f t="shared" si="6"/>
        <v>105</v>
      </c>
      <c r="P22" s="172">
        <f t="shared" si="6"/>
        <v>160</v>
      </c>
      <c r="Q22" s="172">
        <f t="shared" si="6"/>
        <v>129</v>
      </c>
      <c r="R22" s="172">
        <f t="shared" si="6"/>
        <v>134</v>
      </c>
      <c r="S22" s="172">
        <f t="shared" si="6"/>
        <v>130</v>
      </c>
      <c r="T22" s="172">
        <f t="shared" si="6"/>
        <v>62</v>
      </c>
      <c r="U22" s="172">
        <f t="shared" si="6"/>
        <v>116</v>
      </c>
      <c r="V22" s="172">
        <f t="shared" si="6"/>
        <v>93</v>
      </c>
      <c r="W22" s="172">
        <f t="shared" si="6"/>
        <v>135</v>
      </c>
      <c r="X22" s="172">
        <f t="shared" si="6"/>
        <v>135</v>
      </c>
      <c r="Y22" s="172">
        <f t="shared" si="6"/>
        <v>126</v>
      </c>
      <c r="Z22" s="172">
        <f t="shared" si="6"/>
        <v>163</v>
      </c>
      <c r="AA22" s="236">
        <f>SUM(AA4:AA21)</f>
        <v>2508.1</v>
      </c>
    </row>
    <row r="23" spans="2:28" s="173" customFormat="1">
      <c r="C23" s="176"/>
      <c r="D23" s="176"/>
      <c r="E23" s="151"/>
      <c r="F23" s="151"/>
      <c r="G23" s="151"/>
      <c r="H23" s="174"/>
      <c r="I23" s="151"/>
      <c r="J23" s="151"/>
      <c r="K23" s="151"/>
      <c r="L23" s="151"/>
      <c r="M23" s="151"/>
      <c r="N23" s="151"/>
      <c r="O23" s="151"/>
      <c r="P23" s="151"/>
      <c r="Q23" s="151"/>
      <c r="R23" s="151"/>
      <c r="S23" s="151"/>
      <c r="T23" s="151"/>
      <c r="U23" s="151"/>
      <c r="V23" s="151"/>
      <c r="W23" s="151"/>
      <c r="X23" s="151"/>
      <c r="Y23" s="151"/>
      <c r="Z23" s="151"/>
      <c r="AA23" s="237"/>
    </row>
    <row r="24" spans="2:28" s="175" customFormat="1">
      <c r="B24" s="169"/>
      <c r="C24" s="279" t="s">
        <v>135</v>
      </c>
      <c r="D24" s="279"/>
      <c r="E24" s="193">
        <f t="shared" ref="E24:Z26" si="8">INDEX(scorematrix,MATCH($C24,renners,0),MATCH(E$3,etappes,0))</f>
        <v>0</v>
      </c>
      <c r="F24" s="193">
        <f t="shared" si="8"/>
        <v>0</v>
      </c>
      <c r="G24" s="193">
        <f t="shared" si="8"/>
        <v>13</v>
      </c>
      <c r="H24" s="193">
        <f t="shared" si="8"/>
        <v>0</v>
      </c>
      <c r="I24" s="193">
        <f t="shared" si="8"/>
        <v>0</v>
      </c>
      <c r="J24" s="193">
        <f t="shared" si="8"/>
        <v>0</v>
      </c>
      <c r="K24" s="193">
        <f t="shared" si="8"/>
        <v>0</v>
      </c>
      <c r="L24" s="193">
        <f t="shared" si="8"/>
        <v>15</v>
      </c>
      <c r="M24" s="193">
        <f t="shared" si="8"/>
        <v>0</v>
      </c>
      <c r="N24" s="193">
        <f t="shared" si="8"/>
        <v>0</v>
      </c>
      <c r="O24" s="193">
        <f t="shared" si="8"/>
        <v>0</v>
      </c>
      <c r="P24" s="193">
        <f t="shared" si="8"/>
        <v>0</v>
      </c>
      <c r="Q24" s="193">
        <f t="shared" si="8"/>
        <v>0</v>
      </c>
      <c r="R24" s="193">
        <f t="shared" si="8"/>
        <v>0</v>
      </c>
      <c r="S24" s="193">
        <f t="shared" si="8"/>
        <v>0</v>
      </c>
      <c r="T24" s="193">
        <f t="shared" si="8"/>
        <v>0</v>
      </c>
      <c r="U24" s="193">
        <f t="shared" si="8"/>
        <v>0</v>
      </c>
      <c r="V24" s="193">
        <f t="shared" si="8"/>
        <v>0</v>
      </c>
      <c r="W24" s="193">
        <f t="shared" si="8"/>
        <v>0</v>
      </c>
      <c r="X24" s="234">
        <f t="shared" si="8"/>
        <v>0</v>
      </c>
      <c r="Y24" s="193">
        <f t="shared" si="8"/>
        <v>0</v>
      </c>
      <c r="Z24" s="193">
        <f t="shared" si="8"/>
        <v>0</v>
      </c>
      <c r="AA24" s="238">
        <f>SUM(E24:Z24)</f>
        <v>28</v>
      </c>
    </row>
    <row r="25" spans="2:28" s="175" customFormat="1">
      <c r="B25" s="169"/>
      <c r="C25" s="279" t="s">
        <v>141</v>
      </c>
      <c r="D25" s="279"/>
      <c r="E25" s="193">
        <f t="shared" si="8"/>
        <v>0</v>
      </c>
      <c r="F25" s="193">
        <f t="shared" si="8"/>
        <v>0</v>
      </c>
      <c r="G25" s="193">
        <f t="shared" si="8"/>
        <v>18</v>
      </c>
      <c r="H25" s="193">
        <f t="shared" si="8"/>
        <v>0</v>
      </c>
      <c r="I25" s="193">
        <f t="shared" si="8"/>
        <v>0</v>
      </c>
      <c r="J25" s="193">
        <f t="shared" si="8"/>
        <v>0</v>
      </c>
      <c r="K25" s="193">
        <f t="shared" si="8"/>
        <v>0</v>
      </c>
      <c r="L25" s="193">
        <f t="shared" si="8"/>
        <v>0</v>
      </c>
      <c r="M25" s="193">
        <f t="shared" si="8"/>
        <v>0</v>
      </c>
      <c r="N25" s="193">
        <f t="shared" si="8"/>
        <v>0</v>
      </c>
      <c r="O25" s="193">
        <f t="shared" si="8"/>
        <v>0</v>
      </c>
      <c r="P25" s="193">
        <f t="shared" si="8"/>
        <v>0</v>
      </c>
      <c r="Q25" s="193">
        <f t="shared" si="8"/>
        <v>0</v>
      </c>
      <c r="R25" s="193">
        <f t="shared" si="8"/>
        <v>16</v>
      </c>
      <c r="S25" s="193">
        <f t="shared" si="8"/>
        <v>0</v>
      </c>
      <c r="T25" s="193">
        <f t="shared" si="8"/>
        <v>0</v>
      </c>
      <c r="U25" s="193">
        <f t="shared" si="8"/>
        <v>0</v>
      </c>
      <c r="V25" s="234">
        <f t="shared" si="8"/>
        <v>0</v>
      </c>
      <c r="W25" s="193">
        <f t="shared" si="8"/>
        <v>0</v>
      </c>
      <c r="X25" s="193">
        <f t="shared" si="8"/>
        <v>15</v>
      </c>
      <c r="Y25" s="193">
        <f t="shared" si="8"/>
        <v>0</v>
      </c>
      <c r="Z25" s="193">
        <f t="shared" si="8"/>
        <v>0</v>
      </c>
      <c r="AA25" s="238">
        <f>SUM(E25:Z25)</f>
        <v>49</v>
      </c>
    </row>
    <row r="26" spans="2:28" s="175" customFormat="1">
      <c r="B26" s="169"/>
      <c r="C26" s="279" t="s">
        <v>81</v>
      </c>
      <c r="D26" s="279"/>
      <c r="E26" s="193">
        <f t="shared" si="8"/>
        <v>0</v>
      </c>
      <c r="F26" s="193">
        <f t="shared" si="8"/>
        <v>0</v>
      </c>
      <c r="G26" s="193">
        <f t="shared" si="8"/>
        <v>6</v>
      </c>
      <c r="H26" s="193">
        <f t="shared" si="8"/>
        <v>0</v>
      </c>
      <c r="I26" s="193">
        <f t="shared" si="8"/>
        <v>0</v>
      </c>
      <c r="J26" s="193">
        <f t="shared" si="8"/>
        <v>0</v>
      </c>
      <c r="K26" s="193">
        <f t="shared" si="8"/>
        <v>0</v>
      </c>
      <c r="L26" s="193">
        <f t="shared" si="8"/>
        <v>6</v>
      </c>
      <c r="M26" s="193">
        <f t="shared" si="8"/>
        <v>0</v>
      </c>
      <c r="N26" s="193">
        <f t="shared" si="8"/>
        <v>18</v>
      </c>
      <c r="O26" s="193">
        <f t="shared" si="8"/>
        <v>10</v>
      </c>
      <c r="P26" s="193">
        <f t="shared" si="8"/>
        <v>11</v>
      </c>
      <c r="Q26" s="193">
        <f t="shared" si="8"/>
        <v>7</v>
      </c>
      <c r="R26" s="193">
        <f t="shared" si="8"/>
        <v>0</v>
      </c>
      <c r="S26" s="193">
        <f t="shared" si="8"/>
        <v>0</v>
      </c>
      <c r="T26" s="193">
        <f t="shared" si="8"/>
        <v>0</v>
      </c>
      <c r="U26" s="193">
        <f t="shared" si="8"/>
        <v>0</v>
      </c>
      <c r="V26" s="193">
        <f t="shared" si="8"/>
        <v>30</v>
      </c>
      <c r="W26" s="234">
        <f t="shared" si="8"/>
        <v>16</v>
      </c>
      <c r="X26" s="193">
        <f t="shared" si="8"/>
        <v>21</v>
      </c>
      <c r="Y26" s="193">
        <f t="shared" si="8"/>
        <v>1</v>
      </c>
      <c r="Z26" s="193">
        <f t="shared" si="8"/>
        <v>32</v>
      </c>
      <c r="AA26" s="238">
        <f>SUM(E26:Z26)</f>
        <v>158</v>
      </c>
    </row>
    <row r="28" spans="2:28">
      <c r="C28" s="301" t="s">
        <v>136</v>
      </c>
      <c r="D28" s="302">
        <f>COUNTIF($D$4:$D$21,C28)</f>
        <v>11</v>
      </c>
    </row>
    <row r="29" spans="2:28">
      <c r="C29" s="303" t="s">
        <v>11</v>
      </c>
      <c r="D29" s="302">
        <f>COUNTIF($D$4:$D$21,C29)</f>
        <v>5</v>
      </c>
    </row>
    <row r="30" spans="2:28">
      <c r="C30" s="303" t="s">
        <v>117</v>
      </c>
      <c r="D30" s="302">
        <f>COUNTIF($D$4:$D$21,C30)</f>
        <v>1</v>
      </c>
    </row>
  </sheetData>
  <sheetProtection selectLockedCells="1"/>
  <sortState ref="C4:D20">
    <sortCondition ref="D4:D20"/>
    <sortCondition ref="C4:C20"/>
  </sortState>
  <phoneticPr fontId="0" type="noConversion"/>
  <dataValidations count="1">
    <dataValidation type="list" allowBlank="1" showInputMessage="1" showErrorMessage="1" prompt="selecteer type renner:" sqref="D4:D20">
      <formula1>type_renner</formula1>
    </dataValidation>
  </dataValidations>
  <pageMargins left="0.75" right="0.75" top="1" bottom="1" header="0.5" footer="0.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sheetPr codeName="Blad23" enableFormatConditionsCalculation="0">
    <tabColor indexed="12"/>
  </sheetPr>
  <dimension ref="A1:AB30"/>
  <sheetViews>
    <sheetView showZeros="0" workbookViewId="0">
      <selection activeCell="U22" sqref="U22"/>
    </sheetView>
  </sheetViews>
  <sheetFormatPr defaultRowHeight="12.75"/>
  <cols>
    <col min="1" max="1" width="2.7109375" style="116" customWidth="1"/>
    <col min="2" max="2" width="8.85546875" style="116" customWidth="1"/>
    <col min="3" max="4" width="13" style="121" customWidth="1"/>
    <col min="5" max="7" width="5" style="117" customWidth="1"/>
    <col min="8" max="8" width="5" style="148" customWidth="1"/>
    <col min="9" max="16" width="5" style="136" customWidth="1"/>
    <col min="17" max="17" width="5" style="134" customWidth="1"/>
    <col min="18" max="26" width="5" style="116" customWidth="1"/>
    <col min="27" max="27" width="5" style="120" customWidth="1"/>
    <col min="28" max="28" width="15" style="116" customWidth="1"/>
    <col min="29" max="16384" width="9.140625" style="116"/>
  </cols>
  <sheetData>
    <row r="1" spans="2:28">
      <c r="C1" s="273" t="s">
        <v>137</v>
      </c>
      <c r="D1" s="273"/>
      <c r="E1" s="168"/>
    </row>
    <row r="2" spans="2:28">
      <c r="C2" s="177"/>
      <c r="D2" s="177"/>
      <c r="H2" s="136"/>
    </row>
    <row r="3" spans="2:28" s="134" customFormat="1" ht="13.5" thickBot="1">
      <c r="C3" s="274" t="s">
        <v>106</v>
      </c>
      <c r="D3" s="274"/>
      <c r="E3" s="119">
        <v>1</v>
      </c>
      <c r="F3" s="119">
        <v>2</v>
      </c>
      <c r="G3" s="119">
        <v>3</v>
      </c>
      <c r="H3" s="119">
        <v>4</v>
      </c>
      <c r="I3" s="119">
        <v>5</v>
      </c>
      <c r="J3" s="119">
        <v>6</v>
      </c>
      <c r="K3" s="119">
        <v>7</v>
      </c>
      <c r="L3" s="119">
        <v>8</v>
      </c>
      <c r="M3" s="119">
        <v>9</v>
      </c>
      <c r="N3" s="119">
        <v>10</v>
      </c>
      <c r="O3" s="119">
        <v>11</v>
      </c>
      <c r="P3" s="119">
        <v>12</v>
      </c>
      <c r="Q3" s="119">
        <v>13</v>
      </c>
      <c r="R3" s="119">
        <v>14</v>
      </c>
      <c r="S3" s="119">
        <v>15</v>
      </c>
      <c r="T3" s="119">
        <v>16</v>
      </c>
      <c r="U3" s="119">
        <v>17</v>
      </c>
      <c r="V3" s="119">
        <v>18</v>
      </c>
      <c r="W3" s="119">
        <v>19</v>
      </c>
      <c r="X3" s="119">
        <v>20</v>
      </c>
      <c r="Y3" s="119">
        <v>21</v>
      </c>
      <c r="Z3" s="119" t="s">
        <v>1</v>
      </c>
      <c r="AA3" s="154"/>
    </row>
    <row r="4" spans="2:28">
      <c r="B4" s="169"/>
      <c r="C4" s="275" t="s">
        <v>134</v>
      </c>
      <c r="D4" s="276" t="s">
        <v>117</v>
      </c>
      <c r="E4" s="117">
        <f t="shared" ref="E4:N13" si="0">INDEX(scorematrix,MATCH($C4,renners,0),MATCH(E$3,etappes,0))</f>
        <v>0</v>
      </c>
      <c r="F4" s="117">
        <f t="shared" si="0"/>
        <v>0</v>
      </c>
      <c r="G4" s="117">
        <f t="shared" si="0"/>
        <v>0</v>
      </c>
      <c r="H4" s="117">
        <f t="shared" si="0"/>
        <v>22</v>
      </c>
      <c r="I4" s="117">
        <f t="shared" si="0"/>
        <v>22</v>
      </c>
      <c r="J4" s="117">
        <f t="shared" si="0"/>
        <v>19</v>
      </c>
      <c r="K4" s="117">
        <f t="shared" si="0"/>
        <v>0</v>
      </c>
      <c r="L4" s="117">
        <f t="shared" si="0"/>
        <v>0</v>
      </c>
      <c r="M4" s="117">
        <f t="shared" si="0"/>
        <v>0</v>
      </c>
      <c r="N4" s="117">
        <f t="shared" si="0"/>
        <v>0</v>
      </c>
      <c r="O4" s="117">
        <f t="shared" ref="O4:Z13" si="1">INDEX(scorematrix,MATCH($C4,renners,0),MATCH(O$3,etappes,0))</f>
        <v>0</v>
      </c>
      <c r="P4" s="117">
        <f t="shared" si="1"/>
        <v>0</v>
      </c>
      <c r="Q4" s="117">
        <f t="shared" si="1"/>
        <v>0</v>
      </c>
      <c r="R4" s="117">
        <f t="shared" si="1"/>
        <v>0</v>
      </c>
      <c r="S4" s="117">
        <f t="shared" si="1"/>
        <v>22</v>
      </c>
      <c r="T4" s="117">
        <f t="shared" si="1"/>
        <v>7</v>
      </c>
      <c r="U4" s="117">
        <f t="shared" si="1"/>
        <v>0</v>
      </c>
      <c r="V4" s="117">
        <f t="shared" si="1"/>
        <v>0</v>
      </c>
      <c r="W4" s="117">
        <f t="shared" si="1"/>
        <v>0</v>
      </c>
      <c r="X4" s="117">
        <f t="shared" si="1"/>
        <v>0</v>
      </c>
      <c r="Y4" s="117">
        <f t="shared" si="1"/>
        <v>24</v>
      </c>
      <c r="Z4" s="117">
        <f t="shared" si="1"/>
        <v>0</v>
      </c>
      <c r="AA4" s="186">
        <f t="shared" ref="AA4:AA21" si="2">SUM(E4:Z4)</f>
        <v>116</v>
      </c>
      <c r="AB4" s="116" t="str">
        <f t="shared" ref="AB4:AB19" si="3">C4</f>
        <v>Boasson Hagen</v>
      </c>
    </row>
    <row r="5" spans="2:28">
      <c r="B5" s="169"/>
      <c r="C5" s="277" t="s">
        <v>111</v>
      </c>
      <c r="D5" s="276" t="s">
        <v>117</v>
      </c>
      <c r="E5" s="117">
        <f t="shared" si="0"/>
        <v>0</v>
      </c>
      <c r="F5" s="117">
        <f t="shared" si="0"/>
        <v>0</v>
      </c>
      <c r="G5" s="117">
        <f t="shared" si="0"/>
        <v>0</v>
      </c>
      <c r="H5" s="117">
        <f t="shared" si="0"/>
        <v>0</v>
      </c>
      <c r="I5" s="117">
        <f t="shared" si="0"/>
        <v>0</v>
      </c>
      <c r="J5" s="117">
        <f t="shared" si="0"/>
        <v>0</v>
      </c>
      <c r="K5" s="117">
        <f t="shared" si="0"/>
        <v>0</v>
      </c>
      <c r="L5" s="117">
        <f t="shared" si="0"/>
        <v>0</v>
      </c>
      <c r="M5" s="117">
        <f t="shared" si="0"/>
        <v>0</v>
      </c>
      <c r="N5" s="117">
        <f t="shared" si="0"/>
        <v>0</v>
      </c>
      <c r="O5" s="117">
        <f t="shared" si="1"/>
        <v>0</v>
      </c>
      <c r="P5" s="117">
        <f t="shared" si="1"/>
        <v>0</v>
      </c>
      <c r="Q5" s="117">
        <f t="shared" si="1"/>
        <v>0</v>
      </c>
      <c r="R5" s="117">
        <f t="shared" si="1"/>
        <v>0</v>
      </c>
      <c r="S5" s="117">
        <f t="shared" si="1"/>
        <v>0</v>
      </c>
      <c r="T5" s="117">
        <f t="shared" si="1"/>
        <v>0</v>
      </c>
      <c r="U5" s="117">
        <f t="shared" si="1"/>
        <v>0</v>
      </c>
      <c r="V5" s="117">
        <f t="shared" si="1"/>
        <v>0</v>
      </c>
      <c r="W5" s="117">
        <f t="shared" si="1"/>
        <v>0</v>
      </c>
      <c r="X5" s="117">
        <f t="shared" si="1"/>
        <v>0</v>
      </c>
      <c r="Y5" s="117">
        <f t="shared" si="1"/>
        <v>0</v>
      </c>
      <c r="Z5" s="117">
        <f t="shared" si="1"/>
        <v>0</v>
      </c>
      <c r="AA5" s="186">
        <f t="shared" si="2"/>
        <v>0</v>
      </c>
      <c r="AB5" s="116" t="str">
        <f t="shared" si="3"/>
        <v>Kwiatkowski</v>
      </c>
    </row>
    <row r="6" spans="2:28">
      <c r="B6" s="169"/>
      <c r="C6" s="277" t="s">
        <v>116</v>
      </c>
      <c r="D6" s="276" t="s">
        <v>136</v>
      </c>
      <c r="E6" s="117">
        <f t="shared" si="0"/>
        <v>0</v>
      </c>
      <c r="F6" s="117">
        <f t="shared" si="0"/>
        <v>0</v>
      </c>
      <c r="G6" s="117">
        <f t="shared" si="0"/>
        <v>0</v>
      </c>
      <c r="H6" s="117">
        <f t="shared" si="0"/>
        <v>8</v>
      </c>
      <c r="I6" s="117">
        <f t="shared" si="0"/>
        <v>0</v>
      </c>
      <c r="J6" s="117">
        <f t="shared" si="0"/>
        <v>0</v>
      </c>
      <c r="K6" s="117">
        <f t="shared" si="0"/>
        <v>0</v>
      </c>
      <c r="L6" s="117">
        <f t="shared" si="0"/>
        <v>0</v>
      </c>
      <c r="M6" s="117">
        <f t="shared" si="0"/>
        <v>0</v>
      </c>
      <c r="N6" s="117">
        <f t="shared" si="0"/>
        <v>0</v>
      </c>
      <c r="O6" s="117">
        <f t="shared" si="1"/>
        <v>0</v>
      </c>
      <c r="P6" s="117">
        <f t="shared" si="1"/>
        <v>27</v>
      </c>
      <c r="Q6" s="117">
        <f t="shared" si="1"/>
        <v>1</v>
      </c>
      <c r="R6" s="117">
        <f t="shared" si="1"/>
        <v>27</v>
      </c>
      <c r="S6" s="117">
        <f t="shared" si="1"/>
        <v>1</v>
      </c>
      <c r="T6" s="117">
        <f t="shared" si="1"/>
        <v>1</v>
      </c>
      <c r="U6" s="117">
        <f t="shared" si="1"/>
        <v>0</v>
      </c>
      <c r="V6" s="117">
        <f t="shared" si="1"/>
        <v>40</v>
      </c>
      <c r="W6" s="117">
        <f t="shared" si="1"/>
        <v>29</v>
      </c>
      <c r="X6" s="117">
        <f t="shared" si="1"/>
        <v>13</v>
      </c>
      <c r="Y6" s="117">
        <f t="shared" si="1"/>
        <v>5</v>
      </c>
      <c r="Z6" s="117">
        <f t="shared" si="1"/>
        <v>39</v>
      </c>
      <c r="AA6" s="186">
        <f t="shared" si="2"/>
        <v>191</v>
      </c>
      <c r="AB6" s="116" t="str">
        <f t="shared" si="3"/>
        <v>Bardet</v>
      </c>
    </row>
    <row r="7" spans="2:28">
      <c r="B7" s="169"/>
      <c r="C7" s="277" t="s">
        <v>93</v>
      </c>
      <c r="D7" s="276" t="s">
        <v>136</v>
      </c>
      <c r="E7" s="117">
        <f t="shared" si="0"/>
        <v>0</v>
      </c>
      <c r="F7" s="117">
        <f t="shared" si="0"/>
        <v>0</v>
      </c>
      <c r="G7" s="117">
        <f t="shared" si="0"/>
        <v>0</v>
      </c>
      <c r="H7" s="117">
        <f t="shared" si="0"/>
        <v>0</v>
      </c>
      <c r="I7" s="117">
        <f t="shared" si="0"/>
        <v>0</v>
      </c>
      <c r="J7" s="117">
        <f t="shared" si="0"/>
        <v>0</v>
      </c>
      <c r="K7" s="117">
        <f t="shared" si="0"/>
        <v>0</v>
      </c>
      <c r="L7" s="117">
        <f t="shared" si="0"/>
        <v>0</v>
      </c>
      <c r="M7" s="117">
        <f t="shared" si="0"/>
        <v>0</v>
      </c>
      <c r="N7" s="117">
        <f t="shared" si="0"/>
        <v>0</v>
      </c>
      <c r="O7" s="117">
        <f t="shared" si="1"/>
        <v>0</v>
      </c>
      <c r="P7" s="117">
        <f t="shared" si="1"/>
        <v>0</v>
      </c>
      <c r="Q7" s="117">
        <f t="shared" si="1"/>
        <v>0</v>
      </c>
      <c r="R7" s="117">
        <f t="shared" si="1"/>
        <v>0</v>
      </c>
      <c r="S7" s="117">
        <f t="shared" si="1"/>
        <v>0</v>
      </c>
      <c r="T7" s="117">
        <f t="shared" si="1"/>
        <v>0</v>
      </c>
      <c r="U7" s="117">
        <f t="shared" si="1"/>
        <v>0</v>
      </c>
      <c r="V7" s="117">
        <f t="shared" si="1"/>
        <v>0</v>
      </c>
      <c r="W7" s="117">
        <f t="shared" si="1"/>
        <v>0</v>
      </c>
      <c r="X7" s="117">
        <f t="shared" si="1"/>
        <v>0</v>
      </c>
      <c r="Y7" s="117">
        <f t="shared" si="1"/>
        <v>0</v>
      </c>
      <c r="Z7" s="117">
        <f t="shared" si="1"/>
        <v>0</v>
      </c>
      <c r="AA7" s="186">
        <f t="shared" si="2"/>
        <v>0</v>
      </c>
      <c r="AB7" s="116" t="str">
        <f t="shared" si="3"/>
        <v>Costa</v>
      </c>
    </row>
    <row r="8" spans="2:28">
      <c r="B8" s="169"/>
      <c r="C8" s="277" t="s">
        <v>185</v>
      </c>
      <c r="D8" s="276" t="s">
        <v>136</v>
      </c>
      <c r="E8" s="117">
        <f t="shared" si="0"/>
        <v>0</v>
      </c>
      <c r="F8" s="117">
        <f t="shared" si="0"/>
        <v>0</v>
      </c>
      <c r="G8" s="117">
        <f t="shared" si="0"/>
        <v>24</v>
      </c>
      <c r="H8" s="117">
        <f t="shared" si="0"/>
        <v>0</v>
      </c>
      <c r="I8" s="117">
        <f t="shared" si="0"/>
        <v>0</v>
      </c>
      <c r="J8" s="117">
        <f t="shared" si="0"/>
        <v>0</v>
      </c>
      <c r="K8" s="117">
        <f t="shared" si="0"/>
        <v>0</v>
      </c>
      <c r="L8" s="117">
        <f t="shared" si="0"/>
        <v>30</v>
      </c>
      <c r="M8" s="117">
        <f t="shared" si="0"/>
        <v>0</v>
      </c>
      <c r="N8" s="117">
        <f t="shared" si="0"/>
        <v>0</v>
      </c>
      <c r="O8" s="117">
        <f t="shared" si="1"/>
        <v>30</v>
      </c>
      <c r="P8" s="117">
        <f t="shared" si="1"/>
        <v>0</v>
      </c>
      <c r="Q8" s="117">
        <f t="shared" si="1"/>
        <v>0</v>
      </c>
      <c r="R8" s="117">
        <f t="shared" si="1"/>
        <v>0</v>
      </c>
      <c r="S8" s="117">
        <f t="shared" si="1"/>
        <v>0</v>
      </c>
      <c r="T8" s="117">
        <f t="shared" si="1"/>
        <v>0</v>
      </c>
      <c r="U8" s="117">
        <f t="shared" si="1"/>
        <v>0</v>
      </c>
      <c r="V8" s="117">
        <f t="shared" si="1"/>
        <v>0</v>
      </c>
      <c r="W8" s="117">
        <f t="shared" si="1"/>
        <v>0</v>
      </c>
      <c r="X8" s="117">
        <f t="shared" si="1"/>
        <v>0</v>
      </c>
      <c r="Y8" s="117">
        <f t="shared" si="1"/>
        <v>0</v>
      </c>
      <c r="Z8" s="117">
        <f t="shared" si="1"/>
        <v>0</v>
      </c>
      <c r="AA8" s="186">
        <f t="shared" si="2"/>
        <v>84</v>
      </c>
      <c r="AB8" s="116" t="str">
        <f t="shared" si="3"/>
        <v>D.Martin</v>
      </c>
    </row>
    <row r="9" spans="2:28">
      <c r="B9" s="169"/>
      <c r="C9" s="277" t="s">
        <v>130</v>
      </c>
      <c r="D9" s="276" t="s">
        <v>136</v>
      </c>
      <c r="E9" s="117">
        <f t="shared" si="0"/>
        <v>0</v>
      </c>
      <c r="F9" s="117">
        <f t="shared" si="0"/>
        <v>0</v>
      </c>
      <c r="G9" s="117">
        <f t="shared" si="0"/>
        <v>0</v>
      </c>
      <c r="H9" s="117">
        <f t="shared" si="0"/>
        <v>0</v>
      </c>
      <c r="I9" s="117">
        <f t="shared" si="0"/>
        <v>0</v>
      </c>
      <c r="J9" s="117">
        <f t="shared" si="0"/>
        <v>7</v>
      </c>
      <c r="K9" s="117">
        <f t="shared" si="0"/>
        <v>0</v>
      </c>
      <c r="L9" s="117">
        <f t="shared" si="0"/>
        <v>0</v>
      </c>
      <c r="M9" s="117">
        <f t="shared" si="0"/>
        <v>0</v>
      </c>
      <c r="N9" s="117">
        <f t="shared" si="0"/>
        <v>0</v>
      </c>
      <c r="O9" s="117">
        <f t="shared" si="1"/>
        <v>8</v>
      </c>
      <c r="P9" s="117">
        <f t="shared" si="1"/>
        <v>0</v>
      </c>
      <c r="Q9" s="117">
        <f t="shared" si="1"/>
        <v>8</v>
      </c>
      <c r="R9" s="117">
        <f t="shared" si="1"/>
        <v>0</v>
      </c>
      <c r="S9" s="117">
        <f t="shared" si="1"/>
        <v>0</v>
      </c>
      <c r="T9" s="117">
        <f t="shared" si="1"/>
        <v>0</v>
      </c>
      <c r="U9" s="117">
        <f t="shared" si="1"/>
        <v>25</v>
      </c>
      <c r="V9" s="117">
        <f t="shared" si="1"/>
        <v>13</v>
      </c>
      <c r="W9" s="117">
        <f t="shared" si="1"/>
        <v>16</v>
      </c>
      <c r="X9" s="117">
        <f t="shared" si="1"/>
        <v>3</v>
      </c>
      <c r="Y9" s="117">
        <f t="shared" si="1"/>
        <v>3</v>
      </c>
      <c r="Z9" s="117">
        <f t="shared" si="1"/>
        <v>36</v>
      </c>
      <c r="AA9" s="186">
        <f t="shared" si="2"/>
        <v>119</v>
      </c>
      <c r="AB9" s="116" t="str">
        <f t="shared" si="3"/>
        <v>Frank</v>
      </c>
    </row>
    <row r="10" spans="2:28">
      <c r="B10" s="169"/>
      <c r="C10" s="277" t="s">
        <v>92</v>
      </c>
      <c r="D10" s="276" t="s">
        <v>136</v>
      </c>
      <c r="E10" s="117">
        <f t="shared" si="0"/>
        <v>0</v>
      </c>
      <c r="F10" s="117">
        <f t="shared" si="0"/>
        <v>0</v>
      </c>
      <c r="G10" s="117">
        <f t="shared" si="0"/>
        <v>0</v>
      </c>
      <c r="H10" s="117">
        <f t="shared" si="0"/>
        <v>0</v>
      </c>
      <c r="I10" s="117">
        <f t="shared" si="0"/>
        <v>0</v>
      </c>
      <c r="J10" s="117">
        <f t="shared" si="0"/>
        <v>0</v>
      </c>
      <c r="K10" s="117">
        <f t="shared" si="0"/>
        <v>0</v>
      </c>
      <c r="L10" s="117">
        <f t="shared" si="0"/>
        <v>0</v>
      </c>
      <c r="M10" s="117">
        <f t="shared" si="0"/>
        <v>0</v>
      </c>
      <c r="N10" s="117">
        <f t="shared" si="0"/>
        <v>13</v>
      </c>
      <c r="O10" s="117">
        <f t="shared" si="1"/>
        <v>0</v>
      </c>
      <c r="P10" s="117">
        <f t="shared" si="1"/>
        <v>33</v>
      </c>
      <c r="Q10" s="117">
        <f t="shared" si="1"/>
        <v>3</v>
      </c>
      <c r="R10" s="117">
        <f t="shared" si="1"/>
        <v>3</v>
      </c>
      <c r="S10" s="117">
        <f t="shared" si="1"/>
        <v>3</v>
      </c>
      <c r="T10" s="117">
        <f t="shared" si="1"/>
        <v>3</v>
      </c>
      <c r="U10" s="117">
        <f t="shared" si="1"/>
        <v>3</v>
      </c>
      <c r="V10" s="117">
        <f t="shared" si="1"/>
        <v>25</v>
      </c>
      <c r="W10" s="117">
        <f t="shared" si="1"/>
        <v>2</v>
      </c>
      <c r="X10" s="117">
        <f t="shared" si="1"/>
        <v>0</v>
      </c>
      <c r="Y10" s="117">
        <f t="shared" si="1"/>
        <v>0</v>
      </c>
      <c r="Z10" s="117">
        <f t="shared" si="1"/>
        <v>0</v>
      </c>
      <c r="AA10" s="186">
        <f t="shared" si="2"/>
        <v>88</v>
      </c>
      <c r="AB10" s="116" t="str">
        <f t="shared" si="3"/>
        <v>Fuglsang</v>
      </c>
    </row>
    <row r="11" spans="2:28">
      <c r="B11" s="169"/>
      <c r="C11" s="277" t="s">
        <v>131</v>
      </c>
      <c r="D11" s="276" t="s">
        <v>136</v>
      </c>
      <c r="E11" s="117">
        <f t="shared" si="0"/>
        <v>15</v>
      </c>
      <c r="F11" s="117">
        <f t="shared" si="0"/>
        <v>0</v>
      </c>
      <c r="G11" s="117">
        <f t="shared" si="0"/>
        <v>12</v>
      </c>
      <c r="H11" s="117">
        <f t="shared" si="0"/>
        <v>12</v>
      </c>
      <c r="I11" s="117">
        <f t="shared" si="0"/>
        <v>0</v>
      </c>
      <c r="J11" s="117">
        <f t="shared" si="0"/>
        <v>14</v>
      </c>
      <c r="K11" s="117">
        <f t="shared" si="0"/>
        <v>0</v>
      </c>
      <c r="L11" s="117">
        <f t="shared" si="0"/>
        <v>7</v>
      </c>
      <c r="M11" s="117">
        <f t="shared" si="0"/>
        <v>0</v>
      </c>
      <c r="N11" s="117">
        <f t="shared" si="0"/>
        <v>29</v>
      </c>
      <c r="O11" s="117">
        <f t="shared" si="1"/>
        <v>15</v>
      </c>
      <c r="P11" s="117">
        <f t="shared" si="1"/>
        <v>12</v>
      </c>
      <c r="Q11" s="117">
        <f t="shared" si="1"/>
        <v>17</v>
      </c>
      <c r="R11" s="117">
        <f t="shared" si="1"/>
        <v>4</v>
      </c>
      <c r="S11" s="117">
        <f t="shared" si="1"/>
        <v>4</v>
      </c>
      <c r="T11" s="117">
        <f t="shared" si="1"/>
        <v>4</v>
      </c>
      <c r="U11" s="117">
        <f t="shared" si="1"/>
        <v>5</v>
      </c>
      <c r="V11" s="117">
        <f t="shared" si="1"/>
        <v>20</v>
      </c>
      <c r="W11" s="117">
        <f t="shared" si="1"/>
        <v>23</v>
      </c>
      <c r="X11" s="117">
        <f t="shared" si="1"/>
        <v>11</v>
      </c>
      <c r="Y11" s="117">
        <f t="shared" si="1"/>
        <v>5</v>
      </c>
      <c r="Z11" s="117">
        <f t="shared" si="1"/>
        <v>40</v>
      </c>
      <c r="AA11" s="186">
        <f t="shared" si="2"/>
        <v>249</v>
      </c>
      <c r="AB11" s="116" t="str">
        <f t="shared" si="3"/>
        <v>Gesink</v>
      </c>
    </row>
    <row r="12" spans="2:28">
      <c r="B12" s="169"/>
      <c r="C12" s="277" t="s">
        <v>132</v>
      </c>
      <c r="D12" s="276" t="s">
        <v>136</v>
      </c>
      <c r="E12" s="117">
        <f t="shared" si="0"/>
        <v>19</v>
      </c>
      <c r="F12" s="117">
        <f t="shared" si="0"/>
        <v>0</v>
      </c>
      <c r="G12" s="117">
        <f t="shared" si="0"/>
        <v>0</v>
      </c>
      <c r="H12" s="117">
        <f t="shared" si="0"/>
        <v>0</v>
      </c>
      <c r="I12" s="117">
        <f t="shared" si="0"/>
        <v>0</v>
      </c>
      <c r="J12" s="117">
        <f t="shared" si="0"/>
        <v>0</v>
      </c>
      <c r="K12" s="117">
        <f t="shared" si="0"/>
        <v>0</v>
      </c>
      <c r="L12" s="117">
        <f t="shared" si="0"/>
        <v>0</v>
      </c>
      <c r="M12" s="117">
        <f t="shared" si="0"/>
        <v>0</v>
      </c>
      <c r="N12" s="117">
        <f t="shared" si="0"/>
        <v>0</v>
      </c>
      <c r="O12" s="117">
        <f t="shared" si="1"/>
        <v>0</v>
      </c>
      <c r="P12" s="117">
        <f t="shared" si="1"/>
        <v>0</v>
      </c>
      <c r="Q12" s="117">
        <f t="shared" si="1"/>
        <v>6</v>
      </c>
      <c r="R12" s="117">
        <f t="shared" si="1"/>
        <v>0</v>
      </c>
      <c r="S12" s="117">
        <f t="shared" si="1"/>
        <v>0</v>
      </c>
      <c r="T12" s="117">
        <f t="shared" si="1"/>
        <v>0</v>
      </c>
      <c r="U12" s="117">
        <f t="shared" si="1"/>
        <v>0</v>
      </c>
      <c r="V12" s="117">
        <f t="shared" si="1"/>
        <v>0</v>
      </c>
      <c r="W12" s="117">
        <f t="shared" si="1"/>
        <v>0</v>
      </c>
      <c r="X12" s="117">
        <f t="shared" si="1"/>
        <v>0</v>
      </c>
      <c r="Y12" s="117">
        <f t="shared" si="1"/>
        <v>0</v>
      </c>
      <c r="Z12" s="117">
        <f t="shared" si="1"/>
        <v>0</v>
      </c>
      <c r="AA12" s="186">
        <f t="shared" si="2"/>
        <v>25</v>
      </c>
      <c r="AB12" s="116" t="str">
        <f t="shared" si="3"/>
        <v>Kelderman</v>
      </c>
    </row>
    <row r="13" spans="2:28">
      <c r="B13" s="169"/>
      <c r="C13" s="277" t="s">
        <v>133</v>
      </c>
      <c r="D13" s="276" t="s">
        <v>136</v>
      </c>
      <c r="E13" s="117">
        <f t="shared" si="0"/>
        <v>0</v>
      </c>
      <c r="F13" s="117">
        <f t="shared" si="0"/>
        <v>0</v>
      </c>
      <c r="G13" s="117">
        <f t="shared" si="0"/>
        <v>0</v>
      </c>
      <c r="H13" s="117">
        <f t="shared" si="0"/>
        <v>0</v>
      </c>
      <c r="I13" s="117">
        <f t="shared" si="0"/>
        <v>0</v>
      </c>
      <c r="J13" s="117">
        <f t="shared" si="0"/>
        <v>0</v>
      </c>
      <c r="K13" s="117">
        <f t="shared" si="0"/>
        <v>0</v>
      </c>
      <c r="L13" s="117">
        <f t="shared" si="0"/>
        <v>0</v>
      </c>
      <c r="M13" s="117">
        <f t="shared" si="0"/>
        <v>0</v>
      </c>
      <c r="N13" s="117">
        <f t="shared" si="0"/>
        <v>0</v>
      </c>
      <c r="O13" s="117">
        <f t="shared" si="1"/>
        <v>0</v>
      </c>
      <c r="P13" s="117">
        <f t="shared" si="1"/>
        <v>0</v>
      </c>
      <c r="Q13" s="117">
        <f t="shared" si="1"/>
        <v>0</v>
      </c>
      <c r="R13" s="117">
        <f t="shared" si="1"/>
        <v>0</v>
      </c>
      <c r="S13" s="117">
        <f t="shared" si="1"/>
        <v>0</v>
      </c>
      <c r="T13" s="117">
        <f t="shared" si="1"/>
        <v>0</v>
      </c>
      <c r="U13" s="117">
        <f t="shared" si="1"/>
        <v>0</v>
      </c>
      <c r="V13" s="117">
        <f t="shared" si="1"/>
        <v>0</v>
      </c>
      <c r="W13" s="117">
        <f t="shared" si="1"/>
        <v>0</v>
      </c>
      <c r="X13" s="117">
        <f t="shared" si="1"/>
        <v>0</v>
      </c>
      <c r="Y13" s="117">
        <f t="shared" si="1"/>
        <v>0</v>
      </c>
      <c r="Z13" s="117">
        <f t="shared" si="1"/>
        <v>0</v>
      </c>
      <c r="AA13" s="186">
        <f t="shared" si="2"/>
        <v>0</v>
      </c>
      <c r="AB13" s="116" t="str">
        <f t="shared" si="3"/>
        <v>Konig</v>
      </c>
    </row>
    <row r="14" spans="2:28">
      <c r="B14" s="169"/>
      <c r="C14" s="277" t="s">
        <v>55</v>
      </c>
      <c r="D14" s="276" t="s">
        <v>136</v>
      </c>
      <c r="E14" s="117">
        <f t="shared" ref="E14:N20" si="4">INDEX(scorematrix,MATCH($C14,renners,0),MATCH(E$3,etappes,0))</f>
        <v>12</v>
      </c>
      <c r="F14" s="117">
        <f t="shared" si="4"/>
        <v>0</v>
      </c>
      <c r="G14" s="117">
        <f t="shared" si="4"/>
        <v>16</v>
      </c>
      <c r="H14" s="117">
        <f t="shared" si="4"/>
        <v>10</v>
      </c>
      <c r="I14" s="117">
        <f t="shared" si="4"/>
        <v>0</v>
      </c>
      <c r="J14" s="117">
        <f t="shared" si="4"/>
        <v>0</v>
      </c>
      <c r="K14" s="117">
        <f t="shared" si="4"/>
        <v>0</v>
      </c>
      <c r="L14" s="117">
        <f t="shared" si="4"/>
        <v>18</v>
      </c>
      <c r="M14" s="117">
        <f t="shared" si="4"/>
        <v>0</v>
      </c>
      <c r="N14" s="117">
        <f t="shared" si="4"/>
        <v>9</v>
      </c>
      <c r="O14" s="117">
        <f t="shared" ref="O14:Z20" si="5">INDEX(scorematrix,MATCH($C14,renners,0),MATCH(O$3,etappes,0))</f>
        <v>20</v>
      </c>
      <c r="P14" s="117">
        <f t="shared" si="5"/>
        <v>8</v>
      </c>
      <c r="Q14" s="117">
        <f t="shared" si="5"/>
        <v>1</v>
      </c>
      <c r="R14" s="117">
        <f t="shared" si="5"/>
        <v>1</v>
      </c>
      <c r="S14" s="117">
        <f t="shared" si="5"/>
        <v>1</v>
      </c>
      <c r="T14" s="117">
        <f t="shared" si="5"/>
        <v>2</v>
      </c>
      <c r="U14" s="117">
        <f t="shared" si="5"/>
        <v>2</v>
      </c>
      <c r="V14" s="117">
        <f t="shared" si="5"/>
        <v>2</v>
      </c>
      <c r="W14" s="117">
        <f t="shared" si="5"/>
        <v>22</v>
      </c>
      <c r="X14" s="117">
        <f t="shared" si="5"/>
        <v>16</v>
      </c>
      <c r="Y14" s="117">
        <f t="shared" si="5"/>
        <v>4</v>
      </c>
      <c r="Z14" s="117">
        <f t="shared" si="5"/>
        <v>38</v>
      </c>
      <c r="AA14" s="186">
        <f t="shared" si="2"/>
        <v>182</v>
      </c>
      <c r="AB14" s="116" t="str">
        <f t="shared" si="3"/>
        <v>Mollema</v>
      </c>
    </row>
    <row r="15" spans="2:28">
      <c r="B15" s="169"/>
      <c r="C15" s="277" t="s">
        <v>90</v>
      </c>
      <c r="D15" s="276" t="s">
        <v>136</v>
      </c>
      <c r="E15" s="117">
        <f t="shared" si="4"/>
        <v>8</v>
      </c>
      <c r="F15" s="117">
        <f t="shared" si="4"/>
        <v>0</v>
      </c>
      <c r="G15" s="117">
        <f t="shared" si="4"/>
        <v>0</v>
      </c>
      <c r="H15" s="117">
        <f t="shared" si="4"/>
        <v>0</v>
      </c>
      <c r="I15" s="117">
        <f t="shared" si="4"/>
        <v>0</v>
      </c>
      <c r="J15" s="117">
        <f t="shared" si="4"/>
        <v>0</v>
      </c>
      <c r="K15" s="117">
        <f t="shared" si="4"/>
        <v>0</v>
      </c>
      <c r="L15" s="117">
        <f t="shared" si="4"/>
        <v>0</v>
      </c>
      <c r="M15" s="117">
        <f t="shared" si="4"/>
        <v>0</v>
      </c>
      <c r="N15" s="117">
        <f t="shared" si="4"/>
        <v>0</v>
      </c>
      <c r="O15" s="117">
        <f t="shared" si="5"/>
        <v>0</v>
      </c>
      <c r="P15" s="117">
        <f t="shared" si="5"/>
        <v>14</v>
      </c>
      <c r="Q15" s="117">
        <f t="shared" si="5"/>
        <v>0</v>
      </c>
      <c r="R15" s="117">
        <f t="shared" si="5"/>
        <v>30</v>
      </c>
      <c r="S15" s="117">
        <f t="shared" si="5"/>
        <v>0</v>
      </c>
      <c r="T15" s="117">
        <f t="shared" si="5"/>
        <v>0</v>
      </c>
      <c r="U15" s="117">
        <f t="shared" si="5"/>
        <v>24</v>
      </c>
      <c r="V15" s="117">
        <f t="shared" si="5"/>
        <v>0</v>
      </c>
      <c r="W15" s="117">
        <f t="shared" si="5"/>
        <v>24</v>
      </c>
      <c r="X15" s="117">
        <f t="shared" si="5"/>
        <v>37</v>
      </c>
      <c r="Y15" s="117">
        <f t="shared" si="5"/>
        <v>2</v>
      </c>
      <c r="Z15" s="117">
        <f t="shared" si="5"/>
        <v>23</v>
      </c>
      <c r="AA15" s="186">
        <f t="shared" si="2"/>
        <v>162</v>
      </c>
      <c r="AB15" s="116" t="str">
        <f t="shared" si="3"/>
        <v>Pinot</v>
      </c>
    </row>
    <row r="16" spans="2:28">
      <c r="B16" s="169"/>
      <c r="C16" s="277" t="s">
        <v>98</v>
      </c>
      <c r="D16" s="276" t="s">
        <v>136</v>
      </c>
      <c r="E16" s="117">
        <f t="shared" si="4"/>
        <v>0</v>
      </c>
      <c r="F16" s="117">
        <f t="shared" si="4"/>
        <v>0</v>
      </c>
      <c r="G16" s="117">
        <f t="shared" si="4"/>
        <v>0</v>
      </c>
      <c r="H16" s="117">
        <f t="shared" si="4"/>
        <v>0</v>
      </c>
      <c r="I16" s="117">
        <f t="shared" si="4"/>
        <v>0</v>
      </c>
      <c r="J16" s="117">
        <f t="shared" si="4"/>
        <v>6</v>
      </c>
      <c r="K16" s="117">
        <f t="shared" si="4"/>
        <v>0</v>
      </c>
      <c r="L16" s="117">
        <f t="shared" si="4"/>
        <v>0</v>
      </c>
      <c r="M16" s="117">
        <f t="shared" si="4"/>
        <v>0</v>
      </c>
      <c r="N16" s="117">
        <f t="shared" si="4"/>
        <v>0</v>
      </c>
      <c r="O16" s="117">
        <f t="shared" si="5"/>
        <v>6</v>
      </c>
      <c r="P16" s="117">
        <f t="shared" si="5"/>
        <v>0</v>
      </c>
      <c r="Q16" s="117">
        <f t="shared" si="5"/>
        <v>0</v>
      </c>
      <c r="R16" s="117">
        <f t="shared" si="5"/>
        <v>0</v>
      </c>
      <c r="S16" s="117">
        <f t="shared" si="5"/>
        <v>0</v>
      </c>
      <c r="T16" s="117">
        <f t="shared" si="5"/>
        <v>0</v>
      </c>
      <c r="U16" s="117">
        <f t="shared" si="5"/>
        <v>30</v>
      </c>
      <c r="V16" s="117">
        <f t="shared" si="5"/>
        <v>17</v>
      </c>
      <c r="W16" s="117">
        <f t="shared" si="5"/>
        <v>14</v>
      </c>
      <c r="X16" s="117">
        <f t="shared" si="5"/>
        <v>0</v>
      </c>
      <c r="Y16" s="117">
        <f t="shared" si="5"/>
        <v>0</v>
      </c>
      <c r="Z16" s="117">
        <f t="shared" si="5"/>
        <v>30</v>
      </c>
      <c r="AA16" s="186">
        <f t="shared" si="2"/>
        <v>103</v>
      </c>
      <c r="AB16" s="116" t="str">
        <f t="shared" si="3"/>
        <v>Talansky</v>
      </c>
    </row>
    <row r="17" spans="1:28">
      <c r="B17" s="169"/>
      <c r="C17" s="277" t="s">
        <v>76</v>
      </c>
      <c r="D17" s="276" t="s">
        <v>136</v>
      </c>
      <c r="E17" s="117">
        <f t="shared" si="4"/>
        <v>0</v>
      </c>
      <c r="F17" s="117">
        <f t="shared" si="4"/>
        <v>0</v>
      </c>
      <c r="G17" s="117">
        <f t="shared" si="4"/>
        <v>15</v>
      </c>
      <c r="H17" s="117">
        <f t="shared" si="4"/>
        <v>15</v>
      </c>
      <c r="I17" s="117">
        <f t="shared" si="4"/>
        <v>0</v>
      </c>
      <c r="J17" s="117">
        <f t="shared" si="4"/>
        <v>11</v>
      </c>
      <c r="K17" s="117">
        <f t="shared" si="4"/>
        <v>0</v>
      </c>
      <c r="L17" s="117">
        <f t="shared" si="4"/>
        <v>26</v>
      </c>
      <c r="M17" s="117">
        <f t="shared" si="4"/>
        <v>0</v>
      </c>
      <c r="N17" s="117">
        <f t="shared" si="4"/>
        <v>30</v>
      </c>
      <c r="O17" s="117">
        <f t="shared" si="5"/>
        <v>25</v>
      </c>
      <c r="P17" s="117">
        <f t="shared" si="5"/>
        <v>24</v>
      </c>
      <c r="Q17" s="117">
        <f t="shared" si="5"/>
        <v>24</v>
      </c>
      <c r="R17" s="117">
        <f t="shared" si="5"/>
        <v>7</v>
      </c>
      <c r="S17" s="117">
        <f t="shared" si="5"/>
        <v>7</v>
      </c>
      <c r="T17" s="117">
        <f t="shared" si="5"/>
        <v>7</v>
      </c>
      <c r="U17" s="117">
        <f t="shared" si="5"/>
        <v>8</v>
      </c>
      <c r="V17" s="117">
        <f t="shared" si="5"/>
        <v>21</v>
      </c>
      <c r="W17" s="117">
        <f t="shared" si="5"/>
        <v>28</v>
      </c>
      <c r="X17" s="117">
        <f t="shared" si="5"/>
        <v>32</v>
      </c>
      <c r="Y17" s="117">
        <f t="shared" si="5"/>
        <v>8</v>
      </c>
      <c r="Z17" s="117">
        <f t="shared" si="5"/>
        <v>52</v>
      </c>
      <c r="AA17" s="186">
        <f t="shared" si="2"/>
        <v>340</v>
      </c>
      <c r="AB17" s="116" t="str">
        <f t="shared" si="3"/>
        <v>Valverde</v>
      </c>
    </row>
    <row r="18" spans="1:28">
      <c r="B18" s="169"/>
      <c r="C18" s="277" t="s">
        <v>95</v>
      </c>
      <c r="D18" s="276" t="s">
        <v>136</v>
      </c>
      <c r="E18" s="117">
        <f t="shared" si="4"/>
        <v>6</v>
      </c>
      <c r="F18" s="117">
        <f t="shared" si="4"/>
        <v>18</v>
      </c>
      <c r="G18" s="117">
        <f t="shared" si="4"/>
        <v>28</v>
      </c>
      <c r="H18" s="117">
        <f t="shared" si="4"/>
        <v>8</v>
      </c>
      <c r="I18" s="117">
        <f t="shared" si="4"/>
        <v>8</v>
      </c>
      <c r="J18" s="117">
        <f t="shared" si="4"/>
        <v>8</v>
      </c>
      <c r="K18" s="117">
        <f t="shared" si="4"/>
        <v>8</v>
      </c>
      <c r="L18" s="117">
        <f t="shared" si="4"/>
        <v>24</v>
      </c>
      <c r="M18" s="117">
        <f t="shared" si="4"/>
        <v>0.1</v>
      </c>
      <c r="N18" s="117">
        <f t="shared" si="4"/>
        <v>25</v>
      </c>
      <c r="O18" s="117">
        <f t="shared" si="5"/>
        <v>22</v>
      </c>
      <c r="P18" s="117">
        <f t="shared" si="5"/>
        <v>22</v>
      </c>
      <c r="Q18" s="117">
        <f t="shared" si="5"/>
        <v>25</v>
      </c>
      <c r="R18" s="117">
        <f t="shared" si="5"/>
        <v>8</v>
      </c>
      <c r="S18" s="117">
        <f t="shared" si="5"/>
        <v>8</v>
      </c>
      <c r="T18" s="117">
        <f t="shared" si="5"/>
        <v>8</v>
      </c>
      <c r="U18" s="117">
        <f t="shared" si="5"/>
        <v>0</v>
      </c>
      <c r="V18" s="117">
        <f t="shared" si="5"/>
        <v>0</v>
      </c>
      <c r="W18" s="117">
        <f t="shared" si="5"/>
        <v>0</v>
      </c>
      <c r="X18" s="117">
        <f t="shared" si="5"/>
        <v>0</v>
      </c>
      <c r="Y18" s="117">
        <f t="shared" si="5"/>
        <v>0</v>
      </c>
      <c r="Z18" s="117">
        <f t="shared" si="5"/>
        <v>0</v>
      </c>
      <c r="AA18" s="186">
        <f t="shared" si="2"/>
        <v>226.1</v>
      </c>
      <c r="AB18" s="116" t="str">
        <f t="shared" si="3"/>
        <v>van Garderen</v>
      </c>
    </row>
    <row r="19" spans="1:28" s="170" customFormat="1">
      <c r="B19" s="169"/>
      <c r="C19" s="277" t="s">
        <v>97</v>
      </c>
      <c r="D19" s="276" t="s">
        <v>11</v>
      </c>
      <c r="E19" s="117">
        <f t="shared" si="4"/>
        <v>0</v>
      </c>
      <c r="F19" s="117">
        <f t="shared" si="4"/>
        <v>0</v>
      </c>
      <c r="G19" s="117">
        <f t="shared" si="4"/>
        <v>0</v>
      </c>
      <c r="H19" s="117">
        <f t="shared" si="4"/>
        <v>0</v>
      </c>
      <c r="I19" s="117">
        <f t="shared" si="4"/>
        <v>24</v>
      </c>
      <c r="J19" s="117">
        <f t="shared" si="4"/>
        <v>15</v>
      </c>
      <c r="K19" s="117">
        <f t="shared" si="4"/>
        <v>22</v>
      </c>
      <c r="L19" s="117">
        <f t="shared" si="4"/>
        <v>0</v>
      </c>
      <c r="M19" s="117">
        <f t="shared" si="4"/>
        <v>0</v>
      </c>
      <c r="N19" s="117">
        <f t="shared" si="4"/>
        <v>0</v>
      </c>
      <c r="O19" s="117">
        <f t="shared" si="5"/>
        <v>0</v>
      </c>
      <c r="P19" s="117">
        <f t="shared" si="5"/>
        <v>0</v>
      </c>
      <c r="Q19" s="117">
        <f t="shared" si="5"/>
        <v>0</v>
      </c>
      <c r="R19" s="117">
        <f t="shared" si="5"/>
        <v>0</v>
      </c>
      <c r="S19" s="117">
        <f t="shared" si="5"/>
        <v>26</v>
      </c>
      <c r="T19" s="117">
        <f t="shared" si="5"/>
        <v>0</v>
      </c>
      <c r="U19" s="117">
        <f t="shared" si="5"/>
        <v>0</v>
      </c>
      <c r="V19" s="117">
        <f t="shared" si="5"/>
        <v>0</v>
      </c>
      <c r="W19" s="117">
        <f t="shared" si="5"/>
        <v>0</v>
      </c>
      <c r="X19" s="117">
        <f t="shared" si="5"/>
        <v>0</v>
      </c>
      <c r="Y19" s="117">
        <f t="shared" si="5"/>
        <v>26</v>
      </c>
      <c r="Z19" s="117">
        <f t="shared" si="5"/>
        <v>0</v>
      </c>
      <c r="AA19" s="186">
        <f t="shared" si="2"/>
        <v>113</v>
      </c>
      <c r="AB19" s="116" t="str">
        <f t="shared" si="3"/>
        <v>Kristoff</v>
      </c>
    </row>
    <row r="20" spans="1:28" ht="13.5" thickBot="1">
      <c r="B20" s="169"/>
      <c r="C20" s="289" t="s">
        <v>74</v>
      </c>
      <c r="D20" s="276" t="s">
        <v>11</v>
      </c>
      <c r="E20" s="117">
        <f t="shared" si="4"/>
        <v>7</v>
      </c>
      <c r="F20" s="117">
        <f t="shared" si="4"/>
        <v>41</v>
      </c>
      <c r="G20" s="117">
        <f t="shared" si="4"/>
        <v>9</v>
      </c>
      <c r="H20" s="117">
        <f t="shared" si="4"/>
        <v>36</v>
      </c>
      <c r="I20" s="117">
        <f t="shared" si="4"/>
        <v>41</v>
      </c>
      <c r="J20" s="117">
        <f t="shared" si="4"/>
        <v>41</v>
      </c>
      <c r="K20" s="117">
        <f t="shared" si="4"/>
        <v>39</v>
      </c>
      <c r="L20" s="117">
        <f t="shared" si="4"/>
        <v>38</v>
      </c>
      <c r="M20" s="117">
        <f t="shared" si="4"/>
        <v>0</v>
      </c>
      <c r="N20" s="117">
        <f t="shared" si="4"/>
        <v>4</v>
      </c>
      <c r="O20" s="117">
        <f t="shared" si="5"/>
        <v>5</v>
      </c>
      <c r="P20" s="117">
        <f t="shared" si="5"/>
        <v>5</v>
      </c>
      <c r="Q20" s="117">
        <f t="shared" si="5"/>
        <v>35</v>
      </c>
      <c r="R20" s="117">
        <f t="shared" si="5"/>
        <v>27</v>
      </c>
      <c r="S20" s="117">
        <f t="shared" si="5"/>
        <v>29</v>
      </c>
      <c r="T20" s="117">
        <f t="shared" si="5"/>
        <v>35</v>
      </c>
      <c r="U20" s="117">
        <f t="shared" si="5"/>
        <v>5</v>
      </c>
      <c r="V20" s="117">
        <f t="shared" si="5"/>
        <v>5</v>
      </c>
      <c r="W20" s="117">
        <f t="shared" si="5"/>
        <v>5</v>
      </c>
      <c r="X20" s="117">
        <f t="shared" si="5"/>
        <v>5</v>
      </c>
      <c r="Y20" s="117">
        <f t="shared" si="5"/>
        <v>24</v>
      </c>
      <c r="Z20" s="117">
        <f t="shared" si="5"/>
        <v>10</v>
      </c>
      <c r="AA20" s="186">
        <f t="shared" si="2"/>
        <v>446</v>
      </c>
      <c r="AB20" s="116" t="str">
        <f>C20</f>
        <v>Sagan</v>
      </c>
    </row>
    <row r="21" spans="1:28" s="171" customFormat="1">
      <c r="C21" s="278"/>
      <c r="D21" s="178"/>
      <c r="E21" s="180"/>
      <c r="F21" s="180"/>
      <c r="G21" s="180"/>
      <c r="H21" s="180"/>
      <c r="I21" s="180">
        <f>I25+I26</f>
        <v>46</v>
      </c>
      <c r="J21" s="180"/>
      <c r="K21" s="180"/>
      <c r="L21" s="180"/>
      <c r="M21" s="180"/>
      <c r="N21" s="180"/>
      <c r="O21" s="180"/>
      <c r="P21" s="180"/>
      <c r="Q21" s="180"/>
      <c r="R21" s="180"/>
      <c r="S21" s="180"/>
      <c r="T21" s="180"/>
      <c r="U21" s="180">
        <f>U24</f>
        <v>0</v>
      </c>
      <c r="V21" s="180"/>
      <c r="W21" s="180"/>
      <c r="X21" s="180"/>
      <c r="Y21" s="180"/>
      <c r="Z21" s="180"/>
      <c r="AA21" s="235">
        <f t="shared" si="2"/>
        <v>46</v>
      </c>
    </row>
    <row r="22" spans="1:28" s="120" customFormat="1">
      <c r="C22" s="179"/>
      <c r="D22" s="179"/>
      <c r="E22" s="172">
        <f t="shared" ref="E22:AA22" si="6">SUM(E4:E21)</f>
        <v>67</v>
      </c>
      <c r="F22" s="172">
        <f t="shared" ref="F22" si="7">SUM(F4:F21)</f>
        <v>59</v>
      </c>
      <c r="G22" s="172">
        <f>SUM(G4:G21)</f>
        <v>104</v>
      </c>
      <c r="H22" s="172">
        <f t="shared" si="6"/>
        <v>111</v>
      </c>
      <c r="I22" s="172">
        <f t="shared" si="6"/>
        <v>141</v>
      </c>
      <c r="J22" s="172">
        <f t="shared" si="6"/>
        <v>121</v>
      </c>
      <c r="K22" s="172">
        <f t="shared" si="6"/>
        <v>69</v>
      </c>
      <c r="L22" s="172">
        <f t="shared" si="6"/>
        <v>143</v>
      </c>
      <c r="M22" s="172">
        <f t="shared" si="6"/>
        <v>0.1</v>
      </c>
      <c r="N22" s="172">
        <f t="shared" si="6"/>
        <v>110</v>
      </c>
      <c r="O22" s="172">
        <f t="shared" si="6"/>
        <v>131</v>
      </c>
      <c r="P22" s="172">
        <f t="shared" si="6"/>
        <v>145</v>
      </c>
      <c r="Q22" s="172">
        <f t="shared" si="6"/>
        <v>120</v>
      </c>
      <c r="R22" s="172">
        <f t="shared" si="6"/>
        <v>107</v>
      </c>
      <c r="S22" s="172">
        <f t="shared" si="6"/>
        <v>101</v>
      </c>
      <c r="T22" s="172">
        <f t="shared" si="6"/>
        <v>67</v>
      </c>
      <c r="U22" s="172">
        <f t="shared" si="6"/>
        <v>102</v>
      </c>
      <c r="V22" s="172">
        <f t="shared" si="6"/>
        <v>143</v>
      </c>
      <c r="W22" s="172">
        <f t="shared" si="6"/>
        <v>163</v>
      </c>
      <c r="X22" s="172">
        <f t="shared" si="6"/>
        <v>117</v>
      </c>
      <c r="Y22" s="172">
        <f t="shared" si="6"/>
        <v>101</v>
      </c>
      <c r="Z22" s="172">
        <f t="shared" si="6"/>
        <v>268</v>
      </c>
      <c r="AA22" s="236">
        <f t="shared" si="6"/>
        <v>2490.1</v>
      </c>
    </row>
    <row r="23" spans="1:28" s="173" customFormat="1">
      <c r="A23" s="300" t="s">
        <v>189</v>
      </c>
      <c r="B23" s="213"/>
      <c r="C23" s="176"/>
      <c r="D23" s="176"/>
      <c r="E23" s="151"/>
      <c r="F23" s="151"/>
      <c r="G23" s="151"/>
      <c r="H23" s="174"/>
      <c r="I23" s="151"/>
      <c r="J23" s="151"/>
      <c r="K23" s="151"/>
      <c r="L23" s="151"/>
      <c r="M23" s="151"/>
      <c r="N23" s="151"/>
      <c r="O23" s="151"/>
      <c r="P23" s="151"/>
      <c r="Q23" s="151"/>
      <c r="R23" s="151"/>
      <c r="S23" s="151"/>
      <c r="T23" s="151"/>
      <c r="U23" s="151"/>
      <c r="V23" s="151"/>
      <c r="W23" s="151"/>
      <c r="X23" s="151"/>
      <c r="Y23" s="151"/>
      <c r="Z23" s="151"/>
      <c r="AA23" s="237"/>
    </row>
    <row r="24" spans="1:28" s="175" customFormat="1">
      <c r="B24" s="169"/>
      <c r="C24" s="279" t="s">
        <v>135</v>
      </c>
      <c r="D24" s="279"/>
      <c r="E24" s="193">
        <f t="shared" ref="E24:Z26" si="8">INDEX(scorematrix,MATCH($C24,renners,0),MATCH(E$3,etappes,0))</f>
        <v>0</v>
      </c>
      <c r="F24" s="193">
        <f t="shared" si="8"/>
        <v>0</v>
      </c>
      <c r="G24" s="193">
        <f t="shared" si="8"/>
        <v>13</v>
      </c>
      <c r="H24" s="193">
        <f t="shared" si="8"/>
        <v>0</v>
      </c>
      <c r="I24" s="193">
        <f t="shared" si="8"/>
        <v>0</v>
      </c>
      <c r="J24" s="193">
        <f t="shared" si="8"/>
        <v>0</v>
      </c>
      <c r="K24" s="193">
        <f t="shared" si="8"/>
        <v>0</v>
      </c>
      <c r="L24" s="193">
        <f t="shared" si="8"/>
        <v>15</v>
      </c>
      <c r="M24" s="193">
        <f t="shared" si="8"/>
        <v>0</v>
      </c>
      <c r="N24" s="193">
        <f t="shared" si="8"/>
        <v>0</v>
      </c>
      <c r="O24" s="193">
        <f t="shared" si="8"/>
        <v>0</v>
      </c>
      <c r="P24" s="193">
        <f t="shared" si="8"/>
        <v>0</v>
      </c>
      <c r="Q24" s="193">
        <f t="shared" si="8"/>
        <v>0</v>
      </c>
      <c r="R24" s="193">
        <f t="shared" si="8"/>
        <v>0</v>
      </c>
      <c r="S24" s="193">
        <f t="shared" si="8"/>
        <v>0</v>
      </c>
      <c r="T24" s="193">
        <f t="shared" si="8"/>
        <v>0</v>
      </c>
      <c r="U24" s="234">
        <f t="shared" si="8"/>
        <v>0</v>
      </c>
      <c r="V24" s="193">
        <f t="shared" si="8"/>
        <v>0</v>
      </c>
      <c r="W24" s="193">
        <f t="shared" si="8"/>
        <v>0</v>
      </c>
      <c r="X24" s="193">
        <f t="shared" si="8"/>
        <v>0</v>
      </c>
      <c r="Y24" s="193">
        <f t="shared" si="8"/>
        <v>0</v>
      </c>
      <c r="Z24" s="193">
        <f t="shared" si="8"/>
        <v>0</v>
      </c>
      <c r="AA24" s="238">
        <f>SUM(E24:Z24)</f>
        <v>28</v>
      </c>
    </row>
    <row r="25" spans="1:28" s="175" customFormat="1">
      <c r="B25" s="169"/>
      <c r="C25" s="279" t="s">
        <v>45</v>
      </c>
      <c r="D25" s="279"/>
      <c r="E25" s="193">
        <f t="shared" si="8"/>
        <v>0</v>
      </c>
      <c r="F25" s="193">
        <f t="shared" si="8"/>
        <v>26</v>
      </c>
      <c r="G25" s="193">
        <f t="shared" si="8"/>
        <v>2</v>
      </c>
      <c r="H25" s="193">
        <f t="shared" si="8"/>
        <v>15</v>
      </c>
      <c r="I25" s="234">
        <f t="shared" si="8"/>
        <v>28</v>
      </c>
      <c r="J25" s="193">
        <f t="shared" si="8"/>
        <v>2</v>
      </c>
      <c r="K25" s="193">
        <f t="shared" si="8"/>
        <v>38</v>
      </c>
      <c r="L25" s="193">
        <f t="shared" si="8"/>
        <v>3</v>
      </c>
      <c r="M25" s="193">
        <f t="shared" si="8"/>
        <v>0</v>
      </c>
      <c r="N25" s="193">
        <f t="shared" si="8"/>
        <v>3</v>
      </c>
      <c r="O25" s="193">
        <f t="shared" si="8"/>
        <v>2</v>
      </c>
      <c r="P25" s="193">
        <f t="shared" si="8"/>
        <v>2</v>
      </c>
      <c r="Q25" s="193">
        <f t="shared" si="8"/>
        <v>2</v>
      </c>
      <c r="R25" s="193">
        <f t="shared" si="8"/>
        <v>2</v>
      </c>
      <c r="S25" s="193">
        <f t="shared" si="8"/>
        <v>2</v>
      </c>
      <c r="T25" s="193">
        <f t="shared" si="8"/>
        <v>2</v>
      </c>
      <c r="U25" s="193">
        <f t="shared" si="8"/>
        <v>2</v>
      </c>
      <c r="V25" s="193">
        <f t="shared" si="8"/>
        <v>2</v>
      </c>
      <c r="W25" s="193">
        <f t="shared" si="8"/>
        <v>2</v>
      </c>
      <c r="X25" s="193">
        <f t="shared" si="8"/>
        <v>2</v>
      </c>
      <c r="Y25" s="193">
        <f t="shared" si="8"/>
        <v>22</v>
      </c>
      <c r="Z25" s="193">
        <f t="shared" si="8"/>
        <v>3</v>
      </c>
      <c r="AA25" s="238">
        <f>SUM(E25:Z25)</f>
        <v>162</v>
      </c>
    </row>
    <row r="26" spans="1:28" s="175" customFormat="1">
      <c r="B26" s="169"/>
      <c r="C26" s="279" t="s">
        <v>112</v>
      </c>
      <c r="D26" s="279"/>
      <c r="E26" s="193">
        <f t="shared" si="8"/>
        <v>0</v>
      </c>
      <c r="F26" s="193">
        <f t="shared" si="8"/>
        <v>0</v>
      </c>
      <c r="G26" s="193">
        <f t="shared" si="8"/>
        <v>0</v>
      </c>
      <c r="H26" s="193">
        <f t="shared" si="8"/>
        <v>16</v>
      </c>
      <c r="I26" s="234">
        <f t="shared" si="8"/>
        <v>18</v>
      </c>
      <c r="J26" s="193">
        <f t="shared" si="8"/>
        <v>27</v>
      </c>
      <c r="K26" s="193">
        <f t="shared" si="8"/>
        <v>15</v>
      </c>
      <c r="L26" s="193">
        <f t="shared" si="8"/>
        <v>1</v>
      </c>
      <c r="M26" s="193">
        <f t="shared" si="8"/>
        <v>0</v>
      </c>
      <c r="N26" s="193">
        <f t="shared" si="8"/>
        <v>1</v>
      </c>
      <c r="O26" s="193">
        <f t="shared" si="8"/>
        <v>1</v>
      </c>
      <c r="P26" s="193">
        <f t="shared" si="8"/>
        <v>1</v>
      </c>
      <c r="Q26" s="193">
        <f t="shared" si="8"/>
        <v>1</v>
      </c>
      <c r="R26" s="193">
        <f t="shared" si="8"/>
        <v>1</v>
      </c>
      <c r="S26" s="193">
        <f t="shared" si="8"/>
        <v>12</v>
      </c>
      <c r="T26" s="193">
        <f t="shared" si="8"/>
        <v>1</v>
      </c>
      <c r="U26" s="193">
        <f t="shared" si="8"/>
        <v>1</v>
      </c>
      <c r="V26" s="193">
        <f t="shared" si="8"/>
        <v>1</v>
      </c>
      <c r="W26" s="193">
        <f t="shared" si="8"/>
        <v>0</v>
      </c>
      <c r="X26" s="193">
        <f t="shared" si="8"/>
        <v>0</v>
      </c>
      <c r="Y26" s="193">
        <f t="shared" si="8"/>
        <v>31</v>
      </c>
      <c r="Z26" s="193">
        <f t="shared" si="8"/>
        <v>1</v>
      </c>
      <c r="AA26" s="238">
        <f>SUM(E26:Z26)</f>
        <v>129</v>
      </c>
    </row>
    <row r="28" spans="1:28">
      <c r="C28" s="301" t="s">
        <v>136</v>
      </c>
      <c r="D28" s="302">
        <f>COUNTIF($D$4:$D$21,C28)</f>
        <v>13</v>
      </c>
    </row>
    <row r="29" spans="1:28">
      <c r="C29" s="303" t="s">
        <v>11</v>
      </c>
      <c r="D29" s="302">
        <f>COUNTIF($D$4:$D$21,C29)</f>
        <v>2</v>
      </c>
    </row>
    <row r="30" spans="1:28">
      <c r="C30" s="303" t="s">
        <v>117</v>
      </c>
      <c r="D30" s="302">
        <f>COUNTIF($D$4:$D$21,C30)</f>
        <v>2</v>
      </c>
    </row>
  </sheetData>
  <sheetProtection selectLockedCells="1"/>
  <sortState ref="C4:D20">
    <sortCondition ref="D4:D20"/>
    <sortCondition ref="C4:C20"/>
  </sortState>
  <phoneticPr fontId="0" type="noConversion"/>
  <pageMargins left="0.75" right="0.75" top="1" bottom="1" header="0.5" footer="0.5"/>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sheetPr codeName="Blad4" enableFormatConditionsCalculation="0">
    <tabColor rgb="FFFFC000"/>
  </sheetPr>
  <dimension ref="A1:P548"/>
  <sheetViews>
    <sheetView showGridLines="0" zoomScaleNormal="100" workbookViewId="0">
      <pane ySplit="1" topLeftCell="A8" activePane="bottomLeft" state="frozen"/>
      <selection activeCell="H34" sqref="H34"/>
      <selection pane="bottomLeft" activeCell="F8" sqref="F8"/>
    </sheetView>
  </sheetViews>
  <sheetFormatPr defaultColWidth="8" defaultRowHeight="12.75"/>
  <cols>
    <col min="1" max="1" width="13" style="243" customWidth="1"/>
    <col min="2" max="12" width="10" style="269" customWidth="1"/>
    <col min="13" max="13" width="4.42578125" style="242" customWidth="1"/>
    <col min="14" max="14" width="9.7109375" style="243" bestFit="1" customWidth="1"/>
    <col min="15" max="16384" width="8" style="243"/>
  </cols>
  <sheetData>
    <row r="1" spans="1:14" ht="13.5" thickBot="1">
      <c r="A1" s="240"/>
      <c r="B1" s="241" t="s">
        <v>88</v>
      </c>
      <c r="C1" s="241" t="s">
        <v>182</v>
      </c>
      <c r="D1" s="241" t="s">
        <v>183</v>
      </c>
      <c r="E1" s="241" t="s">
        <v>84</v>
      </c>
      <c r="F1" s="241" t="s">
        <v>86</v>
      </c>
      <c r="G1" s="241" t="s">
        <v>87</v>
      </c>
      <c r="H1" s="241" t="s">
        <v>109</v>
      </c>
      <c r="I1" s="241" t="s">
        <v>181</v>
      </c>
      <c r="J1" s="241" t="s">
        <v>180</v>
      </c>
      <c r="K1" s="241" t="s">
        <v>127</v>
      </c>
      <c r="L1" s="241" t="s">
        <v>85</v>
      </c>
    </row>
    <row r="2" spans="1:14" s="248" customFormat="1" ht="13.5" thickTop="1">
      <c r="A2" s="244" t="s">
        <v>143</v>
      </c>
      <c r="B2" s="245" t="str">
        <f t="shared" ref="B2:L12" ca="1" si="0">IF(ISERROR(VLOOKUP($A2,INDIRECT(B$1&amp;"!"&amp;"c4:c20"),1,0)),"",$M2)</f>
        <v/>
      </c>
      <c r="C2" s="245" t="str">
        <f t="shared" ca="1" si="0"/>
        <v/>
      </c>
      <c r="D2" s="245" t="str">
        <f t="shared" ca="1" si="0"/>
        <v/>
      </c>
      <c r="E2" s="245" t="str">
        <f t="shared" ca="1" si="0"/>
        <v/>
      </c>
      <c r="F2" s="245" t="str">
        <f t="shared" ca="1" si="0"/>
        <v/>
      </c>
      <c r="G2" s="245" t="str">
        <f t="shared" ca="1" si="0"/>
        <v/>
      </c>
      <c r="H2" s="245" t="str">
        <f t="shared" ca="1" si="0"/>
        <v/>
      </c>
      <c r="I2" s="245" t="str">
        <f t="shared" ca="1" si="0"/>
        <v/>
      </c>
      <c r="J2" s="245" t="str">
        <f t="shared" ca="1" si="0"/>
        <v/>
      </c>
      <c r="K2" s="245" t="str">
        <f t="shared" ca="1" si="0"/>
        <v/>
      </c>
      <c r="L2" s="245">
        <f t="shared" ca="1" si="0"/>
        <v>1</v>
      </c>
      <c r="M2" s="246">
        <f ca="1">COUNTIF(Teams!$4:$20,A2)</f>
        <v>1</v>
      </c>
      <c r="N2" s="247">
        <f ca="1">VLOOKUP(A2,Score!B:Z,25,0)</f>
        <v>118.02517733339533</v>
      </c>
    </row>
    <row r="3" spans="1:14">
      <c r="A3" s="244" t="s">
        <v>144</v>
      </c>
      <c r="B3" s="245" t="str">
        <f t="shared" ca="1" si="0"/>
        <v/>
      </c>
      <c r="C3" s="245" t="str">
        <f t="shared" ca="1" si="0"/>
        <v/>
      </c>
      <c r="D3" s="245" t="str">
        <f t="shared" ca="1" si="0"/>
        <v/>
      </c>
      <c r="E3" s="245" t="str">
        <f t="shared" ca="1" si="0"/>
        <v/>
      </c>
      <c r="F3" s="245" t="str">
        <f t="shared" ca="1" si="0"/>
        <v/>
      </c>
      <c r="G3" s="245" t="str">
        <f t="shared" ca="1" si="0"/>
        <v/>
      </c>
      <c r="H3" s="245" t="str">
        <f t="shared" ca="1" si="0"/>
        <v/>
      </c>
      <c r="I3" s="245" t="str">
        <f t="shared" ca="1" si="0"/>
        <v/>
      </c>
      <c r="J3" s="245" t="str">
        <f t="shared" ca="1" si="0"/>
        <v/>
      </c>
      <c r="K3" s="245" t="str">
        <f t="shared" ca="1" si="0"/>
        <v/>
      </c>
      <c r="L3" s="245" t="str">
        <f t="shared" ca="1" si="0"/>
        <v/>
      </c>
      <c r="M3" s="246">
        <f ca="1">COUNTIF(Teams!$4:$20,A3)</f>
        <v>0</v>
      </c>
      <c r="N3" s="247">
        <f ca="1">VLOOKUP(A3,Score!B:Z,25,0)</f>
        <v>33.017095955613158</v>
      </c>
    </row>
    <row r="4" spans="1:14">
      <c r="A4" s="244" t="s">
        <v>151</v>
      </c>
      <c r="B4" s="245" t="str">
        <f t="shared" ca="1" si="0"/>
        <v/>
      </c>
      <c r="C4" s="245" t="str">
        <f t="shared" ca="1" si="0"/>
        <v/>
      </c>
      <c r="D4" s="245" t="str">
        <f t="shared" ca="1" si="0"/>
        <v/>
      </c>
      <c r="E4" s="245" t="str">
        <f t="shared" ca="1" si="0"/>
        <v/>
      </c>
      <c r="F4" s="245" t="str">
        <f t="shared" ca="1" si="0"/>
        <v/>
      </c>
      <c r="G4" s="245" t="str">
        <f t="shared" ca="1" si="0"/>
        <v/>
      </c>
      <c r="H4" s="245" t="str">
        <f t="shared" ca="1" si="0"/>
        <v/>
      </c>
      <c r="I4" s="245" t="str">
        <f t="shared" ca="1" si="0"/>
        <v/>
      </c>
      <c r="J4" s="245" t="str">
        <f t="shared" ca="1" si="0"/>
        <v/>
      </c>
      <c r="K4" s="245" t="str">
        <f t="shared" ca="1" si="0"/>
        <v/>
      </c>
      <c r="L4" s="245" t="str">
        <f t="shared" ca="1" si="0"/>
        <v/>
      </c>
      <c r="M4" s="246">
        <f ca="1">COUNTIF(Teams!$4:$20,A4)</f>
        <v>0</v>
      </c>
      <c r="N4" s="247">
        <f ca="1">VLOOKUP(A4,Score!B:Z,25,0)</f>
        <v>45.077011532304212</v>
      </c>
    </row>
    <row r="5" spans="1:14" s="250" customFormat="1">
      <c r="A5" s="244" t="s">
        <v>157</v>
      </c>
      <c r="B5" s="245" t="str">
        <f t="shared" ca="1" si="0"/>
        <v/>
      </c>
      <c r="C5" s="245" t="str">
        <f t="shared" ca="1" si="0"/>
        <v/>
      </c>
      <c r="D5" s="245" t="str">
        <f t="shared" ca="1" si="0"/>
        <v/>
      </c>
      <c r="E5" s="245" t="str">
        <f t="shared" ca="1" si="0"/>
        <v/>
      </c>
      <c r="F5" s="245" t="str">
        <f t="shared" ca="1" si="0"/>
        <v/>
      </c>
      <c r="G5" s="245" t="str">
        <f t="shared" ca="1" si="0"/>
        <v/>
      </c>
      <c r="H5" s="245" t="str">
        <f t="shared" ca="1" si="0"/>
        <v/>
      </c>
      <c r="I5" s="245" t="str">
        <f t="shared" ca="1" si="0"/>
        <v/>
      </c>
      <c r="J5" s="245" t="str">
        <f t="shared" ca="1" si="0"/>
        <v/>
      </c>
      <c r="K5" s="245" t="str">
        <f t="shared" ca="1" si="0"/>
        <v/>
      </c>
      <c r="L5" s="245" t="str">
        <f t="shared" ca="1" si="0"/>
        <v/>
      </c>
      <c r="M5" s="246">
        <f ca="1">COUNTIF(Teams!$4:$20,A5)</f>
        <v>0</v>
      </c>
      <c r="N5" s="247">
        <f ca="1">VLOOKUP(A5,Score!B:Z,25,0)</f>
        <v>2.7266795408266997E-2</v>
      </c>
    </row>
    <row r="6" spans="1:14" s="291" customFormat="1">
      <c r="A6" s="244" t="s">
        <v>179</v>
      </c>
      <c r="B6" s="245" t="str">
        <f t="shared" ca="1" si="0"/>
        <v/>
      </c>
      <c r="C6" s="245">
        <f t="shared" ca="1" si="0"/>
        <v>1</v>
      </c>
      <c r="D6" s="245" t="str">
        <f t="shared" ca="1" si="0"/>
        <v/>
      </c>
      <c r="E6" s="245" t="str">
        <f t="shared" ca="1" si="0"/>
        <v/>
      </c>
      <c r="F6" s="245" t="str">
        <f t="shared" ca="1" si="0"/>
        <v/>
      </c>
      <c r="G6" s="245" t="str">
        <f t="shared" ca="1" si="0"/>
        <v/>
      </c>
      <c r="H6" s="245" t="str">
        <f t="shared" ca="1" si="0"/>
        <v/>
      </c>
      <c r="I6" s="245" t="str">
        <f t="shared" ca="1" si="0"/>
        <v/>
      </c>
      <c r="J6" s="245" t="str">
        <f t="shared" ca="1" si="0"/>
        <v/>
      </c>
      <c r="K6" s="245" t="str">
        <f t="shared" ca="1" si="0"/>
        <v/>
      </c>
      <c r="L6" s="245" t="str">
        <f t="shared" ca="1" si="0"/>
        <v/>
      </c>
      <c r="M6" s="246">
        <f ca="1">COUNTIF(Teams!$4:$20,A6)</f>
        <v>1</v>
      </c>
      <c r="N6" s="247">
        <f ca="1">VLOOKUP(A6,Score!B:Z,25,0)</f>
        <v>37.07008480701024</v>
      </c>
    </row>
    <row r="7" spans="1:14" s="291" customFormat="1">
      <c r="A7" s="310" t="s">
        <v>178</v>
      </c>
      <c r="B7" s="311" t="str">
        <f t="shared" ca="1" si="0"/>
        <v/>
      </c>
      <c r="C7" s="311">
        <f t="shared" ca="1" si="0"/>
        <v>1</v>
      </c>
      <c r="D7" s="311" t="str">
        <f t="shared" ca="1" si="0"/>
        <v/>
      </c>
      <c r="E7" s="311" t="str">
        <f t="shared" ca="1" si="0"/>
        <v/>
      </c>
      <c r="F7" s="311" t="str">
        <f t="shared" ca="1" si="0"/>
        <v/>
      </c>
      <c r="G7" s="311" t="str">
        <f t="shared" ca="1" si="0"/>
        <v/>
      </c>
      <c r="H7" s="311" t="str">
        <f t="shared" ca="1" si="0"/>
        <v/>
      </c>
      <c r="I7" s="311" t="str">
        <f t="shared" ca="1" si="0"/>
        <v/>
      </c>
      <c r="J7" s="311" t="str">
        <f t="shared" ca="1" si="0"/>
        <v/>
      </c>
      <c r="K7" s="311" t="str">
        <f t="shared" ca="1" si="0"/>
        <v/>
      </c>
      <c r="L7" s="311" t="str">
        <f t="shared" ca="1" si="0"/>
        <v/>
      </c>
      <c r="M7" s="312">
        <f ca="1">COUNTIF(Teams!$4:$20,A7)</f>
        <v>1</v>
      </c>
      <c r="N7" s="313">
        <f ca="1">VLOOKUP(A7,Score!B:Z,25,0)</f>
        <v>6.8926163849955674E-2</v>
      </c>
    </row>
    <row r="8" spans="1:14" s="250" customFormat="1">
      <c r="A8" s="244" t="s">
        <v>140</v>
      </c>
      <c r="B8" s="245" t="str">
        <f t="shared" ca="1" si="0"/>
        <v/>
      </c>
      <c r="C8" s="245" t="str">
        <f t="shared" ca="1" si="0"/>
        <v/>
      </c>
      <c r="D8" s="245" t="str">
        <f t="shared" ca="1" si="0"/>
        <v/>
      </c>
      <c r="E8" s="245" t="str">
        <f t="shared" ca="1" si="0"/>
        <v/>
      </c>
      <c r="F8" s="245" t="str">
        <f t="shared" ca="1" si="0"/>
        <v/>
      </c>
      <c r="G8" s="245" t="str">
        <f t="shared" ca="1" si="0"/>
        <v/>
      </c>
      <c r="H8" s="245" t="str">
        <f t="shared" ca="1" si="0"/>
        <v/>
      </c>
      <c r="I8" s="245" t="str">
        <f t="shared" ca="1" si="0"/>
        <v/>
      </c>
      <c r="J8" s="245" t="str">
        <f t="shared" ca="1" si="0"/>
        <v/>
      </c>
      <c r="K8" s="245">
        <f t="shared" ca="1" si="0"/>
        <v>1</v>
      </c>
      <c r="L8" s="245" t="str">
        <f t="shared" ca="1" si="0"/>
        <v/>
      </c>
      <c r="M8" s="246">
        <f ca="1">COUNTIF(Teams!$4:$20,A8)</f>
        <v>1</v>
      </c>
      <c r="N8" s="247">
        <f ca="1">VLOOKUP(A8,Score!B:Z,25,0)</f>
        <v>22.044047845229152</v>
      </c>
    </row>
    <row r="9" spans="1:14" s="250" customFormat="1">
      <c r="A9" s="244" t="s">
        <v>135</v>
      </c>
      <c r="B9" s="245" t="str">
        <f t="shared" ca="1" si="0"/>
        <v/>
      </c>
      <c r="C9" s="245" t="str">
        <f t="shared" ca="1" si="0"/>
        <v/>
      </c>
      <c r="D9" s="245" t="str">
        <f t="shared" ca="1" si="0"/>
        <v/>
      </c>
      <c r="E9" s="245" t="str">
        <f t="shared" ca="1" si="0"/>
        <v/>
      </c>
      <c r="F9" s="245" t="str">
        <f t="shared" ca="1" si="0"/>
        <v/>
      </c>
      <c r="G9" s="245" t="str">
        <f t="shared" ca="1" si="0"/>
        <v/>
      </c>
      <c r="H9" s="245" t="str">
        <f t="shared" ca="1" si="0"/>
        <v/>
      </c>
      <c r="I9" s="245" t="str">
        <f t="shared" ca="1" si="0"/>
        <v/>
      </c>
      <c r="J9" s="245" t="str">
        <f t="shared" ca="1" si="0"/>
        <v/>
      </c>
      <c r="K9" s="245" t="str">
        <f t="shared" ca="1" si="0"/>
        <v/>
      </c>
      <c r="L9" s="245">
        <f t="shared" ca="1" si="0"/>
        <v>1</v>
      </c>
      <c r="M9" s="246">
        <f ca="1">COUNTIF(Teams!$4:$20,A9)</f>
        <v>1</v>
      </c>
      <c r="N9" s="247">
        <f ca="1">VLOOKUP(A9,Score!B:Z,25,0)</f>
        <v>28.025130256466799</v>
      </c>
    </row>
    <row r="10" spans="1:14" s="291" customFormat="1">
      <c r="A10" s="310" t="s">
        <v>188</v>
      </c>
      <c r="B10" s="311" t="str">
        <f t="shared" ca="1" si="0"/>
        <v/>
      </c>
      <c r="C10" s="311" t="str">
        <f t="shared" ca="1" si="0"/>
        <v/>
      </c>
      <c r="D10" s="311" t="str">
        <f t="shared" ca="1" si="0"/>
        <v/>
      </c>
      <c r="E10" s="311" t="str">
        <f t="shared" ca="1" si="0"/>
        <v/>
      </c>
      <c r="F10" s="311" t="str">
        <f t="shared" ca="1" si="0"/>
        <v/>
      </c>
      <c r="G10" s="311">
        <f t="shared" ca="1" si="0"/>
        <v>1</v>
      </c>
      <c r="H10" s="311" t="str">
        <f t="shared" ca="1" si="0"/>
        <v/>
      </c>
      <c r="I10" s="311" t="str">
        <f t="shared" ca="1" si="0"/>
        <v/>
      </c>
      <c r="J10" s="311" t="str">
        <f t="shared" ca="1" si="0"/>
        <v/>
      </c>
      <c r="K10" s="311" t="str">
        <f t="shared" ca="1" si="0"/>
        <v/>
      </c>
      <c r="L10" s="311" t="str">
        <f t="shared" ca="1" si="0"/>
        <v/>
      </c>
      <c r="M10" s="312">
        <f ca="1">COUNTIF(Teams!$4:$20,A10)</f>
        <v>1</v>
      </c>
      <c r="N10" s="313">
        <f ca="1">VLOOKUP(A10,Score!B:Z,25,0)</f>
        <v>193.05122585079224</v>
      </c>
    </row>
    <row r="11" spans="1:14" s="291" customFormat="1">
      <c r="A11" s="244" t="s">
        <v>141</v>
      </c>
      <c r="B11" s="245" t="str">
        <f t="shared" ca="1" si="0"/>
        <v/>
      </c>
      <c r="C11" s="245" t="str">
        <f t="shared" ca="1" si="0"/>
        <v/>
      </c>
      <c r="D11" s="245" t="str">
        <f t="shared" ca="1" si="0"/>
        <v/>
      </c>
      <c r="E11" s="245" t="str">
        <f t="shared" ca="1" si="0"/>
        <v/>
      </c>
      <c r="F11" s="245" t="str">
        <f t="shared" ca="1" si="0"/>
        <v/>
      </c>
      <c r="G11" s="245">
        <f t="shared" ca="1" si="0"/>
        <v>1</v>
      </c>
      <c r="H11" s="245" t="str">
        <f t="shared" ca="1" si="0"/>
        <v/>
      </c>
      <c r="I11" s="245" t="str">
        <f t="shared" ca="1" si="0"/>
        <v/>
      </c>
      <c r="J11" s="245" t="str">
        <f t="shared" ca="1" si="0"/>
        <v/>
      </c>
      <c r="K11" s="245" t="str">
        <f t="shared" ca="1" si="0"/>
        <v/>
      </c>
      <c r="L11" s="245" t="str">
        <f t="shared" ca="1" si="0"/>
        <v/>
      </c>
      <c r="M11" s="246">
        <f ca="1">COUNTIF(Teams!$4:$20,A11)</f>
        <v>1</v>
      </c>
      <c r="N11" s="247">
        <f ca="1">VLOOKUP(A11,Score!B:Z,25,0)</f>
        <v>49.088628244576313</v>
      </c>
    </row>
    <row r="12" spans="1:14" s="250" customFormat="1">
      <c r="A12" s="244" t="s">
        <v>159</v>
      </c>
      <c r="B12" s="245" t="str">
        <f t="shared" ca="1" si="0"/>
        <v/>
      </c>
      <c r="C12" s="245" t="str">
        <f t="shared" ca="1" si="0"/>
        <v/>
      </c>
      <c r="D12" s="245">
        <f t="shared" ca="1" si="0"/>
        <v>1</v>
      </c>
      <c r="E12" s="245" t="str">
        <f t="shared" ca="1" si="0"/>
        <v/>
      </c>
      <c r="F12" s="245" t="str">
        <f t="shared" ca="1" si="0"/>
        <v/>
      </c>
      <c r="G12" s="245" t="str">
        <f t="shared" ca="1" si="0"/>
        <v/>
      </c>
      <c r="H12" s="245" t="str">
        <f t="shared" ca="1" si="0"/>
        <v/>
      </c>
      <c r="I12" s="245" t="str">
        <f t="shared" ca="1" si="0"/>
        <v/>
      </c>
      <c r="J12" s="245" t="str">
        <f t="shared" ca="1" si="0"/>
        <v/>
      </c>
      <c r="K12" s="245" t="str">
        <f t="shared" ca="1" si="0"/>
        <v/>
      </c>
      <c r="L12" s="245" t="str">
        <f t="shared" ca="1" si="0"/>
        <v/>
      </c>
      <c r="M12" s="246">
        <f ca="1">COUNTIF(Teams!$4:$20,A12)</f>
        <v>1</v>
      </c>
      <c r="N12" s="247">
        <f ca="1">VLOOKUP(A12,Score!B:Z,25,0)</f>
        <v>2.0007606671200405E-2</v>
      </c>
    </row>
    <row r="13" spans="1:14" s="290" customFormat="1">
      <c r="A13" s="244" t="s">
        <v>147</v>
      </c>
      <c r="B13" s="245" t="str">
        <f t="shared" ref="B13:L22" ca="1" si="1">IF(ISERROR(VLOOKUP($A13,INDIRECT(B$1&amp;"!"&amp;"c4:c20"),1,0)),"",$M13)</f>
        <v/>
      </c>
      <c r="C13" s="245" t="str">
        <f t="shared" ca="1" si="1"/>
        <v/>
      </c>
      <c r="D13" s="245" t="str">
        <f t="shared" ca="1" si="1"/>
        <v/>
      </c>
      <c r="E13" s="245" t="str">
        <f t="shared" ca="1" si="1"/>
        <v/>
      </c>
      <c r="F13" s="245" t="str">
        <f t="shared" ca="1" si="1"/>
        <v/>
      </c>
      <c r="G13" s="245">
        <f t="shared" ca="1" si="1"/>
        <v>1</v>
      </c>
      <c r="H13" s="245" t="str">
        <f t="shared" ca="1" si="1"/>
        <v/>
      </c>
      <c r="I13" s="245" t="str">
        <f t="shared" ca="1" si="1"/>
        <v/>
      </c>
      <c r="J13" s="245" t="str">
        <f t="shared" ca="1" si="1"/>
        <v/>
      </c>
      <c r="K13" s="245" t="str">
        <f t="shared" ca="1" si="1"/>
        <v/>
      </c>
      <c r="L13" s="245" t="str">
        <f t="shared" ca="1" si="1"/>
        <v/>
      </c>
      <c r="M13" s="246">
        <f ca="1">COUNTIF(Teams!$4:$20,A13)</f>
        <v>1</v>
      </c>
      <c r="N13" s="247">
        <f ca="1">VLOOKUP(A13,Score!B:Z,25,0)</f>
        <v>27.043644692745186</v>
      </c>
    </row>
    <row r="14" spans="1:14" s="290" customFormat="1">
      <c r="A14" s="244" t="s">
        <v>148</v>
      </c>
      <c r="B14" s="245">
        <f t="shared" ca="1" si="1"/>
        <v>1</v>
      </c>
      <c r="C14" s="245" t="str">
        <f t="shared" ca="1" si="1"/>
        <v/>
      </c>
      <c r="D14" s="245" t="str">
        <f t="shared" ca="1" si="1"/>
        <v/>
      </c>
      <c r="E14" s="245" t="str">
        <f t="shared" ca="1" si="1"/>
        <v/>
      </c>
      <c r="F14" s="245" t="str">
        <f t="shared" ca="1" si="1"/>
        <v/>
      </c>
      <c r="G14" s="245" t="str">
        <f t="shared" ca="1" si="1"/>
        <v/>
      </c>
      <c r="H14" s="245" t="str">
        <f t="shared" ca="1" si="1"/>
        <v/>
      </c>
      <c r="I14" s="245" t="str">
        <f t="shared" ca="1" si="1"/>
        <v/>
      </c>
      <c r="J14" s="245" t="str">
        <f t="shared" ca="1" si="1"/>
        <v/>
      </c>
      <c r="K14" s="245" t="str">
        <f t="shared" ca="1" si="1"/>
        <v/>
      </c>
      <c r="L14" s="245" t="str">
        <f t="shared" ca="1" si="1"/>
        <v/>
      </c>
      <c r="M14" s="246">
        <f ca="1">COUNTIF(Teams!$4:$20,A14)</f>
        <v>1</v>
      </c>
      <c r="N14" s="247">
        <f ca="1">VLOOKUP(A14,Score!B:Z,25,0)</f>
        <v>183.03917019247459</v>
      </c>
    </row>
    <row r="15" spans="1:14" s="286" customFormat="1">
      <c r="A15" s="244" t="s">
        <v>149</v>
      </c>
      <c r="B15" s="245">
        <f t="shared" ca="1" si="1"/>
        <v>1</v>
      </c>
      <c r="C15" s="245" t="str">
        <f t="shared" ca="1" si="1"/>
        <v/>
      </c>
      <c r="D15" s="245" t="str">
        <f t="shared" ca="1" si="1"/>
        <v/>
      </c>
      <c r="E15" s="245" t="str">
        <f t="shared" ca="1" si="1"/>
        <v/>
      </c>
      <c r="F15" s="245" t="str">
        <f t="shared" ca="1" si="1"/>
        <v/>
      </c>
      <c r="G15" s="245" t="str">
        <f t="shared" ca="1" si="1"/>
        <v/>
      </c>
      <c r="H15" s="245" t="str">
        <f t="shared" ca="1" si="1"/>
        <v/>
      </c>
      <c r="I15" s="245" t="str">
        <f t="shared" ca="1" si="1"/>
        <v/>
      </c>
      <c r="J15" s="245" t="str">
        <f t="shared" ca="1" si="1"/>
        <v/>
      </c>
      <c r="K15" s="245" t="str">
        <f t="shared" ca="1" si="1"/>
        <v/>
      </c>
      <c r="L15" s="245" t="str">
        <f t="shared" ca="1" si="1"/>
        <v/>
      </c>
      <c r="M15" s="246">
        <f ca="1">COUNTIF(Teams!$4:$20,A15)</f>
        <v>1</v>
      </c>
      <c r="N15" s="247">
        <f ca="1">VLOOKUP(A15,Score!B:Z,25,0)</f>
        <v>26.062222845787456</v>
      </c>
    </row>
    <row r="16" spans="1:14" s="330" customFormat="1">
      <c r="A16" s="310" t="s">
        <v>150</v>
      </c>
      <c r="B16" s="311">
        <f t="shared" ca="1" si="1"/>
        <v>1</v>
      </c>
      <c r="C16" s="311" t="str">
        <f t="shared" ca="1" si="1"/>
        <v/>
      </c>
      <c r="D16" s="311" t="str">
        <f t="shared" ca="1" si="1"/>
        <v/>
      </c>
      <c r="E16" s="311" t="str">
        <f t="shared" ca="1" si="1"/>
        <v/>
      </c>
      <c r="F16" s="311" t="str">
        <f t="shared" ca="1" si="1"/>
        <v/>
      </c>
      <c r="G16" s="311" t="str">
        <f t="shared" ca="1" si="1"/>
        <v/>
      </c>
      <c r="H16" s="311" t="str">
        <f t="shared" ca="1" si="1"/>
        <v/>
      </c>
      <c r="I16" s="311" t="str">
        <f t="shared" ca="1" si="1"/>
        <v/>
      </c>
      <c r="J16" s="311" t="str">
        <f t="shared" ca="1" si="1"/>
        <v/>
      </c>
      <c r="K16" s="311" t="str">
        <f t="shared" ca="1" si="1"/>
        <v/>
      </c>
      <c r="L16" s="311" t="str">
        <f t="shared" ca="1" si="1"/>
        <v/>
      </c>
      <c r="M16" s="312">
        <f ca="1">COUNTIF(Teams!$4:$20,A16)</f>
        <v>1</v>
      </c>
      <c r="N16" s="313">
        <f ca="1">VLOOKUP(A16,Score!B:Z,25,0)</f>
        <v>7.0549914081303795</v>
      </c>
    </row>
    <row r="17" spans="1:14" s="290" customFormat="1">
      <c r="A17" s="244" t="s">
        <v>153</v>
      </c>
      <c r="B17" s="245" t="str">
        <f t="shared" ca="1" si="1"/>
        <v/>
      </c>
      <c r="C17" s="245" t="str">
        <f t="shared" ca="1" si="1"/>
        <v/>
      </c>
      <c r="D17" s="245" t="str">
        <f t="shared" ca="1" si="1"/>
        <v/>
      </c>
      <c r="E17" s="245" t="str">
        <f t="shared" ca="1" si="1"/>
        <v/>
      </c>
      <c r="F17" s="245">
        <f t="shared" ca="1" si="1"/>
        <v>1</v>
      </c>
      <c r="G17" s="245" t="str">
        <f t="shared" ca="1" si="1"/>
        <v/>
      </c>
      <c r="H17" s="245" t="str">
        <f t="shared" ca="1" si="1"/>
        <v/>
      </c>
      <c r="I17" s="245" t="str">
        <f t="shared" ca="1" si="1"/>
        <v/>
      </c>
      <c r="J17" s="245" t="str">
        <f t="shared" ca="1" si="1"/>
        <v/>
      </c>
      <c r="K17" s="245" t="str">
        <f t="shared" ca="1" si="1"/>
        <v/>
      </c>
      <c r="L17" s="245" t="str">
        <f t="shared" ca="1" si="1"/>
        <v/>
      </c>
      <c r="M17" s="246">
        <f ca="1">COUNTIF(Teams!$4:$20,A17)</f>
        <v>1</v>
      </c>
      <c r="N17" s="247">
        <f ca="1">VLOOKUP(A17,Score!B:Z,25,0)</f>
        <v>51.075604763725842</v>
      </c>
    </row>
    <row r="18" spans="1:14" s="250" customFormat="1">
      <c r="A18" s="244" t="s">
        <v>118</v>
      </c>
      <c r="B18" s="245" t="str">
        <f t="shared" ca="1" si="1"/>
        <v/>
      </c>
      <c r="C18" s="245" t="str">
        <f t="shared" ca="1" si="1"/>
        <v/>
      </c>
      <c r="D18" s="245" t="str">
        <f t="shared" ca="1" si="1"/>
        <v/>
      </c>
      <c r="E18" s="245" t="str">
        <f t="shared" ca="1" si="1"/>
        <v/>
      </c>
      <c r="F18" s="245">
        <f t="shared" ca="1" si="1"/>
        <v>1</v>
      </c>
      <c r="G18" s="245" t="str">
        <f t="shared" ca="1" si="1"/>
        <v/>
      </c>
      <c r="H18" s="245" t="str">
        <f t="shared" ca="1" si="1"/>
        <v/>
      </c>
      <c r="I18" s="245" t="str">
        <f t="shared" ca="1" si="1"/>
        <v/>
      </c>
      <c r="J18" s="245" t="str">
        <f t="shared" ca="1" si="1"/>
        <v/>
      </c>
      <c r="K18" s="245" t="str">
        <f t="shared" ca="1" si="1"/>
        <v/>
      </c>
      <c r="L18" s="245" t="str">
        <f t="shared" ca="1" si="1"/>
        <v/>
      </c>
      <c r="M18" s="246">
        <f ca="1">COUNTIF(Teams!$4:$20,A18)</f>
        <v>1</v>
      </c>
      <c r="N18" s="247">
        <f ca="1">VLOOKUP(A18,Score!B:Z,25,0)</f>
        <v>9.0223350412144683</v>
      </c>
    </row>
    <row r="19" spans="1:14" s="261" customFormat="1">
      <c r="A19" s="260" t="s">
        <v>154</v>
      </c>
      <c r="B19" s="252" t="str">
        <f t="shared" ca="1" si="1"/>
        <v/>
      </c>
      <c r="C19" s="252" t="str">
        <f t="shared" ca="1" si="1"/>
        <v/>
      </c>
      <c r="D19" s="252" t="str">
        <f t="shared" ca="1" si="1"/>
        <v/>
      </c>
      <c r="E19" s="252" t="str">
        <f t="shared" ca="1" si="1"/>
        <v/>
      </c>
      <c r="F19" s="252" t="str">
        <f t="shared" ca="1" si="1"/>
        <v/>
      </c>
      <c r="G19" s="252" t="str">
        <f t="shared" ca="1" si="1"/>
        <v/>
      </c>
      <c r="H19" s="252" t="str">
        <f t="shared" ca="1" si="1"/>
        <v/>
      </c>
      <c r="I19" s="252" t="str">
        <f t="shared" ca="1" si="1"/>
        <v/>
      </c>
      <c r="J19" s="252">
        <f t="shared" ca="1" si="1"/>
        <v>1</v>
      </c>
      <c r="K19" s="252" t="str">
        <f t="shared" ca="1" si="1"/>
        <v/>
      </c>
      <c r="L19" s="252" t="str">
        <f t="shared" ca="1" si="1"/>
        <v/>
      </c>
      <c r="M19" s="292">
        <f ca="1">COUNTIF(Teams!$4:$20,A19)</f>
        <v>1</v>
      </c>
      <c r="N19" s="293">
        <f ca="1">VLOOKUP(A19,Score!B:Z,25,0)</f>
        <v>76.060731459019337</v>
      </c>
    </row>
    <row r="20" spans="1:14" s="291" customFormat="1">
      <c r="A20" s="310" t="s">
        <v>115</v>
      </c>
      <c r="B20" s="311" t="str">
        <f t="shared" ca="1" si="1"/>
        <v/>
      </c>
      <c r="C20" s="311">
        <f t="shared" ca="1" si="1"/>
        <v>2</v>
      </c>
      <c r="D20" s="311" t="str">
        <f t="shared" ca="1" si="1"/>
        <v/>
      </c>
      <c r="E20" s="311" t="str">
        <f t="shared" ca="1" si="1"/>
        <v/>
      </c>
      <c r="F20" s="311" t="str">
        <f t="shared" ca="1" si="1"/>
        <v/>
      </c>
      <c r="G20" s="311" t="str">
        <f t="shared" ca="1" si="1"/>
        <v/>
      </c>
      <c r="H20" s="311" t="str">
        <f t="shared" ca="1" si="1"/>
        <v/>
      </c>
      <c r="I20" s="311">
        <f t="shared" ca="1" si="1"/>
        <v>2</v>
      </c>
      <c r="J20" s="311" t="str">
        <f t="shared" ca="1" si="1"/>
        <v/>
      </c>
      <c r="K20" s="311" t="str">
        <f t="shared" ca="1" si="1"/>
        <v/>
      </c>
      <c r="L20" s="311" t="str">
        <f t="shared" ca="1" si="1"/>
        <v/>
      </c>
      <c r="M20" s="312">
        <f ca="1">COUNTIF(Teams!$4:$20,A20)</f>
        <v>2</v>
      </c>
      <c r="N20" s="313">
        <f ca="1">VLOOKUP(A20,Score!B:Z,25,0)</f>
        <v>77.028092940482708</v>
      </c>
    </row>
    <row r="21" spans="1:14" s="290" customFormat="1">
      <c r="A21" s="244" t="s">
        <v>133</v>
      </c>
      <c r="B21" s="245" t="str">
        <f t="shared" ca="1" si="1"/>
        <v/>
      </c>
      <c r="C21" s="245" t="str">
        <f t="shared" ca="1" si="1"/>
        <v/>
      </c>
      <c r="D21" s="245">
        <f t="shared" ca="1" si="1"/>
        <v>2</v>
      </c>
      <c r="E21" s="245">
        <f t="shared" ca="1" si="1"/>
        <v>2</v>
      </c>
      <c r="F21" s="245" t="str">
        <f t="shared" ca="1" si="1"/>
        <v/>
      </c>
      <c r="G21" s="245" t="str">
        <f t="shared" ca="1" si="1"/>
        <v/>
      </c>
      <c r="H21" s="245" t="str">
        <f t="shared" ca="1" si="1"/>
        <v/>
      </c>
      <c r="I21" s="245" t="str">
        <f t="shared" ca="1" si="1"/>
        <v/>
      </c>
      <c r="J21" s="245" t="str">
        <f t="shared" ca="1" si="1"/>
        <v/>
      </c>
      <c r="K21" s="245" t="str">
        <f t="shared" ca="1" si="1"/>
        <v/>
      </c>
      <c r="L21" s="245" t="str">
        <f t="shared" ca="1" si="1"/>
        <v/>
      </c>
      <c r="M21" s="246">
        <f ca="1">COUNTIF(Teams!$4:$20,A21)</f>
        <v>2</v>
      </c>
      <c r="N21" s="247">
        <f ca="1">VLOOKUP(A21,Score!B:Z,25,0)</f>
        <v>3.3016557519409059E-2</v>
      </c>
    </row>
    <row r="22" spans="1:14" s="286" customFormat="1">
      <c r="A22" s="244" t="s">
        <v>130</v>
      </c>
      <c r="B22" s="245">
        <f t="shared" ca="1" si="1"/>
        <v>2</v>
      </c>
      <c r="C22" s="245" t="str">
        <f t="shared" ca="1" si="1"/>
        <v/>
      </c>
      <c r="D22" s="245" t="str">
        <f t="shared" ca="1" si="1"/>
        <v/>
      </c>
      <c r="E22" s="245">
        <f t="shared" ca="1" si="1"/>
        <v>2</v>
      </c>
      <c r="F22" s="245" t="str">
        <f t="shared" ca="1" si="1"/>
        <v/>
      </c>
      <c r="G22" s="245" t="str">
        <f t="shared" ca="1" si="1"/>
        <v/>
      </c>
      <c r="H22" s="245" t="str">
        <f t="shared" ca="1" si="1"/>
        <v/>
      </c>
      <c r="I22" s="245" t="str">
        <f t="shared" ca="1" si="1"/>
        <v/>
      </c>
      <c r="J22" s="245" t="str">
        <f t="shared" ca="1" si="1"/>
        <v/>
      </c>
      <c r="K22" s="245" t="str">
        <f t="shared" ca="1" si="1"/>
        <v/>
      </c>
      <c r="L22" s="245" t="str">
        <f t="shared" ca="1" si="1"/>
        <v/>
      </c>
      <c r="M22" s="246">
        <f ca="1">COUNTIF(Teams!$4:$20,A22)</f>
        <v>2</v>
      </c>
      <c r="N22" s="247">
        <f ca="1">VLOOKUP(A22,Score!B:Z,25,0)</f>
        <v>119.04667545248793</v>
      </c>
    </row>
    <row r="23" spans="1:14" s="250" customFormat="1">
      <c r="A23" s="244" t="s">
        <v>91</v>
      </c>
      <c r="B23" s="245" t="str">
        <f t="shared" ref="B23:L32" ca="1" si="2">IF(ISERROR(VLOOKUP($A23,INDIRECT(B$1&amp;"!"&amp;"c4:c20"),1,0)),"",$M23)</f>
        <v/>
      </c>
      <c r="C23" s="245" t="str">
        <f t="shared" ca="1" si="2"/>
        <v/>
      </c>
      <c r="D23" s="245" t="str">
        <f t="shared" ca="1" si="2"/>
        <v/>
      </c>
      <c r="E23" s="245" t="str">
        <f t="shared" ca="1" si="2"/>
        <v/>
      </c>
      <c r="F23" s="245" t="str">
        <f t="shared" ca="1" si="2"/>
        <v/>
      </c>
      <c r="G23" s="245">
        <f t="shared" ca="1" si="2"/>
        <v>2</v>
      </c>
      <c r="H23" s="245" t="str">
        <f t="shared" ca="1" si="2"/>
        <v/>
      </c>
      <c r="I23" s="245" t="str">
        <f t="shared" ca="1" si="2"/>
        <v/>
      </c>
      <c r="J23" s="245" t="str">
        <f t="shared" ca="1" si="2"/>
        <v/>
      </c>
      <c r="K23" s="245">
        <f t="shared" ca="1" si="2"/>
        <v>2</v>
      </c>
      <c r="L23" s="245" t="str">
        <f t="shared" ca="1" si="2"/>
        <v/>
      </c>
      <c r="M23" s="246">
        <f ca="1">COUNTIF(Teams!$4:$20,A23)</f>
        <v>2</v>
      </c>
      <c r="N23" s="247">
        <f ca="1">VLOOKUP(A23,Score!B:Z,25,0)</f>
        <v>68.025664521866773</v>
      </c>
    </row>
    <row r="24" spans="1:14" s="250" customFormat="1">
      <c r="A24" s="244" t="s">
        <v>112</v>
      </c>
      <c r="B24" s="245" t="str">
        <f t="shared" ca="1" si="2"/>
        <v/>
      </c>
      <c r="C24" s="245" t="str">
        <f t="shared" ca="1" si="2"/>
        <v/>
      </c>
      <c r="D24" s="245" t="str">
        <f t="shared" ca="1" si="2"/>
        <v/>
      </c>
      <c r="E24" s="245" t="str">
        <f t="shared" ca="1" si="2"/>
        <v/>
      </c>
      <c r="F24" s="245" t="str">
        <f t="shared" ca="1" si="2"/>
        <v/>
      </c>
      <c r="G24" s="245" t="str">
        <f t="shared" ca="1" si="2"/>
        <v/>
      </c>
      <c r="H24" s="245">
        <f t="shared" ca="1" si="2"/>
        <v>2</v>
      </c>
      <c r="I24" s="245">
        <f t="shared" ca="1" si="2"/>
        <v>2</v>
      </c>
      <c r="J24" s="245" t="str">
        <f t="shared" ca="1" si="2"/>
        <v/>
      </c>
      <c r="K24" s="245" t="str">
        <f t="shared" ca="1" si="2"/>
        <v/>
      </c>
      <c r="L24" s="245" t="str">
        <f t="shared" ca="1" si="2"/>
        <v/>
      </c>
      <c r="M24" s="246">
        <f ca="1">COUNTIF(Teams!$4:$20,A24)</f>
        <v>2</v>
      </c>
      <c r="N24" s="247">
        <f ca="1">VLOOKUP(A24,Score!B:Z,25,0)</f>
        <v>129.05315453887638</v>
      </c>
    </row>
    <row r="25" spans="1:14" s="291" customFormat="1">
      <c r="A25" s="310" t="s">
        <v>145</v>
      </c>
      <c r="B25" s="311">
        <f t="shared" ca="1" si="2"/>
        <v>2</v>
      </c>
      <c r="C25" s="311" t="str">
        <f t="shared" ca="1" si="2"/>
        <v/>
      </c>
      <c r="D25" s="311">
        <f t="shared" ca="1" si="2"/>
        <v>2</v>
      </c>
      <c r="E25" s="311" t="str">
        <f t="shared" ca="1" si="2"/>
        <v/>
      </c>
      <c r="F25" s="311" t="str">
        <f t="shared" ca="1" si="2"/>
        <v/>
      </c>
      <c r="G25" s="311" t="str">
        <f t="shared" ca="1" si="2"/>
        <v/>
      </c>
      <c r="H25" s="311" t="str">
        <f t="shared" ca="1" si="2"/>
        <v/>
      </c>
      <c r="I25" s="311" t="str">
        <f t="shared" ca="1" si="2"/>
        <v/>
      </c>
      <c r="J25" s="311" t="str">
        <f t="shared" ca="1" si="2"/>
        <v/>
      </c>
      <c r="K25" s="311" t="str">
        <f t="shared" ca="1" si="2"/>
        <v/>
      </c>
      <c r="L25" s="311" t="str">
        <f t="shared" ca="1" si="2"/>
        <v/>
      </c>
      <c r="M25" s="312">
        <f ca="1">COUNTIF(Teams!$4:$20,A25)</f>
        <v>2</v>
      </c>
      <c r="N25" s="313">
        <f ca="1">VLOOKUP(A25,Score!B:Z,25,0)</f>
        <v>20.056860563974624</v>
      </c>
    </row>
    <row r="26" spans="1:14" s="291" customFormat="1">
      <c r="A26" s="310" t="s">
        <v>121</v>
      </c>
      <c r="B26" s="311" t="str">
        <f t="shared" ca="1" si="2"/>
        <v/>
      </c>
      <c r="C26" s="311" t="str">
        <f t="shared" ca="1" si="2"/>
        <v/>
      </c>
      <c r="D26" s="311" t="str">
        <f t="shared" ca="1" si="2"/>
        <v/>
      </c>
      <c r="E26" s="311" t="str">
        <f t="shared" ca="1" si="2"/>
        <v/>
      </c>
      <c r="F26" s="311" t="str">
        <f t="shared" ca="1" si="2"/>
        <v/>
      </c>
      <c r="G26" s="311" t="str">
        <f t="shared" ca="1" si="2"/>
        <v/>
      </c>
      <c r="H26" s="311" t="str">
        <f t="shared" ca="1" si="2"/>
        <v/>
      </c>
      <c r="I26" s="311" t="str">
        <f t="shared" ca="1" si="2"/>
        <v/>
      </c>
      <c r="J26" s="311" t="str">
        <f t="shared" ca="1" si="2"/>
        <v/>
      </c>
      <c r="K26" s="311" t="str">
        <f t="shared" ca="1" si="2"/>
        <v/>
      </c>
      <c r="L26" s="311" t="str">
        <f t="shared" ca="1" si="2"/>
        <v/>
      </c>
      <c r="M26" s="312">
        <f ca="1">COUNTIF(Teams!$4:$20,A26)</f>
        <v>0</v>
      </c>
      <c r="N26" s="313">
        <f ca="1">VLOOKUP(A26,Score!B:Z,25,0)</f>
        <v>3.1635152600679659E-2</v>
      </c>
    </row>
    <row r="27" spans="1:14" s="261" customFormat="1">
      <c r="A27" s="260" t="s">
        <v>185</v>
      </c>
      <c r="B27" s="252" t="str">
        <f t="shared" ca="1" si="2"/>
        <v/>
      </c>
      <c r="C27" s="252" t="str">
        <f t="shared" ca="1" si="2"/>
        <v/>
      </c>
      <c r="D27" s="252" t="str">
        <f t="shared" ca="1" si="2"/>
        <v/>
      </c>
      <c r="E27" s="252">
        <f t="shared" ca="1" si="2"/>
        <v>2</v>
      </c>
      <c r="F27" s="252" t="str">
        <f t="shared" ca="1" si="2"/>
        <v/>
      </c>
      <c r="G27" s="252" t="str">
        <f t="shared" ca="1" si="2"/>
        <v/>
      </c>
      <c r="H27" s="252">
        <f t="shared" ca="1" si="2"/>
        <v>2</v>
      </c>
      <c r="I27" s="252" t="str">
        <f t="shared" ca="1" si="2"/>
        <v/>
      </c>
      <c r="J27" s="252" t="str">
        <f t="shared" ca="1" si="2"/>
        <v/>
      </c>
      <c r="K27" s="252" t="str">
        <f t="shared" ca="1" si="2"/>
        <v/>
      </c>
      <c r="L27" s="252" t="str">
        <f t="shared" ca="1" si="2"/>
        <v/>
      </c>
      <c r="M27" s="292">
        <f ca="1">COUNTIF(Teams!$4:$20,A27)</f>
        <v>2</v>
      </c>
      <c r="N27" s="293">
        <f ca="1">VLOOKUP(A27,Score!B:Z,25,0)</f>
        <v>84.078852876928579</v>
      </c>
    </row>
    <row r="28" spans="1:14" s="250" customFormat="1">
      <c r="A28" s="244" t="s">
        <v>131</v>
      </c>
      <c r="B28" s="245" t="str">
        <f t="shared" ca="1" si="2"/>
        <v/>
      </c>
      <c r="C28" s="245">
        <f t="shared" ca="1" si="2"/>
        <v>3</v>
      </c>
      <c r="D28" s="245" t="str">
        <f t="shared" ca="1" si="2"/>
        <v/>
      </c>
      <c r="E28" s="245">
        <f t="shared" ca="1" si="2"/>
        <v>3</v>
      </c>
      <c r="F28" s="245">
        <f t="shared" ca="1" si="2"/>
        <v>3</v>
      </c>
      <c r="G28" s="245" t="str">
        <f t="shared" ca="1" si="2"/>
        <v/>
      </c>
      <c r="H28" s="245" t="str">
        <f t="shared" ca="1" si="2"/>
        <v/>
      </c>
      <c r="I28" s="245" t="str">
        <f t="shared" ca="1" si="2"/>
        <v/>
      </c>
      <c r="J28" s="245" t="str">
        <f t="shared" ca="1" si="2"/>
        <v/>
      </c>
      <c r="K28" s="245" t="str">
        <f t="shared" ca="1" si="2"/>
        <v/>
      </c>
      <c r="L28" s="245" t="str">
        <f t="shared" ca="1" si="2"/>
        <v/>
      </c>
      <c r="M28" s="246">
        <f ca="1">COUNTIF(Teams!$4:$20,A28)</f>
        <v>3</v>
      </c>
      <c r="N28" s="247">
        <f ca="1">VLOOKUP(A28,Score!B:Z,25,0)</f>
        <v>249.01238302441232</v>
      </c>
    </row>
    <row r="29" spans="1:14" s="291" customFormat="1">
      <c r="A29" s="244" t="s">
        <v>92</v>
      </c>
      <c r="B29" s="245" t="str">
        <f t="shared" ca="1" si="2"/>
        <v/>
      </c>
      <c r="C29" s="245">
        <f t="shared" ca="1" si="2"/>
        <v>3</v>
      </c>
      <c r="D29" s="245" t="str">
        <f t="shared" ca="1" si="2"/>
        <v/>
      </c>
      <c r="E29" s="245">
        <f t="shared" ca="1" si="2"/>
        <v>3</v>
      </c>
      <c r="F29" s="245" t="str">
        <f t="shared" ca="1" si="2"/>
        <v/>
      </c>
      <c r="G29" s="245" t="str">
        <f t="shared" ca="1" si="2"/>
        <v/>
      </c>
      <c r="H29" s="245">
        <f t="shared" ca="1" si="2"/>
        <v>3</v>
      </c>
      <c r="I29" s="245" t="str">
        <f t="shared" ca="1" si="2"/>
        <v/>
      </c>
      <c r="J29" s="245" t="str">
        <f t="shared" ca="1" si="2"/>
        <v/>
      </c>
      <c r="K29" s="245" t="str">
        <f t="shared" ca="1" si="2"/>
        <v/>
      </c>
      <c r="L29" s="245" t="str">
        <f t="shared" ca="1" si="2"/>
        <v/>
      </c>
      <c r="M29" s="246">
        <f ca="1">COUNTIF(Teams!$4:$20,A29)</f>
        <v>3</v>
      </c>
      <c r="N29" s="247">
        <f ca="1">VLOOKUP(A29,Score!B:Z,25,0)</f>
        <v>88.019994407842191</v>
      </c>
    </row>
    <row r="30" spans="1:14" s="291" customFormat="1">
      <c r="A30" s="244" t="s">
        <v>138</v>
      </c>
      <c r="B30" s="245" t="str">
        <f t="shared" ca="1" si="2"/>
        <v/>
      </c>
      <c r="C30" s="245" t="str">
        <f t="shared" ca="1" si="2"/>
        <v/>
      </c>
      <c r="D30" s="245">
        <f t="shared" ca="1" si="2"/>
        <v>3</v>
      </c>
      <c r="E30" s="245" t="str">
        <f t="shared" ca="1" si="2"/>
        <v/>
      </c>
      <c r="F30" s="245" t="str">
        <f t="shared" ca="1" si="2"/>
        <v/>
      </c>
      <c r="G30" s="245">
        <f t="shared" ca="1" si="2"/>
        <v>3</v>
      </c>
      <c r="H30" s="245" t="str">
        <f t="shared" ca="1" si="2"/>
        <v/>
      </c>
      <c r="I30" s="245" t="str">
        <f t="shared" ca="1" si="2"/>
        <v/>
      </c>
      <c r="J30" s="245" t="str">
        <f t="shared" ca="1" si="2"/>
        <v/>
      </c>
      <c r="K30" s="245">
        <f t="shared" ca="1" si="2"/>
        <v>3</v>
      </c>
      <c r="L30" s="245" t="str">
        <f t="shared" ca="1" si="2"/>
        <v/>
      </c>
      <c r="M30" s="246">
        <f ca="1">COUNTIF(Teams!$4:$20,A30)</f>
        <v>3</v>
      </c>
      <c r="N30" s="247">
        <f ca="1">VLOOKUP(A30,Score!B:Z,25,0)</f>
        <v>141.00536290997948</v>
      </c>
    </row>
    <row r="31" spans="1:14" s="250" customFormat="1">
      <c r="A31" s="244" t="s">
        <v>152</v>
      </c>
      <c r="B31" s="245">
        <f t="shared" ref="B31:L31" ca="1" si="3">IF(ISERROR(VLOOKUP($A31,INDIRECT(B$1&amp;"!"&amp;"c4:c20"),1,0)),"",$M31)</f>
        <v>3</v>
      </c>
      <c r="C31" s="245" t="str">
        <f t="shared" ca="1" si="3"/>
        <v/>
      </c>
      <c r="D31" s="245">
        <f t="shared" ca="1" si="3"/>
        <v>3</v>
      </c>
      <c r="E31" s="245" t="str">
        <f t="shared" ca="1" si="3"/>
        <v/>
      </c>
      <c r="F31" s="245">
        <f t="shared" ca="1" si="3"/>
        <v>3</v>
      </c>
      <c r="G31" s="245" t="str">
        <f t="shared" ca="1" si="3"/>
        <v/>
      </c>
      <c r="H31" s="245" t="str">
        <f t="shared" ca="1" si="3"/>
        <v/>
      </c>
      <c r="I31" s="245" t="str">
        <f t="shared" ca="1" si="3"/>
        <v/>
      </c>
      <c r="J31" s="245" t="str">
        <f t="shared" ca="1" si="3"/>
        <v/>
      </c>
      <c r="K31" s="245" t="str">
        <f t="shared" ca="1" si="3"/>
        <v/>
      </c>
      <c r="L31" s="245" t="str">
        <f t="shared" ca="1" si="3"/>
        <v/>
      </c>
      <c r="M31" s="246">
        <f ca="1">COUNTIF(Teams!$4:$20,A31)</f>
        <v>3</v>
      </c>
      <c r="N31" s="247">
        <f ca="1">VLOOKUP(A31,Score!B:Z,25,0)</f>
        <v>10.038275879654501</v>
      </c>
    </row>
    <row r="32" spans="1:14" s="250" customFormat="1">
      <c r="A32" s="244" t="s">
        <v>155</v>
      </c>
      <c r="B32" s="245" t="str">
        <f t="shared" ca="1" si="2"/>
        <v/>
      </c>
      <c r="C32" s="245" t="str">
        <f t="shared" ca="1" si="2"/>
        <v/>
      </c>
      <c r="D32" s="245">
        <f t="shared" ca="1" si="2"/>
        <v>3</v>
      </c>
      <c r="E32" s="245" t="str">
        <f t="shared" ca="1" si="2"/>
        <v/>
      </c>
      <c r="F32" s="245" t="str">
        <f t="shared" ca="1" si="2"/>
        <v/>
      </c>
      <c r="G32" s="245" t="str">
        <f t="shared" ca="1" si="2"/>
        <v/>
      </c>
      <c r="H32" s="245" t="str">
        <f t="shared" ca="1" si="2"/>
        <v/>
      </c>
      <c r="I32" s="245">
        <f t="shared" ca="1" si="2"/>
        <v>3</v>
      </c>
      <c r="J32" s="245">
        <f t="shared" ca="1" si="2"/>
        <v>3</v>
      </c>
      <c r="K32" s="245" t="str">
        <f t="shared" ca="1" si="2"/>
        <v/>
      </c>
      <c r="L32" s="245" t="str">
        <f t="shared" ca="1" si="2"/>
        <v/>
      </c>
      <c r="M32" s="246">
        <f ca="1">COUNTIF(Teams!$4:$20,A32)</f>
        <v>3</v>
      </c>
      <c r="N32" s="247">
        <f ca="1">VLOOKUP(A32,Score!B:Z,25,0)</f>
        <v>61.083544147459484</v>
      </c>
    </row>
    <row r="33" spans="1:16" s="294" customFormat="1">
      <c r="A33" s="314" t="s">
        <v>186</v>
      </c>
      <c r="B33" s="315" t="str">
        <f t="shared" ref="B33:L42" ca="1" si="4">IF(ISERROR(VLOOKUP($A33,INDIRECT(B$1&amp;"!"&amp;"c4:c20"),1,0)),"",$M33)</f>
        <v/>
      </c>
      <c r="C33" s="315">
        <f t="shared" ca="1" si="4"/>
        <v>3</v>
      </c>
      <c r="D33" s="315" t="str">
        <f t="shared" ca="1" si="4"/>
        <v/>
      </c>
      <c r="E33" s="315" t="str">
        <f t="shared" ca="1" si="4"/>
        <v/>
      </c>
      <c r="F33" s="315">
        <f t="shared" ca="1" si="4"/>
        <v>3</v>
      </c>
      <c r="G33" s="315">
        <f t="shared" ca="1" si="4"/>
        <v>3</v>
      </c>
      <c r="H33" s="315" t="str">
        <f t="shared" ca="1" si="4"/>
        <v/>
      </c>
      <c r="I33" s="315" t="str">
        <f t="shared" ca="1" si="4"/>
        <v/>
      </c>
      <c r="J33" s="315" t="str">
        <f t="shared" ca="1" si="4"/>
        <v/>
      </c>
      <c r="K33" s="315" t="str">
        <f t="shared" ca="1" si="4"/>
        <v/>
      </c>
      <c r="L33" s="315" t="str">
        <f t="shared" ca="1" si="4"/>
        <v/>
      </c>
      <c r="M33" s="316">
        <f ca="1">COUNTIF(Teams!$4:$20,A33)</f>
        <v>3</v>
      </c>
      <c r="N33" s="317">
        <f ca="1">VLOOKUP(A33,Score!B:Z,25,0)</f>
        <v>147.06732715684512</v>
      </c>
    </row>
    <row r="34" spans="1:16" s="250" customFormat="1">
      <c r="A34" s="244" t="s">
        <v>134</v>
      </c>
      <c r="B34" s="245" t="str">
        <f t="shared" ca="1" si="4"/>
        <v/>
      </c>
      <c r="C34" s="245">
        <f t="shared" ca="1" si="4"/>
        <v>4</v>
      </c>
      <c r="D34" s="245" t="str">
        <f t="shared" ca="1" si="4"/>
        <v/>
      </c>
      <c r="E34" s="245">
        <f t="shared" ca="1" si="4"/>
        <v>4</v>
      </c>
      <c r="F34" s="245">
        <f t="shared" ca="1" si="4"/>
        <v>4</v>
      </c>
      <c r="G34" s="245" t="str">
        <f t="shared" ca="1" si="4"/>
        <v/>
      </c>
      <c r="H34" s="245">
        <f t="shared" ca="1" si="4"/>
        <v>4</v>
      </c>
      <c r="I34" s="245" t="str">
        <f t="shared" ca="1" si="4"/>
        <v/>
      </c>
      <c r="J34" s="245" t="str">
        <f t="shared" ca="1" si="4"/>
        <v/>
      </c>
      <c r="K34" s="245" t="str">
        <f t="shared" ca="1" si="4"/>
        <v/>
      </c>
      <c r="L34" s="245" t="str">
        <f t="shared" ca="1" si="4"/>
        <v/>
      </c>
      <c r="M34" s="246">
        <f ca="1">COUNTIF(Teams!$4:$20,A34)</f>
        <v>4</v>
      </c>
      <c r="N34" s="247">
        <f ca="1">VLOOKUP(A34,Score!B:Z,25,0)</f>
        <v>116.0230697155452</v>
      </c>
    </row>
    <row r="35" spans="1:16" s="250" customFormat="1">
      <c r="A35" s="244" t="s">
        <v>132</v>
      </c>
      <c r="B35" s="245">
        <f t="shared" ca="1" si="4"/>
        <v>4</v>
      </c>
      <c r="C35" s="245" t="str">
        <f t="shared" ca="1" si="4"/>
        <v/>
      </c>
      <c r="D35" s="245">
        <f t="shared" ca="1" si="4"/>
        <v>4</v>
      </c>
      <c r="E35" s="245">
        <f t="shared" ca="1" si="4"/>
        <v>4</v>
      </c>
      <c r="F35" s="245" t="str">
        <f t="shared" ca="1" si="4"/>
        <v/>
      </c>
      <c r="G35" s="245" t="str">
        <f t="shared" ca="1" si="4"/>
        <v/>
      </c>
      <c r="H35" s="245" t="str">
        <f t="shared" ca="1" si="4"/>
        <v/>
      </c>
      <c r="I35" s="245" t="str">
        <f t="shared" ca="1" si="4"/>
        <v/>
      </c>
      <c r="J35" s="245">
        <f t="shared" ca="1" si="4"/>
        <v>4</v>
      </c>
      <c r="K35" s="245" t="str">
        <f t="shared" ca="1" si="4"/>
        <v/>
      </c>
      <c r="L35" s="245" t="str">
        <f t="shared" ca="1" si="4"/>
        <v/>
      </c>
      <c r="M35" s="246">
        <f ca="1">COUNTIF(Teams!$4:$20,A35)</f>
        <v>4</v>
      </c>
      <c r="N35" s="247">
        <f ca="1">VLOOKUP(A35,Score!B:Z,25,0)</f>
        <v>25.058341169026072</v>
      </c>
    </row>
    <row r="36" spans="1:16" s="250" customFormat="1">
      <c r="A36" s="244" t="s">
        <v>125</v>
      </c>
      <c r="B36" s="245" t="str">
        <f t="shared" ca="1" si="4"/>
        <v/>
      </c>
      <c r="C36" s="245" t="str">
        <f t="shared" ca="1" si="4"/>
        <v/>
      </c>
      <c r="D36" s="245" t="str">
        <f t="shared" ca="1" si="4"/>
        <v/>
      </c>
      <c r="E36" s="245" t="str">
        <f t="shared" ca="1" si="4"/>
        <v/>
      </c>
      <c r="F36" s="245" t="str">
        <f t="shared" ca="1" si="4"/>
        <v/>
      </c>
      <c r="G36" s="245" t="str">
        <f t="shared" ca="1" si="4"/>
        <v/>
      </c>
      <c r="H36" s="245">
        <f t="shared" ca="1" si="4"/>
        <v>4</v>
      </c>
      <c r="I36" s="245" t="str">
        <f t="shared" ca="1" si="4"/>
        <v/>
      </c>
      <c r="J36" s="245">
        <f t="shared" ca="1" si="4"/>
        <v>4</v>
      </c>
      <c r="K36" s="245">
        <f t="shared" ca="1" si="4"/>
        <v>4</v>
      </c>
      <c r="L36" s="245">
        <f t="shared" ca="1" si="4"/>
        <v>4</v>
      </c>
      <c r="M36" s="246">
        <f ca="1">COUNTIF(Teams!$4:$20,A36)</f>
        <v>4</v>
      </c>
      <c r="N36" s="247">
        <f ca="1">VLOOKUP(A36,Score!B:Z,25,0)</f>
        <v>44.082152753603047</v>
      </c>
    </row>
    <row r="37" spans="1:16" s="294" customFormat="1">
      <c r="A37" s="314" t="s">
        <v>114</v>
      </c>
      <c r="B37" s="315" t="str">
        <f t="shared" ca="1" si="4"/>
        <v/>
      </c>
      <c r="C37" s="315" t="str">
        <f t="shared" ca="1" si="4"/>
        <v/>
      </c>
      <c r="D37" s="315" t="str">
        <f t="shared" ca="1" si="4"/>
        <v/>
      </c>
      <c r="E37" s="315" t="str">
        <f t="shared" ca="1" si="4"/>
        <v/>
      </c>
      <c r="F37" s="315" t="str">
        <f t="shared" ca="1" si="4"/>
        <v/>
      </c>
      <c r="G37" s="315" t="str">
        <f t="shared" ca="1" si="4"/>
        <v/>
      </c>
      <c r="H37" s="315" t="str">
        <f t="shared" ca="1" si="4"/>
        <v/>
      </c>
      <c r="I37" s="315" t="str">
        <f t="shared" ca="1" si="4"/>
        <v/>
      </c>
      <c r="J37" s="315" t="str">
        <f t="shared" ca="1" si="4"/>
        <v/>
      </c>
      <c r="K37" s="315" t="str">
        <f t="shared" ca="1" si="4"/>
        <v/>
      </c>
      <c r="L37" s="315" t="str">
        <f t="shared" ca="1" si="4"/>
        <v/>
      </c>
      <c r="M37" s="316">
        <f ca="1">COUNTIF(Teams!$4:$20,A37)</f>
        <v>0</v>
      </c>
      <c r="N37" s="317">
        <f ca="1">VLOOKUP(A37,Score!B:Z,25,0)</f>
        <v>59.066929365810573</v>
      </c>
    </row>
    <row r="38" spans="1:16" s="250" customFormat="1">
      <c r="A38" s="244" t="s">
        <v>55</v>
      </c>
      <c r="B38" s="245">
        <f t="shared" ref="B38:L38" ca="1" si="5">IF(ISERROR(VLOOKUP($A38,INDIRECT(B$1&amp;"!"&amp;"c4:c20"),1,0)),"",$M38)</f>
        <v>5</v>
      </c>
      <c r="C38" s="245">
        <f t="shared" ca="1" si="5"/>
        <v>5</v>
      </c>
      <c r="D38" s="245" t="str">
        <f t="shared" ca="1" si="5"/>
        <v/>
      </c>
      <c r="E38" s="245">
        <f t="shared" ca="1" si="5"/>
        <v>5</v>
      </c>
      <c r="F38" s="245" t="str">
        <f t="shared" ca="1" si="5"/>
        <v/>
      </c>
      <c r="G38" s="245" t="str">
        <f t="shared" ca="1" si="5"/>
        <v/>
      </c>
      <c r="H38" s="245" t="str">
        <f t="shared" ca="1" si="5"/>
        <v/>
      </c>
      <c r="I38" s="245">
        <f t="shared" ca="1" si="5"/>
        <v>5</v>
      </c>
      <c r="J38" s="245">
        <f t="shared" ca="1" si="5"/>
        <v>5</v>
      </c>
      <c r="K38" s="245" t="str">
        <f t="shared" ca="1" si="5"/>
        <v/>
      </c>
      <c r="L38" s="245" t="str">
        <f t="shared" ca="1" si="5"/>
        <v/>
      </c>
      <c r="M38" s="246">
        <f ca="1">COUNTIF(Teams!$4:$20,A38)</f>
        <v>5</v>
      </c>
      <c r="N38" s="247">
        <f ca="1">VLOOKUP(A38,Score!B:Z,25,0)</f>
        <v>182.09364151412717</v>
      </c>
    </row>
    <row r="39" spans="1:16" s="250" customFormat="1">
      <c r="A39" s="244" t="s">
        <v>56</v>
      </c>
      <c r="B39" s="245" t="str">
        <f t="shared" ca="1" si="4"/>
        <v/>
      </c>
      <c r="C39" s="245">
        <f t="shared" ca="1" si="4"/>
        <v>5</v>
      </c>
      <c r="D39" s="245">
        <f t="shared" ca="1" si="4"/>
        <v>5</v>
      </c>
      <c r="E39" s="245" t="str">
        <f t="shared" ca="1" si="4"/>
        <v/>
      </c>
      <c r="F39" s="245">
        <f t="shared" ca="1" si="4"/>
        <v>5</v>
      </c>
      <c r="G39" s="245">
        <f t="shared" ca="1" si="4"/>
        <v>5</v>
      </c>
      <c r="H39" s="245" t="str">
        <f t="shared" ca="1" si="4"/>
        <v/>
      </c>
      <c r="I39" s="245">
        <f t="shared" ca="1" si="4"/>
        <v>5</v>
      </c>
      <c r="J39" s="245" t="str">
        <f t="shared" ca="1" si="4"/>
        <v/>
      </c>
      <c r="K39" s="245" t="str">
        <f t="shared" ca="1" si="4"/>
        <v/>
      </c>
      <c r="L39" s="245" t="str">
        <f t="shared" ca="1" si="4"/>
        <v/>
      </c>
      <c r="M39" s="246">
        <f ca="1">COUNTIF(Teams!$4:$20,A39)</f>
        <v>5</v>
      </c>
      <c r="N39" s="247">
        <f ca="1">VLOOKUP(A39,Score!B:Z,25,0)</f>
        <v>260.0929480193098</v>
      </c>
    </row>
    <row r="40" spans="1:16" s="263" customFormat="1">
      <c r="A40" s="262" t="s">
        <v>81</v>
      </c>
      <c r="B40" s="297">
        <f t="shared" ca="1" si="4"/>
        <v>6</v>
      </c>
      <c r="C40" s="297" t="str">
        <f t="shared" ca="1" si="4"/>
        <v/>
      </c>
      <c r="D40" s="297" t="str">
        <f t="shared" ca="1" si="4"/>
        <v/>
      </c>
      <c r="E40" s="297" t="str">
        <f t="shared" ca="1" si="4"/>
        <v/>
      </c>
      <c r="F40" s="297">
        <f t="shared" ca="1" si="4"/>
        <v>6</v>
      </c>
      <c r="G40" s="297">
        <f t="shared" ca="1" si="4"/>
        <v>6</v>
      </c>
      <c r="H40" s="297">
        <f t="shared" ca="1" si="4"/>
        <v>6</v>
      </c>
      <c r="I40" s="297">
        <f t="shared" ca="1" si="4"/>
        <v>6</v>
      </c>
      <c r="J40" s="297" t="str">
        <f t="shared" ca="1" si="4"/>
        <v/>
      </c>
      <c r="K40" s="297" t="str">
        <f t="shared" ca="1" si="4"/>
        <v/>
      </c>
      <c r="L40" s="297">
        <f t="shared" ca="1" si="4"/>
        <v>6</v>
      </c>
      <c r="M40" s="298">
        <f ca="1">COUNTIF(Teams!$4:$20,A40)</f>
        <v>6</v>
      </c>
      <c r="N40" s="299">
        <f ca="1">VLOOKUP(A40,Score!B:Z,25,0)</f>
        <v>158.02617611132291</v>
      </c>
    </row>
    <row r="41" spans="1:16" s="250" customFormat="1">
      <c r="A41" s="244" t="s">
        <v>139</v>
      </c>
      <c r="B41" s="245" t="str">
        <f t="shared" ca="1" si="4"/>
        <v/>
      </c>
      <c r="C41" s="245">
        <f t="shared" ca="1" si="4"/>
        <v>6</v>
      </c>
      <c r="D41" s="245">
        <f t="shared" ca="1" si="4"/>
        <v>6</v>
      </c>
      <c r="E41" s="245" t="str">
        <f t="shared" ca="1" si="4"/>
        <v/>
      </c>
      <c r="F41" s="245" t="str">
        <f t="shared" ca="1" si="4"/>
        <v/>
      </c>
      <c r="G41" s="245" t="str">
        <f t="shared" ca="1" si="4"/>
        <v/>
      </c>
      <c r="H41" s="245">
        <f t="shared" ca="1" si="4"/>
        <v>6</v>
      </c>
      <c r="I41" s="245">
        <f t="shared" ca="1" si="4"/>
        <v>6</v>
      </c>
      <c r="J41" s="245" t="str">
        <f t="shared" ca="1" si="4"/>
        <v/>
      </c>
      <c r="K41" s="245">
        <f t="shared" ca="1" si="4"/>
        <v>6</v>
      </c>
      <c r="L41" s="245">
        <f t="shared" ca="1" si="4"/>
        <v>6</v>
      </c>
      <c r="M41" s="246">
        <f ca="1">COUNTIF(Teams!$4:$20,A41)</f>
        <v>6</v>
      </c>
      <c r="N41" s="247">
        <f ca="1">VLOOKUP(A41,Score!B:Z,25,0)</f>
        <v>88.089619655998845</v>
      </c>
    </row>
    <row r="42" spans="1:16" s="250" customFormat="1">
      <c r="A42" s="244" t="s">
        <v>98</v>
      </c>
      <c r="B42" s="245">
        <f t="shared" ca="1" si="4"/>
        <v>6</v>
      </c>
      <c r="C42" s="245" t="str">
        <f t="shared" ca="1" si="4"/>
        <v/>
      </c>
      <c r="D42" s="245" t="str">
        <f t="shared" ca="1" si="4"/>
        <v/>
      </c>
      <c r="E42" s="245">
        <f t="shared" ca="1" si="4"/>
        <v>6</v>
      </c>
      <c r="F42" s="245" t="str">
        <f t="shared" ca="1" si="4"/>
        <v/>
      </c>
      <c r="G42" s="245" t="str">
        <f t="shared" ca="1" si="4"/>
        <v/>
      </c>
      <c r="H42" s="245">
        <f t="shared" ca="1" si="4"/>
        <v>6</v>
      </c>
      <c r="I42" s="245" t="str">
        <f t="shared" ca="1" si="4"/>
        <v/>
      </c>
      <c r="J42" s="245">
        <f t="shared" ca="1" si="4"/>
        <v>6</v>
      </c>
      <c r="K42" s="245">
        <f t="shared" ca="1" si="4"/>
        <v>6</v>
      </c>
      <c r="L42" s="245">
        <f t="shared" ca="1" si="4"/>
        <v>6</v>
      </c>
      <c r="M42" s="246">
        <f ca="1">COUNTIF(Teams!$4:$20,A42)</f>
        <v>6</v>
      </c>
      <c r="N42" s="247">
        <f ca="1">VLOOKUP(A42,Score!B:Z,25,0)</f>
        <v>103.02325734091917</v>
      </c>
    </row>
    <row r="43" spans="1:16" s="294" customFormat="1">
      <c r="A43" s="314" t="s">
        <v>93</v>
      </c>
      <c r="B43" s="315">
        <f t="shared" ref="B43:L53" ca="1" si="6">IF(ISERROR(VLOOKUP($A43,INDIRECT(B$1&amp;"!"&amp;"c4:c20"),1,0)),"",$M43)</f>
        <v>6</v>
      </c>
      <c r="C43" s="315" t="str">
        <f t="shared" ca="1" si="6"/>
        <v/>
      </c>
      <c r="D43" s="315" t="str">
        <f t="shared" ca="1" si="6"/>
        <v/>
      </c>
      <c r="E43" s="315">
        <f t="shared" ca="1" si="6"/>
        <v>6</v>
      </c>
      <c r="F43" s="315">
        <f t="shared" ca="1" si="6"/>
        <v>6</v>
      </c>
      <c r="G43" s="315" t="str">
        <f t="shared" ca="1" si="6"/>
        <v/>
      </c>
      <c r="H43" s="315" t="str">
        <f t="shared" ca="1" si="6"/>
        <v/>
      </c>
      <c r="I43" s="315" t="str">
        <f t="shared" ca="1" si="6"/>
        <v/>
      </c>
      <c r="J43" s="315">
        <f t="shared" ca="1" si="6"/>
        <v>6</v>
      </c>
      <c r="K43" s="315">
        <f t="shared" ca="1" si="6"/>
        <v>6</v>
      </c>
      <c r="L43" s="315">
        <f t="shared" ca="1" si="6"/>
        <v>6</v>
      </c>
      <c r="M43" s="316">
        <f ca="1">COUNTIF(Teams!$4:$20,A43)</f>
        <v>6</v>
      </c>
      <c r="N43" s="317">
        <f ca="1">VLOOKUP(A43,Score!B:Z,25,0)</f>
        <v>8.0369351678980475E-2</v>
      </c>
    </row>
    <row r="44" spans="1:16" s="250" customFormat="1">
      <c r="A44" s="244" t="s">
        <v>45</v>
      </c>
      <c r="B44" s="245" t="str">
        <f t="shared" ca="1" si="6"/>
        <v/>
      </c>
      <c r="C44" s="245">
        <f t="shared" ca="1" si="6"/>
        <v>8</v>
      </c>
      <c r="D44" s="245">
        <f t="shared" ca="1" si="6"/>
        <v>8</v>
      </c>
      <c r="E44" s="245" t="str">
        <f t="shared" ca="1" si="6"/>
        <v/>
      </c>
      <c r="F44" s="245" t="str">
        <f t="shared" ca="1" si="6"/>
        <v/>
      </c>
      <c r="G44" s="245">
        <f t="shared" ca="1" si="6"/>
        <v>8</v>
      </c>
      <c r="H44" s="245">
        <f t="shared" ca="1" si="6"/>
        <v>8</v>
      </c>
      <c r="I44" s="245">
        <f t="shared" ca="1" si="6"/>
        <v>8</v>
      </c>
      <c r="J44" s="245">
        <f t="shared" ca="1" si="6"/>
        <v>8</v>
      </c>
      <c r="K44" s="245">
        <f t="shared" ca="1" si="6"/>
        <v>8</v>
      </c>
      <c r="L44" s="245">
        <f t="shared" ca="1" si="6"/>
        <v>8</v>
      </c>
      <c r="M44" s="246">
        <f ca="1">COUNTIF(Teams!$4:$20,A44)</f>
        <v>8</v>
      </c>
      <c r="N44" s="247">
        <f ca="1">VLOOKUP(A44,Score!B:Z,25,0)</f>
        <v>162.09430241757497</v>
      </c>
    </row>
    <row r="45" spans="1:16" s="261" customFormat="1">
      <c r="A45" s="260" t="s">
        <v>94</v>
      </c>
      <c r="B45" s="252">
        <f t="shared" ca="1" si="6"/>
        <v>8</v>
      </c>
      <c r="C45" s="252" t="str">
        <f t="shared" ca="1" si="6"/>
        <v/>
      </c>
      <c r="D45" s="252" t="str">
        <f t="shared" ca="1" si="6"/>
        <v/>
      </c>
      <c r="E45" s="252" t="str">
        <f t="shared" ca="1" si="6"/>
        <v/>
      </c>
      <c r="F45" s="252">
        <f t="shared" ca="1" si="6"/>
        <v>8</v>
      </c>
      <c r="G45" s="252">
        <f t="shared" ca="1" si="6"/>
        <v>8</v>
      </c>
      <c r="H45" s="252">
        <f t="shared" ca="1" si="6"/>
        <v>8</v>
      </c>
      <c r="I45" s="252">
        <f t="shared" ca="1" si="6"/>
        <v>8</v>
      </c>
      <c r="J45" s="252">
        <f t="shared" ca="1" si="6"/>
        <v>8</v>
      </c>
      <c r="K45" s="252">
        <f t="shared" ca="1" si="6"/>
        <v>8</v>
      </c>
      <c r="L45" s="252">
        <f t="shared" ca="1" si="6"/>
        <v>8</v>
      </c>
      <c r="M45" s="292">
        <f ca="1">COUNTIF(Teams!$4:$20,A45)</f>
        <v>8</v>
      </c>
      <c r="N45" s="293">
        <f ca="1">VLOOKUP(A45,Score!B:Z,25,0)</f>
        <v>179.01066917445166</v>
      </c>
    </row>
    <row r="46" spans="1:16" s="291" customFormat="1">
      <c r="A46" s="244" t="s">
        <v>96</v>
      </c>
      <c r="B46" s="245">
        <f t="shared" ca="1" si="6"/>
        <v>9</v>
      </c>
      <c r="C46" s="245">
        <f t="shared" ca="1" si="6"/>
        <v>9</v>
      </c>
      <c r="D46" s="245" t="str">
        <f t="shared" ca="1" si="6"/>
        <v/>
      </c>
      <c r="E46" s="245" t="str">
        <f t="shared" ca="1" si="6"/>
        <v/>
      </c>
      <c r="F46" s="245">
        <f t="shared" ca="1" si="6"/>
        <v>9</v>
      </c>
      <c r="G46" s="245">
        <f t="shared" ca="1" si="6"/>
        <v>9</v>
      </c>
      <c r="H46" s="245">
        <f t="shared" ca="1" si="6"/>
        <v>9</v>
      </c>
      <c r="I46" s="245">
        <f t="shared" ca="1" si="6"/>
        <v>9</v>
      </c>
      <c r="J46" s="245">
        <f t="shared" ca="1" si="6"/>
        <v>9</v>
      </c>
      <c r="K46" s="245">
        <f t="shared" ca="1" si="6"/>
        <v>9</v>
      </c>
      <c r="L46" s="245">
        <f t="shared" ca="1" si="6"/>
        <v>9</v>
      </c>
      <c r="M46" s="246">
        <f ca="1">COUNTIF(Teams!$4:$20,A46)</f>
        <v>9</v>
      </c>
      <c r="N46" s="247">
        <f ca="1">VLOOKUP(A46,Score!B:Z,25,0)</f>
        <v>223.00714110252321</v>
      </c>
    </row>
    <row r="47" spans="1:16" s="250" customFormat="1">
      <c r="A47" s="244" t="s">
        <v>116</v>
      </c>
      <c r="B47" s="245" t="str">
        <f t="shared" ca="1" si="6"/>
        <v/>
      </c>
      <c r="C47" s="245" t="str">
        <f t="shared" ca="1" si="6"/>
        <v/>
      </c>
      <c r="D47" s="245">
        <f t="shared" ca="1" si="6"/>
        <v>9</v>
      </c>
      <c r="E47" s="245">
        <f t="shared" ca="1" si="6"/>
        <v>9</v>
      </c>
      <c r="F47" s="245">
        <f t="shared" ca="1" si="6"/>
        <v>9</v>
      </c>
      <c r="G47" s="245">
        <f t="shared" ca="1" si="6"/>
        <v>9</v>
      </c>
      <c r="H47" s="245">
        <f t="shared" ca="1" si="6"/>
        <v>9</v>
      </c>
      <c r="I47" s="245">
        <f t="shared" ca="1" si="6"/>
        <v>9</v>
      </c>
      <c r="J47" s="245">
        <f t="shared" ca="1" si="6"/>
        <v>9</v>
      </c>
      <c r="K47" s="245">
        <f t="shared" ca="1" si="6"/>
        <v>9</v>
      </c>
      <c r="L47" s="245">
        <f t="shared" ca="1" si="6"/>
        <v>9</v>
      </c>
      <c r="M47" s="246">
        <f ca="1">COUNTIF(Teams!$4:$20,A47)</f>
        <v>9</v>
      </c>
      <c r="N47" s="247">
        <f ca="1">VLOOKUP(A47,Score!B:Z,25,0)</f>
        <v>191.09857885058679</v>
      </c>
    </row>
    <row r="48" spans="1:16" s="294" customFormat="1">
      <c r="A48" s="314" t="s">
        <v>111</v>
      </c>
      <c r="B48" s="315">
        <f t="shared" ca="1" si="6"/>
        <v>9</v>
      </c>
      <c r="C48" s="315" t="str">
        <f t="shared" ca="1" si="6"/>
        <v/>
      </c>
      <c r="D48" s="315">
        <f t="shared" ca="1" si="6"/>
        <v>9</v>
      </c>
      <c r="E48" s="315">
        <f t="shared" ca="1" si="6"/>
        <v>9</v>
      </c>
      <c r="F48" s="315">
        <f t="shared" ca="1" si="6"/>
        <v>9</v>
      </c>
      <c r="G48" s="315">
        <f t="shared" ca="1" si="6"/>
        <v>9</v>
      </c>
      <c r="H48" s="315" t="str">
        <f t="shared" ca="1" si="6"/>
        <v/>
      </c>
      <c r="I48" s="315">
        <f t="shared" ca="1" si="6"/>
        <v>9</v>
      </c>
      <c r="J48" s="315">
        <f t="shared" ca="1" si="6"/>
        <v>9</v>
      </c>
      <c r="K48" s="315">
        <f t="shared" ca="1" si="6"/>
        <v>9</v>
      </c>
      <c r="L48" s="315">
        <f t="shared" ca="1" si="6"/>
        <v>9</v>
      </c>
      <c r="M48" s="316">
        <f ca="1">COUNTIF(Teams!$4:$20,A48)</f>
        <v>9</v>
      </c>
      <c r="N48" s="331">
        <f ca="1">VLOOKUP(A48,Score!B:Z,25,0)</f>
        <v>7.3887579843106635E-2</v>
      </c>
      <c r="O48" s="332" t="s">
        <v>194</v>
      </c>
      <c r="P48" s="333"/>
    </row>
    <row r="49" spans="1:14" s="291" customFormat="1">
      <c r="A49" s="244" t="s">
        <v>76</v>
      </c>
      <c r="B49" s="245">
        <f t="shared" ref="B49:L49" ca="1" si="7">IF(ISERROR(VLOOKUP($A49,INDIRECT(B$1&amp;"!"&amp;"c4:c20"),1,0)),"",$M49)</f>
        <v>10</v>
      </c>
      <c r="C49" s="245">
        <f t="shared" ca="1" si="7"/>
        <v>10</v>
      </c>
      <c r="D49" s="245">
        <f t="shared" ca="1" si="7"/>
        <v>10</v>
      </c>
      <c r="E49" s="245">
        <f t="shared" ca="1" si="7"/>
        <v>10</v>
      </c>
      <c r="F49" s="245">
        <f t="shared" ca="1" si="7"/>
        <v>10</v>
      </c>
      <c r="G49" s="245" t="str">
        <f t="shared" ca="1" si="7"/>
        <v/>
      </c>
      <c r="H49" s="245">
        <f t="shared" ca="1" si="7"/>
        <v>10</v>
      </c>
      <c r="I49" s="245">
        <f t="shared" ca="1" si="7"/>
        <v>10</v>
      </c>
      <c r="J49" s="245">
        <f t="shared" ca="1" si="7"/>
        <v>10</v>
      </c>
      <c r="K49" s="245">
        <f t="shared" ca="1" si="7"/>
        <v>10</v>
      </c>
      <c r="L49" s="245">
        <f t="shared" ca="1" si="7"/>
        <v>10</v>
      </c>
      <c r="M49" s="246">
        <f ca="1">COUNTIF(Teams!$4:$20,A49)</f>
        <v>10</v>
      </c>
      <c r="N49" s="247">
        <f ca="1">VLOOKUP(A49,Score!B:Z,25,0)</f>
        <v>340.0308528257716</v>
      </c>
    </row>
    <row r="50" spans="1:14" s="250" customFormat="1">
      <c r="A50" s="244" t="s">
        <v>90</v>
      </c>
      <c r="B50" s="245">
        <f t="shared" ca="1" si="6"/>
        <v>10</v>
      </c>
      <c r="C50" s="245">
        <f t="shared" ca="1" si="6"/>
        <v>10</v>
      </c>
      <c r="D50" s="245">
        <f t="shared" ca="1" si="6"/>
        <v>10</v>
      </c>
      <c r="E50" s="245">
        <f t="shared" ca="1" si="6"/>
        <v>10</v>
      </c>
      <c r="F50" s="245" t="str">
        <f t="shared" ca="1" si="6"/>
        <v/>
      </c>
      <c r="G50" s="245">
        <f t="shared" ca="1" si="6"/>
        <v>10</v>
      </c>
      <c r="H50" s="245">
        <f t="shared" ca="1" si="6"/>
        <v>10</v>
      </c>
      <c r="I50" s="245">
        <f t="shared" ca="1" si="6"/>
        <v>10</v>
      </c>
      <c r="J50" s="245">
        <f t="shared" ca="1" si="6"/>
        <v>10</v>
      </c>
      <c r="K50" s="245">
        <f t="shared" ca="1" si="6"/>
        <v>10</v>
      </c>
      <c r="L50" s="245">
        <f t="shared" ca="1" si="6"/>
        <v>10</v>
      </c>
      <c r="M50" s="246">
        <f ca="1">COUNTIF(Teams!$4:$20,A50)</f>
        <v>10</v>
      </c>
      <c r="N50" s="247">
        <f ca="1">VLOOKUP(A50,Score!B:Z,25,0)</f>
        <v>162.00067678008929</v>
      </c>
    </row>
    <row r="51" spans="1:14" s="250" customFormat="1">
      <c r="A51" s="244" t="s">
        <v>97</v>
      </c>
      <c r="B51" s="245" t="str">
        <f t="shared" ca="1" si="6"/>
        <v/>
      </c>
      <c r="C51" s="245">
        <f t="shared" ca="1" si="6"/>
        <v>10</v>
      </c>
      <c r="D51" s="245">
        <f t="shared" ca="1" si="6"/>
        <v>10</v>
      </c>
      <c r="E51" s="245">
        <f t="shared" ca="1" si="6"/>
        <v>10</v>
      </c>
      <c r="F51" s="245">
        <f t="shared" ca="1" si="6"/>
        <v>10</v>
      </c>
      <c r="G51" s="245">
        <f t="shared" ca="1" si="6"/>
        <v>10</v>
      </c>
      <c r="H51" s="245">
        <f t="shared" ca="1" si="6"/>
        <v>10</v>
      </c>
      <c r="I51" s="245">
        <f t="shared" ca="1" si="6"/>
        <v>10</v>
      </c>
      <c r="J51" s="245">
        <f t="shared" ca="1" si="6"/>
        <v>10</v>
      </c>
      <c r="K51" s="245">
        <f t="shared" ca="1" si="6"/>
        <v>10</v>
      </c>
      <c r="L51" s="245">
        <f t="shared" ca="1" si="6"/>
        <v>10</v>
      </c>
      <c r="M51" s="246">
        <f ca="1">COUNTIF(Teams!$4:$20,A51)</f>
        <v>10</v>
      </c>
      <c r="N51" s="247">
        <f ca="1">VLOOKUP(A51,Score!B:Z,25,0)</f>
        <v>113.09749620163156</v>
      </c>
    </row>
    <row r="52" spans="1:14" s="261" customFormat="1">
      <c r="A52" s="260" t="s">
        <v>74</v>
      </c>
      <c r="B52" s="252" t="str">
        <f t="shared" ca="1" si="6"/>
        <v/>
      </c>
      <c r="C52" s="252">
        <f t="shared" ca="1" si="6"/>
        <v>10</v>
      </c>
      <c r="D52" s="252">
        <f t="shared" ca="1" si="6"/>
        <v>10</v>
      </c>
      <c r="E52" s="252">
        <f t="shared" ca="1" si="6"/>
        <v>10</v>
      </c>
      <c r="F52" s="252">
        <f t="shared" ca="1" si="6"/>
        <v>10</v>
      </c>
      <c r="G52" s="252">
        <f t="shared" ca="1" si="6"/>
        <v>10</v>
      </c>
      <c r="H52" s="252">
        <f t="shared" ca="1" si="6"/>
        <v>10</v>
      </c>
      <c r="I52" s="252">
        <f t="shared" ca="1" si="6"/>
        <v>10</v>
      </c>
      <c r="J52" s="252">
        <f t="shared" ca="1" si="6"/>
        <v>10</v>
      </c>
      <c r="K52" s="252">
        <f t="shared" ca="1" si="6"/>
        <v>10</v>
      </c>
      <c r="L52" s="252">
        <f t="shared" ca="1" si="6"/>
        <v>10</v>
      </c>
      <c r="M52" s="292">
        <f ca="1">COUNTIF(Teams!$4:$20,A52)</f>
        <v>10</v>
      </c>
      <c r="N52" s="293">
        <f ca="1">VLOOKUP(A52,Score!B:Z,25,0)</f>
        <v>446.01544144758032</v>
      </c>
    </row>
    <row r="53" spans="1:14" s="291" customFormat="1">
      <c r="A53" s="310" t="s">
        <v>95</v>
      </c>
      <c r="B53" s="311">
        <f t="shared" ca="1" si="6"/>
        <v>11</v>
      </c>
      <c r="C53" s="311">
        <f t="shared" ca="1" si="6"/>
        <v>11</v>
      </c>
      <c r="D53" s="311">
        <f t="shared" ca="1" si="6"/>
        <v>11</v>
      </c>
      <c r="E53" s="311">
        <f t="shared" ca="1" si="6"/>
        <v>11</v>
      </c>
      <c r="F53" s="311">
        <f t="shared" ca="1" si="6"/>
        <v>11</v>
      </c>
      <c r="G53" s="311">
        <f t="shared" ca="1" si="6"/>
        <v>11</v>
      </c>
      <c r="H53" s="311">
        <f t="shared" ca="1" si="6"/>
        <v>11</v>
      </c>
      <c r="I53" s="311">
        <f t="shared" ca="1" si="6"/>
        <v>11</v>
      </c>
      <c r="J53" s="311">
        <f t="shared" ca="1" si="6"/>
        <v>11</v>
      </c>
      <c r="K53" s="311">
        <f t="shared" ca="1" si="6"/>
        <v>11</v>
      </c>
      <c r="L53" s="311">
        <f t="shared" ca="1" si="6"/>
        <v>11</v>
      </c>
      <c r="M53" s="312">
        <f ca="1">COUNTIF(Teams!$4:$20,A53)</f>
        <v>11</v>
      </c>
      <c r="N53" s="313">
        <f ca="1">VLOOKUP(A53,Score!B:Z,25,0)</f>
        <v>226.18908810956881</v>
      </c>
    </row>
    <row r="54" spans="1:14" s="250" customFormat="1" hidden="1">
      <c r="A54" s="244"/>
      <c r="B54" s="245" t="str">
        <f t="shared" ref="B54" ca="1" si="8">IF(ISERROR(VLOOKUP($A54,INDIRECT(B$1&amp;"!"&amp;"c4:c20"),1,0)),"",$M54)</f>
        <v/>
      </c>
      <c r="C54" s="245" t="str">
        <f t="shared" ref="C54:L61" ca="1" si="9">IF(ISERROR(VLOOKUP($A54,INDIRECT(C$1&amp;"!"&amp;"c4:c20"),1,0)),"",$M54)</f>
        <v/>
      </c>
      <c r="D54" s="245" t="str">
        <f t="shared" ca="1" si="9"/>
        <v/>
      </c>
      <c r="E54" s="245" t="str">
        <f t="shared" ca="1" si="9"/>
        <v/>
      </c>
      <c r="F54" s="245" t="str">
        <f t="shared" ca="1" si="9"/>
        <v/>
      </c>
      <c r="G54" s="245" t="str">
        <f t="shared" ca="1" si="9"/>
        <v/>
      </c>
      <c r="H54" s="245" t="str">
        <f t="shared" ca="1" si="9"/>
        <v/>
      </c>
      <c r="I54" s="245" t="str">
        <f t="shared" ca="1" si="9"/>
        <v/>
      </c>
      <c r="J54" s="245" t="str">
        <f t="shared" ca="1" si="9"/>
        <v/>
      </c>
      <c r="K54" s="245" t="str">
        <f t="shared" ca="1" si="9"/>
        <v/>
      </c>
      <c r="L54" s="245" t="str">
        <f t="shared" ca="1" si="9"/>
        <v/>
      </c>
      <c r="M54" s="246">
        <f ca="1">COUNTIF(Teams!$4:$20,A54)</f>
        <v>0</v>
      </c>
      <c r="N54" s="247" t="e">
        <f>VLOOKUP(A54,Score!B:Z,25,0)</f>
        <v>#N/A</v>
      </c>
    </row>
    <row r="55" spans="1:14" s="250" customFormat="1" hidden="1">
      <c r="A55" s="244"/>
      <c r="B55" s="245" t="str">
        <f t="shared" ref="B55:B61" ca="1" si="10">IF(ISERROR(VLOOKUP($A55,INDIRECT(B$1&amp;"!"&amp;"c4:c20"),1,0)),"",$M55)</f>
        <v/>
      </c>
      <c r="C55" s="245" t="str">
        <f t="shared" ca="1" si="9"/>
        <v/>
      </c>
      <c r="D55" s="245" t="str">
        <f t="shared" ca="1" si="9"/>
        <v/>
      </c>
      <c r="E55" s="245" t="str">
        <f t="shared" ca="1" si="9"/>
        <v/>
      </c>
      <c r="F55" s="245" t="str">
        <f t="shared" ca="1" si="9"/>
        <v/>
      </c>
      <c r="G55" s="245" t="str">
        <f t="shared" ca="1" si="9"/>
        <v/>
      </c>
      <c r="H55" s="245" t="str">
        <f t="shared" ca="1" si="9"/>
        <v/>
      </c>
      <c r="I55" s="245" t="str">
        <f t="shared" ca="1" si="9"/>
        <v/>
      </c>
      <c r="J55" s="245" t="str">
        <f t="shared" ca="1" si="9"/>
        <v/>
      </c>
      <c r="K55" s="245" t="str">
        <f t="shared" ca="1" si="9"/>
        <v/>
      </c>
      <c r="L55" s="245" t="str">
        <f t="shared" ca="1" si="9"/>
        <v/>
      </c>
      <c r="M55" s="246">
        <f ca="1">COUNTIF(Teams!$4:$20,A55)</f>
        <v>0</v>
      </c>
      <c r="N55" s="247" t="e">
        <f>VLOOKUP(A55,Score!B:Z,25,0)</f>
        <v>#N/A</v>
      </c>
    </row>
    <row r="56" spans="1:14" s="261" customFormat="1" hidden="1">
      <c r="A56" s="244"/>
      <c r="B56" s="245" t="str">
        <f t="shared" ca="1" si="10"/>
        <v/>
      </c>
      <c r="C56" s="245" t="str">
        <f t="shared" ca="1" si="9"/>
        <v/>
      </c>
      <c r="D56" s="245" t="str">
        <f t="shared" ca="1" si="9"/>
        <v/>
      </c>
      <c r="E56" s="245" t="str">
        <f t="shared" ca="1" si="9"/>
        <v/>
      </c>
      <c r="F56" s="245" t="str">
        <f t="shared" ca="1" si="9"/>
        <v/>
      </c>
      <c r="G56" s="245" t="str">
        <f t="shared" ca="1" si="9"/>
        <v/>
      </c>
      <c r="H56" s="245" t="str">
        <f t="shared" ca="1" si="9"/>
        <v/>
      </c>
      <c r="I56" s="245" t="str">
        <f t="shared" ca="1" si="9"/>
        <v/>
      </c>
      <c r="J56" s="245" t="str">
        <f t="shared" ca="1" si="9"/>
        <v/>
      </c>
      <c r="K56" s="245" t="str">
        <f t="shared" ca="1" si="9"/>
        <v/>
      </c>
      <c r="L56" s="245" t="str">
        <f t="shared" ca="1" si="9"/>
        <v/>
      </c>
      <c r="M56" s="246">
        <f ca="1">COUNTIF(Teams!$4:$20,A56)</f>
        <v>0</v>
      </c>
      <c r="N56" s="247" t="e">
        <f>VLOOKUP(A56,Score!B:Z,25,0)</f>
        <v>#N/A</v>
      </c>
    </row>
    <row r="57" spans="1:14" s="263" customFormat="1" hidden="1">
      <c r="A57" s="244"/>
      <c r="B57" s="245" t="str">
        <f t="shared" ca="1" si="10"/>
        <v/>
      </c>
      <c r="C57" s="245" t="str">
        <f t="shared" ca="1" si="9"/>
        <v/>
      </c>
      <c r="D57" s="245" t="str">
        <f t="shared" ca="1" si="9"/>
        <v/>
      </c>
      <c r="E57" s="245" t="str">
        <f t="shared" ca="1" si="9"/>
        <v/>
      </c>
      <c r="F57" s="245" t="str">
        <f t="shared" ca="1" si="9"/>
        <v/>
      </c>
      <c r="G57" s="245" t="str">
        <f t="shared" ca="1" si="9"/>
        <v/>
      </c>
      <c r="H57" s="245" t="str">
        <f t="shared" ca="1" si="9"/>
        <v/>
      </c>
      <c r="I57" s="245" t="str">
        <f t="shared" ca="1" si="9"/>
        <v/>
      </c>
      <c r="J57" s="245" t="str">
        <f t="shared" ca="1" si="9"/>
        <v/>
      </c>
      <c r="K57" s="245" t="str">
        <f t="shared" ca="1" si="9"/>
        <v/>
      </c>
      <c r="L57" s="245" t="str">
        <f t="shared" ca="1" si="9"/>
        <v/>
      </c>
      <c r="M57" s="246">
        <f ca="1">COUNTIF(Teams!$4:$20,A57)</f>
        <v>0</v>
      </c>
      <c r="N57" s="247" t="e">
        <f>VLOOKUP(A57,Score!B:Z,25,0)</f>
        <v>#N/A</v>
      </c>
    </row>
    <row r="58" spans="1:14" s="250" customFormat="1" hidden="1">
      <c r="A58" s="244"/>
      <c r="B58" s="245" t="str">
        <f t="shared" ca="1" si="10"/>
        <v/>
      </c>
      <c r="C58" s="245" t="str">
        <f t="shared" ca="1" si="9"/>
        <v/>
      </c>
      <c r="D58" s="245" t="str">
        <f t="shared" ca="1" si="9"/>
        <v/>
      </c>
      <c r="E58" s="245" t="str">
        <f t="shared" ca="1" si="9"/>
        <v/>
      </c>
      <c r="F58" s="245" t="str">
        <f t="shared" ca="1" si="9"/>
        <v/>
      </c>
      <c r="G58" s="245" t="str">
        <f t="shared" ca="1" si="9"/>
        <v/>
      </c>
      <c r="H58" s="245" t="str">
        <f t="shared" ca="1" si="9"/>
        <v/>
      </c>
      <c r="I58" s="245" t="str">
        <f t="shared" ca="1" si="9"/>
        <v/>
      </c>
      <c r="J58" s="245" t="str">
        <f t="shared" ca="1" si="9"/>
        <v/>
      </c>
      <c r="K58" s="245" t="str">
        <f t="shared" ca="1" si="9"/>
        <v/>
      </c>
      <c r="L58" s="245" t="str">
        <f t="shared" ca="1" si="9"/>
        <v/>
      </c>
      <c r="M58" s="246">
        <f ca="1">COUNTIF(Teams!$4:$20,A58)</f>
        <v>0</v>
      </c>
      <c r="N58" s="247" t="e">
        <f>VLOOKUP(A58,Score!B:Z,25,0)</f>
        <v>#N/A</v>
      </c>
    </row>
    <row r="59" spans="1:14" hidden="1">
      <c r="A59" s="244"/>
      <c r="B59" s="245" t="str">
        <f t="shared" ca="1" si="10"/>
        <v/>
      </c>
      <c r="C59" s="245" t="str">
        <f t="shared" ca="1" si="9"/>
        <v/>
      </c>
      <c r="D59" s="245" t="str">
        <f t="shared" ca="1" si="9"/>
        <v/>
      </c>
      <c r="E59" s="245" t="str">
        <f t="shared" ca="1" si="9"/>
        <v/>
      </c>
      <c r="F59" s="245" t="str">
        <f t="shared" ca="1" si="9"/>
        <v/>
      </c>
      <c r="G59" s="245" t="str">
        <f t="shared" ca="1" si="9"/>
        <v/>
      </c>
      <c r="H59" s="245" t="str">
        <f t="shared" ca="1" si="9"/>
        <v/>
      </c>
      <c r="I59" s="245" t="str">
        <f t="shared" ca="1" si="9"/>
        <v/>
      </c>
      <c r="J59" s="245" t="str">
        <f t="shared" ca="1" si="9"/>
        <v/>
      </c>
      <c r="K59" s="245" t="str">
        <f t="shared" ca="1" si="9"/>
        <v/>
      </c>
      <c r="L59" s="245" t="str">
        <f t="shared" ca="1" si="9"/>
        <v/>
      </c>
      <c r="M59" s="246">
        <f ca="1">COUNTIF(Teams!$4:$20,A59)</f>
        <v>0</v>
      </c>
      <c r="N59" s="247" t="e">
        <f>VLOOKUP(A59,Score!B:Z,25,0)</f>
        <v>#N/A</v>
      </c>
    </row>
    <row r="60" spans="1:14" hidden="1">
      <c r="A60" s="244"/>
      <c r="B60" s="245" t="str">
        <f t="shared" ca="1" si="10"/>
        <v/>
      </c>
      <c r="C60" s="245" t="str">
        <f t="shared" ca="1" si="9"/>
        <v/>
      </c>
      <c r="D60" s="245" t="str">
        <f t="shared" ca="1" si="9"/>
        <v/>
      </c>
      <c r="E60" s="245" t="str">
        <f t="shared" ca="1" si="9"/>
        <v/>
      </c>
      <c r="F60" s="245" t="str">
        <f t="shared" ca="1" si="9"/>
        <v/>
      </c>
      <c r="G60" s="245" t="str">
        <f t="shared" ca="1" si="9"/>
        <v/>
      </c>
      <c r="H60" s="245" t="str">
        <f t="shared" ca="1" si="9"/>
        <v/>
      </c>
      <c r="I60" s="245" t="str">
        <f t="shared" ca="1" si="9"/>
        <v/>
      </c>
      <c r="J60" s="245" t="str">
        <f t="shared" ca="1" si="9"/>
        <v/>
      </c>
      <c r="K60" s="245" t="str">
        <f t="shared" ca="1" si="9"/>
        <v/>
      </c>
      <c r="L60" s="245" t="str">
        <f t="shared" ca="1" si="9"/>
        <v/>
      </c>
      <c r="M60" s="246">
        <f ca="1">COUNTIF(Teams!$4:$20,A60)</f>
        <v>0</v>
      </c>
      <c r="N60" s="247" t="e">
        <f>VLOOKUP(A60,Score!B:Z,25,0)</f>
        <v>#N/A</v>
      </c>
    </row>
    <row r="61" spans="1:14" hidden="1">
      <c r="A61" s="244"/>
      <c r="B61" s="245" t="str">
        <f t="shared" ca="1" si="10"/>
        <v/>
      </c>
      <c r="C61" s="245" t="str">
        <f t="shared" ca="1" si="9"/>
        <v/>
      </c>
      <c r="D61" s="245" t="str">
        <f t="shared" ca="1" si="9"/>
        <v/>
      </c>
      <c r="E61" s="245" t="str">
        <f t="shared" ca="1" si="9"/>
        <v/>
      </c>
      <c r="F61" s="245" t="str">
        <f t="shared" ca="1" si="9"/>
        <v/>
      </c>
      <c r="G61" s="245" t="str">
        <f t="shared" ca="1" si="9"/>
        <v/>
      </c>
      <c r="H61" s="245" t="str">
        <f t="shared" ca="1" si="9"/>
        <v/>
      </c>
      <c r="I61" s="245" t="str">
        <f t="shared" ca="1" si="9"/>
        <v/>
      </c>
      <c r="J61" s="245" t="str">
        <f t="shared" ca="1" si="9"/>
        <v/>
      </c>
      <c r="K61" s="245" t="str">
        <f t="shared" ca="1" si="9"/>
        <v/>
      </c>
      <c r="L61" s="245" t="str">
        <f t="shared" ca="1" si="9"/>
        <v/>
      </c>
      <c r="M61" s="246">
        <f ca="1">COUNTIF(Teams!$4:$20,A61)</f>
        <v>0</v>
      </c>
      <c r="N61" s="247" t="e">
        <f>VLOOKUP(A61,Score!B:Z,25,0)</f>
        <v>#N/A</v>
      </c>
    </row>
    <row r="62" spans="1:14">
      <c r="B62" s="264" t="str">
        <f t="shared" ref="B62" ca="1" si="11">IF(B68&lt;&gt;17,"Onvolledig","")</f>
        <v/>
      </c>
      <c r="C62" s="264" t="str">
        <f t="shared" ref="C62:L62" ca="1" si="12">IF(C68&lt;&gt;17,"Onvolledig","")</f>
        <v/>
      </c>
      <c r="D62" s="264" t="str">
        <f t="shared" ca="1" si="12"/>
        <v/>
      </c>
      <c r="E62" s="264" t="str">
        <f t="shared" ca="1" si="12"/>
        <v/>
      </c>
      <c r="F62" s="264" t="str">
        <f t="shared" ca="1" si="12"/>
        <v/>
      </c>
      <c r="G62" s="264" t="str">
        <f t="shared" ca="1" si="12"/>
        <v/>
      </c>
      <c r="H62" s="264" t="str">
        <f t="shared" ca="1" si="12"/>
        <v/>
      </c>
      <c r="I62" s="264" t="str">
        <f t="shared" ca="1" si="12"/>
        <v/>
      </c>
      <c r="J62" s="264" t="str">
        <f t="shared" ca="1" si="12"/>
        <v/>
      </c>
      <c r="K62" s="264" t="str">
        <f t="shared" ca="1" si="12"/>
        <v/>
      </c>
      <c r="L62" s="264" t="str">
        <f t="shared" ca="1" si="12"/>
        <v/>
      </c>
    </row>
    <row r="63" spans="1:14">
      <c r="A63" s="243" t="s">
        <v>3</v>
      </c>
      <c r="B63" s="265">
        <f t="shared" ref="B63" ca="1" si="13">SUM(B1:B61)</f>
        <v>94</v>
      </c>
      <c r="C63" s="265">
        <f t="shared" ref="C63:L63" ca="1" si="14">SUM(C1:C61)</f>
        <v>101</v>
      </c>
      <c r="D63" s="265">
        <f t="shared" ca="1" si="14"/>
        <v>106</v>
      </c>
      <c r="E63" s="265">
        <f t="shared" ca="1" si="14"/>
        <v>106</v>
      </c>
      <c r="F63" s="265">
        <f t="shared" ca="1" si="14"/>
        <v>108</v>
      </c>
      <c r="G63" s="265">
        <f t="shared" ca="1" si="14"/>
        <v>106</v>
      </c>
      <c r="H63" s="265">
        <f t="shared" ca="1" si="14"/>
        <v>118</v>
      </c>
      <c r="I63" s="265">
        <f t="shared" ca="1" si="14"/>
        <v>123</v>
      </c>
      <c r="J63" s="265">
        <f t="shared" ca="1" si="14"/>
        <v>123</v>
      </c>
      <c r="K63" s="265">
        <f t="shared" ca="1" si="14"/>
        <v>122</v>
      </c>
      <c r="L63" s="265">
        <f t="shared" ca="1" si="14"/>
        <v>124</v>
      </c>
    </row>
    <row r="64" spans="1:14">
      <c r="A64" s="243" t="s">
        <v>3</v>
      </c>
      <c r="B64" s="266">
        <f t="shared" ref="B64" ca="1" si="15">B63/SUM($B63:$L63)</f>
        <v>7.6360682372055233E-2</v>
      </c>
      <c r="C64" s="266">
        <f t="shared" ref="C64:L64" ca="1" si="16">C63/SUM($B63:$L63)</f>
        <v>8.2047116165718928E-2</v>
      </c>
      <c r="D64" s="266">
        <f t="shared" ca="1" si="16"/>
        <v>8.6108854589764416E-2</v>
      </c>
      <c r="E64" s="266">
        <f t="shared" ca="1" si="16"/>
        <v>8.6108854589764416E-2</v>
      </c>
      <c r="F64" s="266">
        <f t="shared" ca="1" si="16"/>
        <v>8.7733549959382609E-2</v>
      </c>
      <c r="G64" s="266">
        <f t="shared" ca="1" si="16"/>
        <v>8.6108854589764416E-2</v>
      </c>
      <c r="H64" s="266">
        <f t="shared" ca="1" si="16"/>
        <v>9.58570268074736E-2</v>
      </c>
      <c r="I64" s="266">
        <f t="shared" ca="1" si="16"/>
        <v>9.9918765231519088E-2</v>
      </c>
      <c r="J64" s="266">
        <f t="shared" ca="1" si="16"/>
        <v>9.9918765231519088E-2</v>
      </c>
      <c r="K64" s="266">
        <f t="shared" ca="1" si="16"/>
        <v>9.9106417546709985E-2</v>
      </c>
      <c r="L64" s="266">
        <f t="shared" ca="1" si="16"/>
        <v>0.10073111291632819</v>
      </c>
    </row>
    <row r="65" spans="1:12">
      <c r="A65" s="243" t="s">
        <v>3</v>
      </c>
      <c r="B65" s="266">
        <f t="shared" ref="B65" ca="1" si="17">1/(B64*aantal_deelnemers)</f>
        <v>1.1905222437137333</v>
      </c>
      <c r="C65" s="266">
        <f t="shared" ref="C65:L65" ca="1" si="18">1/(C64*aantal_deelnemers)</f>
        <v>1.108010801080108</v>
      </c>
      <c r="D65" s="266">
        <f t="shared" ca="1" si="18"/>
        <v>1.0557461406518009</v>
      </c>
      <c r="E65" s="266">
        <f t="shared" ca="1" si="18"/>
        <v>1.0557461406518009</v>
      </c>
      <c r="F65" s="266">
        <f t="shared" ca="1" si="18"/>
        <v>1.0361952861952863</v>
      </c>
      <c r="G65" s="266">
        <f t="shared" ca="1" si="18"/>
        <v>1.0557461406518009</v>
      </c>
      <c r="H65" s="266">
        <f t="shared" ca="1" si="18"/>
        <v>0.94838212634822805</v>
      </c>
      <c r="I65" s="266">
        <f t="shared" ca="1" si="18"/>
        <v>0.90983000739098296</v>
      </c>
      <c r="J65" s="266">
        <f t="shared" ca="1" si="18"/>
        <v>0.90983000739098296</v>
      </c>
      <c r="K65" s="266">
        <f t="shared" ca="1" si="18"/>
        <v>0.91728763040238448</v>
      </c>
      <c r="L65" s="266">
        <f t="shared" ca="1" si="18"/>
        <v>0.90249266862170086</v>
      </c>
    </row>
    <row r="66" spans="1:12">
      <c r="A66" s="287" t="s">
        <v>9</v>
      </c>
      <c r="B66" s="288">
        <f>aantal_deelnemers</f>
        <v>11</v>
      </c>
      <c r="C66" s="133"/>
      <c r="D66" s="133"/>
      <c r="E66" s="267"/>
      <c r="F66" s="133"/>
      <c r="G66" s="133"/>
      <c r="H66" s="133"/>
      <c r="I66" s="267"/>
      <c r="J66" s="243"/>
      <c r="K66" s="133"/>
      <c r="L66" s="133"/>
    </row>
    <row r="67" spans="1:12">
      <c r="A67" s="250"/>
      <c r="B67" s="133"/>
      <c r="C67" s="133"/>
      <c r="D67" s="133"/>
      <c r="E67" s="133"/>
      <c r="F67" s="133"/>
      <c r="G67" s="133"/>
      <c r="H67" s="133"/>
      <c r="I67" s="133"/>
      <c r="J67" s="133"/>
      <c r="K67" s="133"/>
      <c r="L67" s="133"/>
    </row>
    <row r="68" spans="1:12">
      <c r="A68" s="250"/>
      <c r="B68" s="268">
        <f t="shared" ref="B68" ca="1" si="19">COUNT(B2:B61)</f>
        <v>17</v>
      </c>
      <c r="C68" s="268">
        <f t="shared" ref="C68:L68" ca="1" si="20">COUNT(C2:C61)</f>
        <v>17</v>
      </c>
      <c r="D68" s="268">
        <f t="shared" ca="1" si="20"/>
        <v>17</v>
      </c>
      <c r="E68" s="268">
        <f t="shared" ca="1" si="20"/>
        <v>17</v>
      </c>
      <c r="F68" s="268">
        <f t="shared" ca="1" si="20"/>
        <v>17</v>
      </c>
      <c r="G68" s="268">
        <f t="shared" ca="1" si="20"/>
        <v>17</v>
      </c>
      <c r="H68" s="268">
        <f t="shared" ca="1" si="20"/>
        <v>17</v>
      </c>
      <c r="I68" s="268">
        <f t="shared" ca="1" si="20"/>
        <v>17</v>
      </c>
      <c r="J68" s="268">
        <f t="shared" ca="1" si="20"/>
        <v>17</v>
      </c>
      <c r="K68" s="268">
        <f t="shared" ca="1" si="20"/>
        <v>17</v>
      </c>
      <c r="L68" s="268">
        <f t="shared" ca="1" si="20"/>
        <v>17</v>
      </c>
    </row>
    <row r="69" spans="1:12">
      <c r="A69" s="250"/>
      <c r="B69" s="133"/>
      <c r="C69" s="133"/>
      <c r="D69" s="133"/>
      <c r="E69" s="133"/>
      <c r="F69" s="133"/>
      <c r="G69" s="133"/>
      <c r="H69" s="133"/>
      <c r="I69" s="133"/>
      <c r="J69" s="133"/>
      <c r="K69" s="133"/>
      <c r="L69" s="133"/>
    </row>
    <row r="70" spans="1:12">
      <c r="A70" s="250"/>
      <c r="B70" s="131"/>
      <c r="C70" s="131"/>
      <c r="D70" s="131"/>
      <c r="E70" s="131"/>
      <c r="F70" s="131"/>
      <c r="G70" s="131"/>
      <c r="H70" s="131"/>
      <c r="I70" s="131"/>
      <c r="J70" s="131"/>
      <c r="K70" s="131"/>
      <c r="L70" s="131"/>
    </row>
    <row r="71" spans="1:12">
      <c r="A71" s="250"/>
      <c r="B71" s="133"/>
      <c r="C71" s="133"/>
      <c r="D71" s="133"/>
      <c r="E71" s="133"/>
      <c r="F71" s="133"/>
      <c r="G71" s="133"/>
      <c r="H71" s="133"/>
      <c r="I71" s="133"/>
      <c r="J71" s="133"/>
      <c r="K71" s="133"/>
      <c r="L71" s="133"/>
    </row>
    <row r="72" spans="1:12">
      <c r="A72" s="250"/>
      <c r="B72" s="133"/>
      <c r="C72" s="133"/>
      <c r="D72" s="133"/>
      <c r="E72" s="133"/>
      <c r="F72" s="133"/>
      <c r="G72" s="133"/>
      <c r="H72" s="133"/>
      <c r="I72" s="133"/>
      <c r="J72" s="133"/>
      <c r="K72" s="133"/>
      <c r="L72" s="133"/>
    </row>
    <row r="73" spans="1:12">
      <c r="A73" s="250"/>
      <c r="B73" s="133"/>
      <c r="C73" s="133"/>
      <c r="D73" s="133"/>
      <c r="E73" s="133"/>
      <c r="F73" s="133"/>
      <c r="G73" s="133"/>
      <c r="H73" s="133"/>
      <c r="I73" s="133"/>
      <c r="J73" s="133"/>
      <c r="K73" s="133"/>
      <c r="L73" s="133"/>
    </row>
    <row r="74" spans="1:12">
      <c r="A74" s="250"/>
      <c r="B74" s="133"/>
      <c r="C74" s="133"/>
      <c r="D74" s="133"/>
      <c r="E74" s="133"/>
      <c r="F74" s="133"/>
      <c r="G74" s="133"/>
      <c r="H74" s="133"/>
      <c r="I74" s="133"/>
      <c r="J74" s="133"/>
      <c r="K74" s="133"/>
      <c r="L74" s="133"/>
    </row>
    <row r="75" spans="1:12">
      <c r="A75" s="250"/>
      <c r="B75" s="133"/>
      <c r="C75" s="133"/>
      <c r="D75" s="133"/>
      <c r="E75" s="133"/>
      <c r="F75" s="133"/>
      <c r="G75" s="133"/>
      <c r="H75" s="133"/>
      <c r="I75" s="133"/>
      <c r="J75" s="133"/>
      <c r="K75" s="133"/>
      <c r="L75" s="133"/>
    </row>
    <row r="76" spans="1:12">
      <c r="A76" s="250"/>
      <c r="B76" s="133"/>
      <c r="C76" s="133"/>
      <c r="D76" s="133"/>
      <c r="E76" s="133"/>
      <c r="F76" s="133"/>
      <c r="G76" s="133"/>
      <c r="H76" s="133"/>
      <c r="I76" s="133"/>
      <c r="J76" s="133"/>
      <c r="K76" s="133"/>
      <c r="L76" s="133"/>
    </row>
    <row r="77" spans="1:12">
      <c r="A77" s="250"/>
      <c r="B77" s="133"/>
      <c r="C77" s="133"/>
      <c r="D77" s="133"/>
      <c r="E77" s="133"/>
      <c r="F77" s="133"/>
      <c r="G77" s="133"/>
      <c r="H77" s="133"/>
      <c r="I77" s="133"/>
      <c r="J77" s="133"/>
      <c r="K77" s="133"/>
      <c r="L77" s="133"/>
    </row>
    <row r="78" spans="1:12">
      <c r="A78" s="250"/>
      <c r="B78" s="133"/>
      <c r="C78" s="133"/>
      <c r="D78" s="133"/>
      <c r="E78" s="133"/>
      <c r="F78" s="133"/>
      <c r="G78" s="133"/>
      <c r="H78" s="133"/>
      <c r="I78" s="133"/>
      <c r="J78" s="133"/>
      <c r="K78" s="133"/>
      <c r="L78" s="133"/>
    </row>
    <row r="79" spans="1:12">
      <c r="A79" s="250"/>
      <c r="B79" s="133"/>
      <c r="C79" s="133"/>
      <c r="D79" s="133"/>
      <c r="E79" s="133"/>
      <c r="F79" s="133"/>
      <c r="G79" s="133"/>
      <c r="H79" s="133"/>
      <c r="I79" s="133"/>
      <c r="J79" s="133"/>
      <c r="K79" s="133"/>
      <c r="L79" s="133"/>
    </row>
    <row r="80" spans="1:12">
      <c r="A80" s="250"/>
      <c r="B80" s="133"/>
      <c r="C80" s="133"/>
      <c r="D80" s="133"/>
      <c r="E80" s="133"/>
      <c r="F80" s="133"/>
      <c r="G80" s="133"/>
      <c r="H80" s="133"/>
      <c r="I80" s="133"/>
      <c r="J80" s="133"/>
      <c r="K80" s="133"/>
      <c r="L80" s="133"/>
    </row>
    <row r="81" spans="1:12">
      <c r="A81" s="250"/>
      <c r="B81" s="133"/>
      <c r="C81" s="133"/>
      <c r="D81" s="133"/>
      <c r="E81" s="133"/>
      <c r="F81" s="133"/>
      <c r="G81" s="133"/>
      <c r="H81" s="133"/>
      <c r="I81" s="133"/>
      <c r="J81" s="133"/>
      <c r="K81" s="133"/>
      <c r="L81" s="133"/>
    </row>
    <row r="82" spans="1:12">
      <c r="A82" s="250"/>
      <c r="B82" s="133"/>
      <c r="C82" s="133"/>
      <c r="D82" s="133"/>
      <c r="E82" s="133"/>
      <c r="F82" s="133"/>
      <c r="G82" s="133"/>
      <c r="H82" s="133"/>
      <c r="I82" s="133"/>
      <c r="J82" s="133"/>
      <c r="K82" s="133"/>
      <c r="L82" s="133"/>
    </row>
    <row r="83" spans="1:12">
      <c r="A83" s="250"/>
      <c r="B83" s="133"/>
      <c r="C83" s="133"/>
      <c r="D83" s="133"/>
      <c r="E83" s="133"/>
      <c r="F83" s="133"/>
      <c r="G83" s="133"/>
      <c r="H83" s="133"/>
      <c r="I83" s="133"/>
      <c r="J83" s="133"/>
      <c r="K83" s="133"/>
      <c r="L83" s="133"/>
    </row>
    <row r="84" spans="1:12">
      <c r="A84" s="250"/>
      <c r="B84" s="133"/>
      <c r="C84" s="133"/>
      <c r="D84" s="133"/>
      <c r="E84" s="133"/>
      <c r="F84" s="133"/>
      <c r="G84" s="133"/>
      <c r="H84" s="133"/>
      <c r="I84" s="133"/>
      <c r="J84" s="133"/>
      <c r="K84" s="133"/>
      <c r="L84" s="133"/>
    </row>
    <row r="85" spans="1:12">
      <c r="A85" s="250"/>
      <c r="B85" s="133"/>
      <c r="C85" s="133"/>
      <c r="D85" s="133"/>
      <c r="E85" s="133"/>
      <c r="F85" s="133"/>
      <c r="G85" s="133"/>
      <c r="H85" s="133"/>
      <c r="I85" s="133"/>
      <c r="J85" s="133"/>
      <c r="K85" s="133"/>
      <c r="L85" s="133"/>
    </row>
    <row r="86" spans="1:12">
      <c r="A86" s="250"/>
      <c r="B86" s="133"/>
      <c r="C86" s="133"/>
      <c r="D86" s="133"/>
      <c r="E86" s="133"/>
      <c r="F86" s="133"/>
      <c r="G86" s="133"/>
      <c r="H86" s="133"/>
      <c r="I86" s="133"/>
      <c r="J86" s="133"/>
      <c r="K86" s="133"/>
      <c r="L86" s="133"/>
    </row>
    <row r="87" spans="1:12">
      <c r="A87" s="250"/>
      <c r="B87" s="133"/>
      <c r="C87" s="133"/>
      <c r="D87" s="133"/>
      <c r="E87" s="133"/>
      <c r="F87" s="133"/>
      <c r="G87" s="133"/>
      <c r="H87" s="133"/>
      <c r="I87" s="133"/>
      <c r="J87" s="133"/>
      <c r="K87" s="133"/>
      <c r="L87" s="133"/>
    </row>
    <row r="88" spans="1:12">
      <c r="A88" s="250"/>
      <c r="B88" s="133"/>
      <c r="C88" s="133"/>
      <c r="D88" s="133"/>
      <c r="E88" s="133"/>
      <c r="F88" s="133"/>
      <c r="G88" s="133"/>
      <c r="H88" s="133"/>
      <c r="I88" s="133"/>
      <c r="J88" s="133"/>
      <c r="K88" s="133"/>
      <c r="L88" s="133"/>
    </row>
    <row r="89" spans="1:12">
      <c r="A89" s="250"/>
      <c r="B89" s="133"/>
      <c r="C89" s="133"/>
      <c r="D89" s="133"/>
      <c r="E89" s="133"/>
      <c r="F89" s="133"/>
      <c r="G89" s="133"/>
      <c r="H89" s="133"/>
      <c r="I89" s="133"/>
      <c r="J89" s="133"/>
      <c r="K89" s="133"/>
      <c r="L89" s="133"/>
    </row>
    <row r="90" spans="1:12">
      <c r="A90" s="250"/>
      <c r="B90" s="133"/>
      <c r="C90" s="133"/>
      <c r="D90" s="133"/>
      <c r="E90" s="133"/>
      <c r="F90" s="133"/>
      <c r="G90" s="133"/>
      <c r="H90" s="133"/>
      <c r="I90" s="133"/>
      <c r="J90" s="133"/>
      <c r="K90" s="133"/>
      <c r="L90" s="133"/>
    </row>
    <row r="91" spans="1:12">
      <c r="A91" s="250"/>
      <c r="B91" s="133"/>
      <c r="C91" s="133"/>
      <c r="D91" s="133"/>
      <c r="E91" s="133"/>
      <c r="F91" s="133"/>
      <c r="G91" s="133"/>
      <c r="H91" s="133"/>
      <c r="I91" s="133"/>
      <c r="J91" s="133"/>
      <c r="K91" s="133"/>
      <c r="L91" s="133"/>
    </row>
    <row r="92" spans="1:12">
      <c r="A92" s="250"/>
      <c r="B92" s="133"/>
      <c r="C92" s="133"/>
      <c r="D92" s="133"/>
      <c r="E92" s="133"/>
      <c r="F92" s="133"/>
      <c r="G92" s="133"/>
      <c r="H92" s="133"/>
      <c r="I92" s="133"/>
      <c r="J92" s="133"/>
      <c r="K92" s="133"/>
      <c r="L92" s="133"/>
    </row>
    <row r="93" spans="1:12">
      <c r="A93" s="250"/>
      <c r="B93" s="133"/>
      <c r="C93" s="133"/>
      <c r="D93" s="133"/>
      <c r="E93" s="133"/>
      <c r="F93" s="133"/>
      <c r="G93" s="133"/>
      <c r="H93" s="133"/>
      <c r="I93" s="133"/>
      <c r="J93" s="133"/>
      <c r="K93" s="133"/>
      <c r="L93" s="133"/>
    </row>
    <row r="94" spans="1:12">
      <c r="A94" s="250"/>
      <c r="B94" s="133"/>
      <c r="C94" s="133"/>
      <c r="D94" s="133"/>
      <c r="E94" s="133"/>
      <c r="F94" s="133"/>
      <c r="G94" s="133"/>
      <c r="H94" s="133"/>
      <c r="I94" s="133"/>
      <c r="J94" s="133"/>
      <c r="K94" s="133"/>
      <c r="L94" s="133"/>
    </row>
    <row r="95" spans="1:12">
      <c r="A95" s="250"/>
      <c r="B95" s="133"/>
      <c r="C95" s="133"/>
      <c r="D95" s="133"/>
      <c r="E95" s="133"/>
      <c r="F95" s="133"/>
      <c r="G95" s="133"/>
      <c r="H95" s="133"/>
      <c r="I95" s="133"/>
      <c r="J95" s="133"/>
      <c r="K95" s="133"/>
      <c r="L95" s="133"/>
    </row>
    <row r="96" spans="1:12">
      <c r="A96" s="250"/>
      <c r="B96" s="133"/>
      <c r="C96" s="133"/>
      <c r="D96" s="133"/>
      <c r="E96" s="133"/>
      <c r="F96" s="133"/>
      <c r="G96" s="133"/>
      <c r="H96" s="133"/>
      <c r="I96" s="133"/>
      <c r="J96" s="133"/>
      <c r="K96" s="133"/>
      <c r="L96" s="133"/>
    </row>
    <row r="97" spans="1:12">
      <c r="A97" s="250"/>
      <c r="B97" s="133"/>
      <c r="C97" s="133"/>
      <c r="D97" s="133"/>
      <c r="E97" s="133"/>
      <c r="F97" s="133"/>
      <c r="G97" s="133"/>
      <c r="H97" s="133"/>
      <c r="I97" s="133"/>
      <c r="J97" s="133"/>
      <c r="K97" s="133"/>
      <c r="L97" s="133"/>
    </row>
    <row r="98" spans="1:12">
      <c r="A98" s="250"/>
      <c r="B98" s="133"/>
      <c r="C98" s="133"/>
      <c r="D98" s="133"/>
      <c r="E98" s="133"/>
      <c r="F98" s="133"/>
      <c r="G98" s="133"/>
      <c r="H98" s="133"/>
      <c r="I98" s="133"/>
      <c r="J98" s="133"/>
      <c r="K98" s="133"/>
      <c r="L98" s="133"/>
    </row>
    <row r="99" spans="1:12">
      <c r="A99" s="250"/>
      <c r="B99" s="133"/>
      <c r="C99" s="133"/>
      <c r="D99" s="133"/>
      <c r="E99" s="133"/>
      <c r="F99" s="133"/>
      <c r="G99" s="133"/>
      <c r="H99" s="133"/>
      <c r="I99" s="133"/>
      <c r="J99" s="133"/>
      <c r="K99" s="133"/>
      <c r="L99" s="133"/>
    </row>
    <row r="100" spans="1:12">
      <c r="A100" s="250"/>
      <c r="B100" s="133"/>
      <c r="C100" s="133"/>
      <c r="D100" s="133"/>
      <c r="E100" s="133"/>
      <c r="F100" s="133"/>
      <c r="G100" s="133"/>
      <c r="H100" s="133"/>
      <c r="I100" s="133"/>
      <c r="J100" s="133"/>
      <c r="K100" s="133"/>
      <c r="L100" s="133"/>
    </row>
    <row r="101" spans="1:12">
      <c r="A101" s="250"/>
      <c r="B101" s="133"/>
      <c r="C101" s="133"/>
      <c r="D101" s="133"/>
      <c r="E101" s="133"/>
      <c r="F101" s="133"/>
      <c r="G101" s="133"/>
      <c r="H101" s="133"/>
      <c r="I101" s="133"/>
      <c r="J101" s="133"/>
      <c r="K101" s="133"/>
      <c r="L101" s="133"/>
    </row>
    <row r="102" spans="1:12">
      <c r="A102" s="250"/>
      <c r="B102" s="133"/>
      <c r="C102" s="133"/>
      <c r="D102" s="133"/>
      <c r="E102" s="133"/>
      <c r="F102" s="133"/>
      <c r="G102" s="133"/>
      <c r="H102" s="133"/>
      <c r="I102" s="133"/>
      <c r="J102" s="133"/>
      <c r="K102" s="133"/>
      <c r="L102" s="133"/>
    </row>
    <row r="103" spans="1:12">
      <c r="A103" s="250"/>
      <c r="B103" s="133"/>
      <c r="C103" s="133"/>
      <c r="D103" s="133"/>
      <c r="E103" s="133"/>
      <c r="F103" s="133"/>
      <c r="G103" s="133"/>
      <c r="H103" s="133"/>
      <c r="I103" s="133"/>
      <c r="J103" s="133"/>
      <c r="K103" s="133"/>
      <c r="L103" s="133"/>
    </row>
    <row r="104" spans="1:12">
      <c r="A104" s="250"/>
      <c r="B104" s="133"/>
      <c r="C104" s="133"/>
      <c r="D104" s="133"/>
      <c r="E104" s="133"/>
      <c r="F104" s="133"/>
      <c r="G104" s="133"/>
      <c r="H104" s="133"/>
      <c r="I104" s="133"/>
      <c r="J104" s="133"/>
      <c r="K104" s="133"/>
      <c r="L104" s="133"/>
    </row>
    <row r="105" spans="1:12">
      <c r="A105" s="250"/>
      <c r="B105" s="133"/>
      <c r="C105" s="133"/>
      <c r="D105" s="133"/>
      <c r="E105" s="133"/>
      <c r="F105" s="133"/>
      <c r="G105" s="133"/>
      <c r="H105" s="133"/>
      <c r="I105" s="133"/>
      <c r="J105" s="133"/>
      <c r="K105" s="133"/>
      <c r="L105" s="133"/>
    </row>
    <row r="106" spans="1:12">
      <c r="A106" s="250"/>
      <c r="B106" s="133"/>
      <c r="C106" s="133"/>
      <c r="D106" s="133"/>
      <c r="E106" s="133"/>
      <c r="F106" s="133"/>
      <c r="G106" s="133"/>
      <c r="H106" s="133"/>
      <c r="I106" s="133"/>
      <c r="J106" s="133"/>
      <c r="K106" s="133"/>
      <c r="L106" s="133"/>
    </row>
    <row r="107" spans="1:12">
      <c r="A107" s="250"/>
      <c r="B107" s="133"/>
      <c r="C107" s="133"/>
      <c r="D107" s="133"/>
      <c r="E107" s="133"/>
      <c r="F107" s="133"/>
      <c r="G107" s="133"/>
      <c r="H107" s="133"/>
      <c r="I107" s="133"/>
      <c r="J107" s="133"/>
      <c r="K107" s="133"/>
      <c r="L107" s="133"/>
    </row>
    <row r="108" spans="1:12">
      <c r="A108" s="250"/>
      <c r="B108" s="133"/>
      <c r="C108" s="133"/>
      <c r="D108" s="133"/>
      <c r="E108" s="133"/>
      <c r="F108" s="133"/>
      <c r="G108" s="133"/>
      <c r="H108" s="133"/>
      <c r="I108" s="133"/>
      <c r="J108" s="133"/>
      <c r="K108" s="133"/>
      <c r="L108" s="133"/>
    </row>
    <row r="109" spans="1:12">
      <c r="A109" s="250"/>
      <c r="B109" s="133"/>
      <c r="C109" s="133"/>
      <c r="D109" s="133"/>
      <c r="E109" s="133"/>
      <c r="F109" s="133"/>
      <c r="G109" s="133"/>
      <c r="H109" s="133"/>
      <c r="I109" s="133"/>
      <c r="J109" s="133"/>
      <c r="K109" s="133"/>
      <c r="L109" s="133"/>
    </row>
    <row r="110" spans="1:12">
      <c r="A110" s="250"/>
      <c r="B110" s="133"/>
      <c r="C110" s="133"/>
      <c r="D110" s="133"/>
      <c r="E110" s="133"/>
      <c r="F110" s="133"/>
      <c r="G110" s="133"/>
      <c r="H110" s="133"/>
      <c r="I110" s="133"/>
      <c r="J110" s="133"/>
      <c r="K110" s="133"/>
      <c r="L110" s="133"/>
    </row>
    <row r="111" spans="1:12">
      <c r="A111" s="250"/>
      <c r="B111" s="133"/>
      <c r="C111" s="133"/>
      <c r="D111" s="133"/>
      <c r="E111" s="133"/>
      <c r="F111" s="133"/>
      <c r="G111" s="133"/>
      <c r="H111" s="133"/>
      <c r="I111" s="133"/>
      <c r="J111" s="133"/>
      <c r="K111" s="133"/>
      <c r="L111" s="133"/>
    </row>
    <row r="112" spans="1:12">
      <c r="A112" s="250"/>
      <c r="B112" s="133"/>
      <c r="C112" s="133"/>
      <c r="D112" s="133"/>
      <c r="E112" s="133"/>
      <c r="F112" s="133"/>
      <c r="G112" s="133"/>
      <c r="H112" s="133"/>
      <c r="I112" s="133"/>
      <c r="J112" s="133"/>
      <c r="K112" s="133"/>
      <c r="L112" s="133"/>
    </row>
    <row r="113" spans="1:12">
      <c r="A113" s="250"/>
      <c r="B113" s="133"/>
      <c r="C113" s="133"/>
      <c r="D113" s="133"/>
      <c r="E113" s="133"/>
      <c r="F113" s="133"/>
      <c r="G113" s="133"/>
      <c r="H113" s="133"/>
      <c r="I113" s="133"/>
      <c r="J113" s="133"/>
      <c r="K113" s="133"/>
      <c r="L113" s="133"/>
    </row>
    <row r="114" spans="1:12">
      <c r="A114" s="250"/>
      <c r="B114" s="133"/>
      <c r="C114" s="133"/>
      <c r="D114" s="133"/>
      <c r="E114" s="133"/>
      <c r="F114" s="133"/>
      <c r="G114" s="133"/>
      <c r="H114" s="133"/>
      <c r="I114" s="133"/>
      <c r="J114" s="133"/>
      <c r="K114" s="133"/>
      <c r="L114" s="133"/>
    </row>
    <row r="115" spans="1:12">
      <c r="A115" s="250"/>
      <c r="B115" s="133"/>
      <c r="C115" s="133"/>
      <c r="D115" s="133"/>
      <c r="E115" s="133"/>
      <c r="F115" s="133"/>
      <c r="G115" s="133"/>
      <c r="H115" s="133"/>
      <c r="I115" s="133"/>
      <c r="J115" s="133"/>
      <c r="K115" s="133"/>
      <c r="L115" s="133"/>
    </row>
    <row r="116" spans="1:12">
      <c r="A116" s="250"/>
      <c r="B116" s="133"/>
      <c r="C116" s="133"/>
      <c r="D116" s="133"/>
      <c r="E116" s="133"/>
      <c r="F116" s="133"/>
      <c r="G116" s="133"/>
      <c r="H116" s="133"/>
      <c r="I116" s="133"/>
      <c r="J116" s="133"/>
      <c r="K116" s="133"/>
      <c r="L116" s="133"/>
    </row>
    <row r="117" spans="1:12">
      <c r="A117" s="250"/>
      <c r="B117" s="133"/>
      <c r="C117" s="133"/>
      <c r="D117" s="133"/>
      <c r="E117" s="133"/>
      <c r="F117" s="133"/>
      <c r="G117" s="133"/>
      <c r="H117" s="133"/>
      <c r="I117" s="133"/>
      <c r="J117" s="133"/>
      <c r="K117" s="133"/>
      <c r="L117" s="133"/>
    </row>
    <row r="118" spans="1:12">
      <c r="A118" s="250"/>
      <c r="B118" s="133"/>
      <c r="C118" s="133"/>
      <c r="D118" s="133"/>
      <c r="E118" s="133"/>
      <c r="F118" s="133"/>
      <c r="G118" s="133"/>
      <c r="H118" s="133"/>
      <c r="I118" s="133"/>
      <c r="J118" s="133"/>
      <c r="K118" s="133"/>
      <c r="L118" s="133"/>
    </row>
    <row r="119" spans="1:12">
      <c r="A119" s="250"/>
      <c r="B119" s="133"/>
      <c r="C119" s="133"/>
      <c r="D119" s="133"/>
      <c r="E119" s="133"/>
      <c r="F119" s="133"/>
      <c r="G119" s="133"/>
      <c r="H119" s="133"/>
      <c r="I119" s="133"/>
      <c r="J119" s="133"/>
      <c r="K119" s="133"/>
      <c r="L119" s="133"/>
    </row>
    <row r="120" spans="1:12">
      <c r="A120" s="250"/>
      <c r="B120" s="133"/>
      <c r="C120" s="133"/>
      <c r="D120" s="133"/>
      <c r="E120" s="133"/>
      <c r="F120" s="133"/>
      <c r="G120" s="133"/>
      <c r="H120" s="133"/>
      <c r="I120" s="133"/>
      <c r="J120" s="133"/>
      <c r="K120" s="133"/>
      <c r="L120" s="133"/>
    </row>
    <row r="121" spans="1:12">
      <c r="A121" s="250"/>
      <c r="B121" s="133"/>
      <c r="C121" s="133"/>
      <c r="D121" s="133"/>
      <c r="E121" s="133"/>
      <c r="F121" s="133"/>
      <c r="G121" s="133"/>
      <c r="H121" s="133"/>
      <c r="I121" s="133"/>
      <c r="J121" s="133"/>
      <c r="K121" s="133"/>
      <c r="L121" s="133"/>
    </row>
    <row r="122" spans="1:12">
      <c r="A122" s="250"/>
      <c r="B122" s="133"/>
      <c r="C122" s="133"/>
      <c r="D122" s="133"/>
      <c r="E122" s="133"/>
      <c r="F122" s="133"/>
      <c r="G122" s="133"/>
      <c r="H122" s="133"/>
      <c r="I122" s="133"/>
      <c r="J122" s="133"/>
      <c r="K122" s="133"/>
      <c r="L122" s="133"/>
    </row>
    <row r="123" spans="1:12">
      <c r="A123" s="250"/>
      <c r="B123" s="133"/>
      <c r="C123" s="133"/>
      <c r="D123" s="133"/>
      <c r="E123" s="133"/>
      <c r="F123" s="133"/>
      <c r="G123" s="133"/>
      <c r="H123" s="133"/>
      <c r="I123" s="133"/>
      <c r="J123" s="133"/>
      <c r="K123" s="133"/>
      <c r="L123" s="133"/>
    </row>
    <row r="124" spans="1:12">
      <c r="A124" s="250"/>
      <c r="B124" s="133"/>
      <c r="C124" s="133"/>
      <c r="D124" s="133"/>
      <c r="E124" s="133"/>
      <c r="F124" s="133"/>
      <c r="G124" s="133"/>
      <c r="H124" s="133"/>
      <c r="I124" s="133"/>
      <c r="J124" s="133"/>
      <c r="K124" s="133"/>
      <c r="L124" s="133"/>
    </row>
    <row r="125" spans="1:12">
      <c r="A125" s="250"/>
      <c r="B125" s="133"/>
      <c r="C125" s="133"/>
      <c r="D125" s="133"/>
      <c r="E125" s="133"/>
      <c r="F125" s="133"/>
      <c r="G125" s="133"/>
      <c r="H125" s="133"/>
      <c r="I125" s="133"/>
      <c r="J125" s="133"/>
      <c r="K125" s="133"/>
      <c r="L125" s="133"/>
    </row>
    <row r="126" spans="1:12">
      <c r="A126" s="250"/>
      <c r="B126" s="133"/>
      <c r="C126" s="133"/>
      <c r="D126" s="133"/>
      <c r="E126" s="133"/>
      <c r="F126" s="133"/>
      <c r="G126" s="133"/>
      <c r="H126" s="133"/>
      <c r="I126" s="133"/>
      <c r="J126" s="133"/>
      <c r="K126" s="133"/>
      <c r="L126" s="133"/>
    </row>
    <row r="127" spans="1:12">
      <c r="A127" s="250"/>
      <c r="B127" s="133"/>
      <c r="C127" s="133"/>
      <c r="D127" s="133"/>
      <c r="E127" s="133"/>
      <c r="F127" s="133"/>
      <c r="G127" s="133"/>
      <c r="H127" s="133"/>
      <c r="I127" s="133"/>
      <c r="J127" s="133"/>
      <c r="K127" s="133"/>
      <c r="L127" s="133"/>
    </row>
    <row r="128" spans="1:12">
      <c r="A128" s="250"/>
      <c r="B128" s="133"/>
      <c r="C128" s="133"/>
      <c r="D128" s="133"/>
      <c r="E128" s="133"/>
      <c r="F128" s="133"/>
      <c r="G128" s="133"/>
      <c r="H128" s="133"/>
      <c r="I128" s="133"/>
      <c r="J128" s="133"/>
      <c r="K128" s="133"/>
      <c r="L128" s="133"/>
    </row>
    <row r="129" spans="1:12">
      <c r="A129" s="250"/>
      <c r="B129" s="133"/>
      <c r="C129" s="133"/>
      <c r="D129" s="133"/>
      <c r="E129" s="133"/>
      <c r="F129" s="133"/>
      <c r="G129" s="133"/>
      <c r="H129" s="133"/>
      <c r="I129" s="133"/>
      <c r="J129" s="133"/>
      <c r="K129" s="133"/>
      <c r="L129" s="133"/>
    </row>
    <row r="130" spans="1:12">
      <c r="A130" s="250"/>
      <c r="B130" s="133"/>
      <c r="C130" s="133"/>
      <c r="D130" s="133"/>
      <c r="E130" s="133"/>
      <c r="F130" s="133"/>
      <c r="G130" s="133"/>
      <c r="H130" s="133"/>
      <c r="I130" s="133"/>
      <c r="J130" s="133"/>
      <c r="K130" s="133"/>
      <c r="L130" s="133"/>
    </row>
    <row r="131" spans="1:12">
      <c r="A131" s="250"/>
      <c r="B131" s="133"/>
      <c r="C131" s="133"/>
      <c r="D131" s="133"/>
      <c r="E131" s="133"/>
      <c r="F131" s="133"/>
      <c r="G131" s="133"/>
      <c r="H131" s="133"/>
      <c r="I131" s="133"/>
      <c r="J131" s="133"/>
      <c r="K131" s="133"/>
      <c r="L131" s="133"/>
    </row>
    <row r="132" spans="1:12">
      <c r="A132" s="250"/>
      <c r="B132" s="133"/>
      <c r="C132" s="133"/>
      <c r="D132" s="133"/>
      <c r="E132" s="133"/>
      <c r="F132" s="133"/>
      <c r="G132" s="133"/>
      <c r="H132" s="133"/>
      <c r="I132" s="133"/>
      <c r="J132" s="133"/>
      <c r="K132" s="133"/>
      <c r="L132" s="133"/>
    </row>
    <row r="133" spans="1:12">
      <c r="A133" s="250"/>
      <c r="B133" s="133"/>
      <c r="C133" s="133"/>
      <c r="D133" s="133"/>
      <c r="E133" s="133"/>
      <c r="F133" s="133"/>
      <c r="G133" s="133"/>
      <c r="H133" s="133"/>
      <c r="I133" s="133"/>
      <c r="J133" s="133"/>
      <c r="K133" s="133"/>
      <c r="L133" s="133"/>
    </row>
    <row r="134" spans="1:12">
      <c r="A134" s="250"/>
      <c r="B134" s="133"/>
      <c r="C134" s="133"/>
      <c r="D134" s="133"/>
      <c r="E134" s="133"/>
      <c r="F134" s="133"/>
      <c r="G134" s="133"/>
      <c r="H134" s="133"/>
      <c r="I134" s="133"/>
      <c r="J134" s="133"/>
      <c r="K134" s="133"/>
      <c r="L134" s="133"/>
    </row>
    <row r="135" spans="1:12">
      <c r="A135" s="250"/>
      <c r="B135" s="133"/>
      <c r="C135" s="133"/>
      <c r="D135" s="133"/>
      <c r="E135" s="133"/>
      <c r="F135" s="133"/>
      <c r="G135" s="133"/>
      <c r="H135" s="133"/>
      <c r="I135" s="133"/>
      <c r="J135" s="133"/>
      <c r="K135" s="133"/>
      <c r="L135" s="133"/>
    </row>
    <row r="136" spans="1:12">
      <c r="A136" s="250"/>
      <c r="B136" s="133"/>
      <c r="C136" s="133"/>
      <c r="D136" s="133"/>
      <c r="E136" s="133"/>
      <c r="F136" s="133"/>
      <c r="G136" s="133"/>
      <c r="H136" s="133"/>
      <c r="I136" s="133"/>
      <c r="J136" s="133"/>
      <c r="K136" s="133"/>
      <c r="L136" s="133"/>
    </row>
    <row r="137" spans="1:12">
      <c r="A137" s="250"/>
      <c r="B137" s="133"/>
      <c r="C137" s="133"/>
      <c r="D137" s="133"/>
      <c r="E137" s="133"/>
      <c r="F137" s="133"/>
      <c r="G137" s="133"/>
      <c r="H137" s="133"/>
      <c r="I137" s="133"/>
      <c r="J137" s="133"/>
      <c r="K137" s="133"/>
      <c r="L137" s="133"/>
    </row>
    <row r="138" spans="1:12">
      <c r="A138" s="250"/>
      <c r="B138" s="133"/>
      <c r="C138" s="133"/>
      <c r="D138" s="133"/>
      <c r="E138" s="133"/>
      <c r="F138" s="133"/>
      <c r="G138" s="133"/>
      <c r="H138" s="133"/>
      <c r="I138" s="133"/>
      <c r="J138" s="133"/>
      <c r="K138" s="133"/>
      <c r="L138" s="133"/>
    </row>
    <row r="139" spans="1:12">
      <c r="A139" s="250"/>
      <c r="B139" s="133"/>
      <c r="C139" s="133"/>
      <c r="D139" s="133"/>
      <c r="E139" s="133"/>
      <c r="F139" s="133"/>
      <c r="G139" s="133"/>
      <c r="H139" s="133"/>
      <c r="I139" s="133"/>
      <c r="J139" s="133"/>
      <c r="K139" s="133"/>
      <c r="L139" s="133"/>
    </row>
    <row r="140" spans="1:12">
      <c r="A140" s="250"/>
      <c r="B140" s="133"/>
      <c r="C140" s="133"/>
      <c r="D140" s="133"/>
      <c r="E140" s="133"/>
      <c r="F140" s="133"/>
      <c r="G140" s="133"/>
      <c r="H140" s="133"/>
      <c r="I140" s="133"/>
      <c r="J140" s="133"/>
      <c r="K140" s="133"/>
      <c r="L140" s="133"/>
    </row>
    <row r="141" spans="1:12">
      <c r="A141" s="250"/>
      <c r="B141" s="133"/>
      <c r="C141" s="133"/>
      <c r="D141" s="133"/>
      <c r="E141" s="133"/>
      <c r="F141" s="133"/>
      <c r="G141" s="133"/>
      <c r="H141" s="133"/>
      <c r="I141" s="133"/>
      <c r="J141" s="133"/>
      <c r="K141" s="133"/>
      <c r="L141" s="133"/>
    </row>
    <row r="142" spans="1:12">
      <c r="A142" s="250"/>
      <c r="B142" s="133"/>
      <c r="C142" s="133"/>
      <c r="D142" s="133"/>
      <c r="E142" s="133"/>
      <c r="F142" s="133"/>
      <c r="G142" s="133"/>
      <c r="H142" s="133"/>
      <c r="I142" s="133"/>
      <c r="J142" s="133"/>
      <c r="K142" s="133"/>
      <c r="L142" s="133"/>
    </row>
    <row r="143" spans="1:12">
      <c r="A143" s="250"/>
      <c r="B143" s="133"/>
      <c r="C143" s="133"/>
      <c r="D143" s="133"/>
      <c r="E143" s="133"/>
      <c r="F143" s="133"/>
      <c r="G143" s="133"/>
      <c r="H143" s="133"/>
      <c r="I143" s="133"/>
      <c r="J143" s="133"/>
      <c r="K143" s="133"/>
      <c r="L143" s="133"/>
    </row>
    <row r="144" spans="1:12">
      <c r="A144" s="250"/>
      <c r="B144" s="133"/>
      <c r="C144" s="133"/>
      <c r="D144" s="133"/>
      <c r="E144" s="133"/>
      <c r="F144" s="133"/>
      <c r="G144" s="133"/>
      <c r="H144" s="133"/>
      <c r="I144" s="133"/>
      <c r="J144" s="133"/>
      <c r="K144" s="133"/>
      <c r="L144" s="133"/>
    </row>
    <row r="145" spans="1:12">
      <c r="A145" s="250"/>
      <c r="B145" s="133"/>
      <c r="C145" s="133"/>
      <c r="D145" s="133"/>
      <c r="E145" s="133"/>
      <c r="F145" s="133"/>
      <c r="G145" s="133"/>
      <c r="H145" s="133"/>
      <c r="I145" s="133"/>
      <c r="J145" s="133"/>
      <c r="K145" s="133"/>
      <c r="L145" s="133"/>
    </row>
    <row r="146" spans="1:12">
      <c r="A146" s="250"/>
      <c r="B146" s="133"/>
      <c r="C146" s="133"/>
      <c r="D146" s="133"/>
      <c r="E146" s="133"/>
      <c r="F146" s="133"/>
      <c r="G146" s="133"/>
      <c r="H146" s="133"/>
      <c r="I146" s="133"/>
      <c r="J146" s="133"/>
      <c r="K146" s="133"/>
      <c r="L146" s="133"/>
    </row>
    <row r="147" spans="1:12">
      <c r="A147" s="250"/>
      <c r="B147" s="133"/>
      <c r="C147" s="133"/>
      <c r="D147" s="133"/>
      <c r="E147" s="133"/>
      <c r="F147" s="133"/>
      <c r="G147" s="133"/>
      <c r="H147" s="133"/>
      <c r="I147" s="133"/>
      <c r="J147" s="133"/>
      <c r="K147" s="133"/>
      <c r="L147" s="133"/>
    </row>
    <row r="148" spans="1:12">
      <c r="A148" s="250"/>
      <c r="B148" s="133"/>
      <c r="C148" s="133"/>
      <c r="D148" s="133"/>
      <c r="E148" s="133"/>
      <c r="F148" s="133"/>
      <c r="G148" s="133"/>
      <c r="H148" s="133"/>
      <c r="I148" s="133"/>
      <c r="J148" s="133"/>
      <c r="K148" s="133"/>
      <c r="L148" s="133"/>
    </row>
    <row r="149" spans="1:12">
      <c r="A149" s="250"/>
      <c r="B149" s="133"/>
      <c r="C149" s="133"/>
      <c r="D149" s="133"/>
      <c r="E149" s="133"/>
      <c r="F149" s="133"/>
      <c r="G149" s="133"/>
      <c r="H149" s="133"/>
      <c r="I149" s="133"/>
      <c r="J149" s="133"/>
      <c r="K149" s="133"/>
      <c r="L149" s="133"/>
    </row>
    <row r="150" spans="1:12">
      <c r="A150" s="250"/>
      <c r="B150" s="133"/>
      <c r="C150" s="133"/>
      <c r="D150" s="133"/>
      <c r="E150" s="133"/>
      <c r="F150" s="133"/>
      <c r="G150" s="133"/>
      <c r="H150" s="133"/>
      <c r="I150" s="133"/>
      <c r="J150" s="133"/>
      <c r="K150" s="133"/>
      <c r="L150" s="133"/>
    </row>
    <row r="151" spans="1:12">
      <c r="A151" s="250"/>
      <c r="B151" s="133"/>
      <c r="C151" s="133"/>
      <c r="D151" s="133"/>
      <c r="E151" s="133"/>
      <c r="F151" s="133"/>
      <c r="G151" s="133"/>
      <c r="H151" s="133"/>
      <c r="I151" s="133"/>
      <c r="J151" s="133"/>
      <c r="K151" s="133"/>
      <c r="L151" s="133"/>
    </row>
    <row r="152" spans="1:12">
      <c r="A152" s="250"/>
      <c r="B152" s="133"/>
      <c r="C152" s="133"/>
      <c r="D152" s="133"/>
      <c r="E152" s="133"/>
      <c r="F152" s="133"/>
      <c r="G152" s="133"/>
      <c r="H152" s="133"/>
      <c r="I152" s="133"/>
      <c r="J152" s="133"/>
      <c r="K152" s="133"/>
      <c r="L152" s="133"/>
    </row>
    <row r="153" spans="1:12">
      <c r="A153" s="250"/>
      <c r="B153" s="133"/>
      <c r="C153" s="133"/>
      <c r="D153" s="133"/>
      <c r="E153" s="133"/>
      <c r="F153" s="133"/>
      <c r="G153" s="133"/>
      <c r="H153" s="133"/>
      <c r="I153" s="133"/>
      <c r="J153" s="133"/>
      <c r="K153" s="133"/>
      <c r="L153" s="133"/>
    </row>
    <row r="154" spans="1:12">
      <c r="A154" s="250"/>
      <c r="B154" s="133"/>
      <c r="C154" s="133"/>
      <c r="D154" s="133"/>
      <c r="E154" s="133"/>
      <c r="F154" s="133"/>
      <c r="G154" s="133"/>
      <c r="H154" s="133"/>
      <c r="I154" s="133"/>
      <c r="J154" s="133"/>
      <c r="K154" s="133"/>
      <c r="L154" s="133"/>
    </row>
    <row r="155" spans="1:12">
      <c r="A155" s="250"/>
      <c r="B155" s="133"/>
      <c r="C155" s="133"/>
      <c r="D155" s="133"/>
      <c r="E155" s="133"/>
      <c r="F155" s="133"/>
      <c r="G155" s="133"/>
      <c r="H155" s="133"/>
      <c r="I155" s="133"/>
      <c r="J155" s="133"/>
      <c r="K155" s="133"/>
      <c r="L155" s="133"/>
    </row>
    <row r="156" spans="1:12">
      <c r="A156" s="250"/>
      <c r="B156" s="133"/>
      <c r="C156" s="133"/>
      <c r="D156" s="133"/>
      <c r="E156" s="133"/>
      <c r="F156" s="133"/>
      <c r="G156" s="133"/>
      <c r="H156" s="133"/>
      <c r="I156" s="133"/>
      <c r="J156" s="133"/>
      <c r="K156" s="133"/>
      <c r="L156" s="133"/>
    </row>
    <row r="157" spans="1:12">
      <c r="A157" s="250"/>
      <c r="B157" s="133"/>
      <c r="C157" s="133"/>
      <c r="D157" s="133"/>
      <c r="E157" s="133"/>
      <c r="F157" s="133"/>
      <c r="G157" s="133"/>
      <c r="H157" s="133"/>
      <c r="I157" s="133"/>
      <c r="J157" s="133"/>
      <c r="K157" s="133"/>
      <c r="L157" s="133"/>
    </row>
    <row r="158" spans="1:12">
      <c r="A158" s="250"/>
      <c r="B158" s="133"/>
      <c r="C158" s="133"/>
      <c r="D158" s="133"/>
      <c r="E158" s="133"/>
      <c r="F158" s="133"/>
      <c r="G158" s="133"/>
      <c r="H158" s="133"/>
      <c r="I158" s="133"/>
      <c r="J158" s="133"/>
      <c r="K158" s="133"/>
      <c r="L158" s="133"/>
    </row>
    <row r="159" spans="1:12">
      <c r="A159" s="250"/>
      <c r="B159" s="133"/>
      <c r="C159" s="133"/>
      <c r="D159" s="133"/>
      <c r="E159" s="133"/>
      <c r="F159" s="133"/>
      <c r="G159" s="133"/>
      <c r="H159" s="133"/>
      <c r="I159" s="133"/>
      <c r="J159" s="133"/>
      <c r="K159" s="133"/>
      <c r="L159" s="133"/>
    </row>
    <row r="160" spans="1:12">
      <c r="A160" s="250"/>
      <c r="B160" s="133"/>
      <c r="C160" s="133"/>
      <c r="D160" s="133"/>
      <c r="E160" s="133"/>
      <c r="F160" s="133"/>
      <c r="G160" s="133"/>
      <c r="H160" s="133"/>
      <c r="I160" s="133"/>
      <c r="J160" s="133"/>
      <c r="K160" s="133"/>
      <c r="L160" s="133"/>
    </row>
    <row r="161" spans="1:12">
      <c r="A161" s="250"/>
      <c r="B161" s="133"/>
      <c r="C161" s="133"/>
      <c r="D161" s="133"/>
      <c r="E161" s="133"/>
      <c r="F161" s="133"/>
      <c r="G161" s="133"/>
      <c r="H161" s="133"/>
      <c r="I161" s="133"/>
      <c r="J161" s="133"/>
      <c r="K161" s="133"/>
      <c r="L161" s="133"/>
    </row>
    <row r="162" spans="1:12">
      <c r="A162" s="250"/>
      <c r="B162" s="133"/>
      <c r="C162" s="133"/>
      <c r="D162" s="133"/>
      <c r="E162" s="133"/>
      <c r="F162" s="133"/>
      <c r="G162" s="133"/>
      <c r="H162" s="133"/>
      <c r="I162" s="133"/>
      <c r="J162" s="133"/>
      <c r="K162" s="133"/>
      <c r="L162" s="133"/>
    </row>
    <row r="163" spans="1:12">
      <c r="A163" s="250"/>
      <c r="B163" s="133"/>
      <c r="C163" s="133"/>
      <c r="D163" s="133"/>
      <c r="E163" s="133"/>
      <c r="F163" s="133"/>
      <c r="G163" s="133"/>
      <c r="H163" s="133"/>
      <c r="I163" s="133"/>
      <c r="J163" s="133"/>
      <c r="K163" s="133"/>
      <c r="L163" s="133"/>
    </row>
    <row r="164" spans="1:12">
      <c r="A164" s="250"/>
      <c r="B164" s="133"/>
      <c r="C164" s="133"/>
      <c r="D164" s="133"/>
      <c r="E164" s="133"/>
      <c r="F164" s="133"/>
      <c r="G164" s="133"/>
      <c r="H164" s="133"/>
      <c r="I164" s="133"/>
      <c r="J164" s="133"/>
      <c r="K164" s="133"/>
      <c r="L164" s="133"/>
    </row>
    <row r="165" spans="1:12">
      <c r="A165" s="250"/>
      <c r="B165" s="133"/>
      <c r="C165" s="133"/>
      <c r="D165" s="133"/>
      <c r="E165" s="133"/>
      <c r="F165" s="133"/>
      <c r="G165" s="133"/>
      <c r="H165" s="133"/>
      <c r="I165" s="133"/>
      <c r="J165" s="133"/>
      <c r="K165" s="133"/>
      <c r="L165" s="133"/>
    </row>
    <row r="166" spans="1:12">
      <c r="A166" s="250"/>
      <c r="B166" s="133"/>
      <c r="C166" s="133"/>
      <c r="D166" s="133"/>
      <c r="E166" s="133"/>
      <c r="F166" s="133"/>
      <c r="G166" s="133"/>
      <c r="H166" s="133"/>
      <c r="I166" s="133"/>
      <c r="J166" s="133"/>
      <c r="K166" s="133"/>
      <c r="L166" s="133"/>
    </row>
    <row r="167" spans="1:12">
      <c r="A167" s="250"/>
      <c r="B167" s="133"/>
      <c r="C167" s="133"/>
      <c r="D167" s="133"/>
      <c r="E167" s="133"/>
      <c r="F167" s="133"/>
      <c r="G167" s="133"/>
      <c r="H167" s="133"/>
      <c r="I167" s="133"/>
      <c r="J167" s="133"/>
      <c r="K167" s="133"/>
      <c r="L167" s="133"/>
    </row>
    <row r="168" spans="1:12">
      <c r="A168" s="250"/>
      <c r="B168" s="133"/>
      <c r="C168" s="133"/>
      <c r="D168" s="133"/>
      <c r="E168" s="133"/>
      <c r="F168" s="133"/>
      <c r="G168" s="133"/>
      <c r="H168" s="133"/>
      <c r="I168" s="133"/>
      <c r="J168" s="133"/>
      <c r="K168" s="133"/>
      <c r="L168" s="133"/>
    </row>
    <row r="169" spans="1:12">
      <c r="A169" s="250"/>
      <c r="B169" s="133"/>
      <c r="C169" s="133"/>
      <c r="D169" s="133"/>
      <c r="E169" s="133"/>
      <c r="F169" s="133"/>
      <c r="G169" s="133"/>
      <c r="H169" s="133"/>
      <c r="I169" s="133"/>
      <c r="J169" s="133"/>
      <c r="K169" s="133"/>
      <c r="L169" s="133"/>
    </row>
    <row r="170" spans="1:12">
      <c r="A170" s="250"/>
      <c r="B170" s="133"/>
      <c r="C170" s="133"/>
      <c r="D170" s="133"/>
      <c r="E170" s="133"/>
      <c r="F170" s="133"/>
      <c r="G170" s="133"/>
      <c r="H170" s="133"/>
      <c r="I170" s="133"/>
      <c r="J170" s="133"/>
      <c r="K170" s="133"/>
      <c r="L170" s="133"/>
    </row>
    <row r="171" spans="1:12">
      <c r="A171" s="250"/>
      <c r="B171" s="133"/>
      <c r="C171" s="133"/>
      <c r="D171" s="133"/>
      <c r="E171" s="133"/>
      <c r="F171" s="133"/>
      <c r="G171" s="133"/>
      <c r="H171" s="133"/>
      <c r="I171" s="133"/>
      <c r="J171" s="133"/>
      <c r="K171" s="133"/>
      <c r="L171" s="133"/>
    </row>
    <row r="172" spans="1:12">
      <c r="A172" s="250"/>
      <c r="B172" s="133"/>
      <c r="C172" s="133"/>
      <c r="D172" s="133"/>
      <c r="E172" s="133"/>
      <c r="F172" s="133"/>
      <c r="G172" s="133"/>
      <c r="H172" s="133"/>
      <c r="I172" s="133"/>
      <c r="J172" s="133"/>
      <c r="K172" s="133"/>
      <c r="L172" s="133"/>
    </row>
    <row r="173" spans="1:12">
      <c r="A173" s="250"/>
      <c r="B173" s="133"/>
      <c r="C173" s="133"/>
      <c r="D173" s="133"/>
      <c r="E173" s="133"/>
      <c r="F173" s="133"/>
      <c r="G173" s="133"/>
      <c r="H173" s="133"/>
      <c r="I173" s="133"/>
      <c r="J173" s="133"/>
      <c r="K173" s="133"/>
      <c r="L173" s="133"/>
    </row>
    <row r="174" spans="1:12">
      <c r="A174" s="250"/>
      <c r="B174" s="133"/>
      <c r="C174" s="133"/>
      <c r="D174" s="133"/>
      <c r="E174" s="133"/>
      <c r="F174" s="133"/>
      <c r="G174" s="133"/>
      <c r="H174" s="133"/>
      <c r="I174" s="133"/>
      <c r="J174" s="133"/>
      <c r="K174" s="133"/>
      <c r="L174" s="133"/>
    </row>
    <row r="175" spans="1:12">
      <c r="A175" s="250"/>
      <c r="B175" s="133"/>
      <c r="C175" s="133"/>
      <c r="D175" s="133"/>
      <c r="E175" s="133"/>
      <c r="F175" s="133"/>
      <c r="G175" s="133"/>
      <c r="H175" s="133"/>
      <c r="I175" s="133"/>
      <c r="J175" s="133"/>
      <c r="K175" s="133"/>
      <c r="L175" s="133"/>
    </row>
    <row r="176" spans="1:12">
      <c r="A176" s="250"/>
      <c r="B176" s="133"/>
      <c r="C176" s="133"/>
      <c r="D176" s="133"/>
      <c r="E176" s="133"/>
      <c r="F176" s="133"/>
      <c r="G176" s="133"/>
      <c r="H176" s="133"/>
      <c r="I176" s="133"/>
      <c r="J176" s="133"/>
      <c r="K176" s="133"/>
      <c r="L176" s="133"/>
    </row>
    <row r="177" spans="1:12">
      <c r="A177" s="250"/>
      <c r="B177" s="133"/>
      <c r="C177" s="133"/>
      <c r="D177" s="133"/>
      <c r="E177" s="133"/>
      <c r="F177" s="133"/>
      <c r="G177" s="133"/>
      <c r="H177" s="133"/>
      <c r="I177" s="133"/>
      <c r="J177" s="133"/>
      <c r="K177" s="133"/>
      <c r="L177" s="133"/>
    </row>
    <row r="178" spans="1:12">
      <c r="A178" s="250"/>
      <c r="B178" s="133"/>
      <c r="C178" s="133"/>
      <c r="D178" s="133"/>
      <c r="E178" s="133"/>
      <c r="F178" s="133"/>
      <c r="G178" s="133"/>
      <c r="H178" s="133"/>
      <c r="I178" s="133"/>
      <c r="J178" s="133"/>
      <c r="K178" s="133"/>
      <c r="L178" s="133"/>
    </row>
    <row r="179" spans="1:12">
      <c r="A179" s="250"/>
      <c r="B179" s="133"/>
      <c r="C179" s="133"/>
      <c r="D179" s="133"/>
      <c r="E179" s="133"/>
      <c r="F179" s="133"/>
      <c r="G179" s="133"/>
      <c r="H179" s="133"/>
      <c r="I179" s="133"/>
      <c r="J179" s="133"/>
      <c r="K179" s="133"/>
      <c r="L179" s="133"/>
    </row>
    <row r="180" spans="1:12">
      <c r="A180" s="250"/>
      <c r="B180" s="133"/>
      <c r="C180" s="133"/>
      <c r="D180" s="133"/>
      <c r="E180" s="133"/>
      <c r="F180" s="133"/>
      <c r="G180" s="133"/>
      <c r="H180" s="133"/>
      <c r="I180" s="133"/>
      <c r="J180" s="133"/>
      <c r="K180" s="133"/>
      <c r="L180" s="133"/>
    </row>
    <row r="181" spans="1:12">
      <c r="A181" s="250"/>
      <c r="B181" s="133"/>
      <c r="C181" s="133"/>
      <c r="D181" s="133"/>
      <c r="E181" s="133"/>
      <c r="F181" s="133"/>
      <c r="G181" s="133"/>
      <c r="H181" s="133"/>
      <c r="I181" s="133"/>
      <c r="J181" s="133"/>
      <c r="K181" s="133"/>
      <c r="L181" s="133"/>
    </row>
    <row r="182" spans="1:12">
      <c r="A182" s="250"/>
      <c r="B182" s="133"/>
      <c r="C182" s="133"/>
      <c r="D182" s="133"/>
      <c r="E182" s="133"/>
      <c r="F182" s="133"/>
      <c r="G182" s="133"/>
      <c r="H182" s="133"/>
      <c r="I182" s="133"/>
      <c r="J182" s="133"/>
      <c r="K182" s="133"/>
      <c r="L182" s="133"/>
    </row>
    <row r="183" spans="1:12">
      <c r="A183" s="250"/>
      <c r="B183" s="133"/>
      <c r="C183" s="133"/>
      <c r="D183" s="133"/>
      <c r="E183" s="133"/>
      <c r="F183" s="133"/>
      <c r="G183" s="133"/>
      <c r="H183" s="133"/>
      <c r="I183" s="133"/>
      <c r="J183" s="133"/>
      <c r="K183" s="133"/>
      <c r="L183" s="133"/>
    </row>
    <row r="184" spans="1:12">
      <c r="A184" s="250"/>
      <c r="B184" s="133"/>
      <c r="C184" s="133"/>
      <c r="D184" s="133"/>
      <c r="E184" s="133"/>
      <c r="F184" s="133"/>
      <c r="G184" s="133"/>
      <c r="H184" s="133"/>
      <c r="I184" s="133"/>
      <c r="J184" s="133"/>
      <c r="K184" s="133"/>
      <c r="L184" s="133"/>
    </row>
    <row r="185" spans="1:12">
      <c r="A185" s="250"/>
      <c r="B185" s="133"/>
      <c r="C185" s="133"/>
      <c r="D185" s="133"/>
      <c r="E185" s="133"/>
      <c r="F185" s="133"/>
      <c r="G185" s="133"/>
      <c r="H185" s="133"/>
      <c r="I185" s="133"/>
      <c r="J185" s="133"/>
      <c r="K185" s="133"/>
      <c r="L185" s="133"/>
    </row>
    <row r="186" spans="1:12">
      <c r="A186" s="250"/>
      <c r="B186" s="133"/>
      <c r="C186" s="133"/>
      <c r="D186" s="133"/>
      <c r="E186" s="133"/>
      <c r="F186" s="133"/>
      <c r="G186" s="133"/>
      <c r="H186" s="133"/>
      <c r="I186" s="133"/>
      <c r="J186" s="133"/>
      <c r="K186" s="133"/>
      <c r="L186" s="133"/>
    </row>
    <row r="187" spans="1:12">
      <c r="A187" s="250"/>
      <c r="B187" s="133"/>
      <c r="C187" s="133"/>
      <c r="D187" s="133"/>
      <c r="E187" s="133"/>
      <c r="F187" s="133"/>
      <c r="G187" s="133"/>
      <c r="H187" s="133"/>
      <c r="I187" s="133"/>
      <c r="J187" s="133"/>
      <c r="K187" s="133"/>
      <c r="L187" s="133"/>
    </row>
    <row r="188" spans="1:12">
      <c r="A188" s="250"/>
      <c r="B188" s="133"/>
      <c r="C188" s="133"/>
      <c r="D188" s="133"/>
      <c r="E188" s="133"/>
      <c r="F188" s="133"/>
      <c r="G188" s="133"/>
      <c r="H188" s="133"/>
      <c r="I188" s="133"/>
      <c r="J188" s="133"/>
      <c r="K188" s="133"/>
      <c r="L188" s="133"/>
    </row>
    <row r="189" spans="1:12">
      <c r="A189" s="250"/>
      <c r="B189" s="133"/>
      <c r="C189" s="133"/>
      <c r="D189" s="133"/>
      <c r="E189" s="133"/>
      <c r="F189" s="133"/>
      <c r="G189" s="133"/>
      <c r="H189" s="133"/>
      <c r="I189" s="133"/>
      <c r="J189" s="133"/>
      <c r="K189" s="133"/>
      <c r="L189" s="133"/>
    </row>
    <row r="190" spans="1:12">
      <c r="A190" s="250"/>
      <c r="B190" s="133"/>
      <c r="C190" s="133"/>
      <c r="D190" s="133"/>
      <c r="E190" s="133"/>
      <c r="F190" s="133"/>
      <c r="G190" s="133"/>
      <c r="H190" s="133"/>
      <c r="I190" s="133"/>
      <c r="J190" s="133"/>
      <c r="K190" s="133"/>
      <c r="L190" s="133"/>
    </row>
    <row r="191" spans="1:12">
      <c r="A191" s="250"/>
      <c r="B191" s="133"/>
      <c r="C191" s="133"/>
      <c r="D191" s="133"/>
      <c r="E191" s="133"/>
      <c r="F191" s="133"/>
      <c r="G191" s="133"/>
      <c r="H191" s="133"/>
      <c r="I191" s="133"/>
      <c r="J191" s="133"/>
      <c r="K191" s="133"/>
      <c r="L191" s="133"/>
    </row>
    <row r="192" spans="1:12">
      <c r="A192" s="250"/>
      <c r="B192" s="133"/>
      <c r="C192" s="133"/>
      <c r="D192" s="133"/>
      <c r="E192" s="133"/>
      <c r="F192" s="133"/>
      <c r="G192" s="133"/>
      <c r="H192" s="133"/>
      <c r="I192" s="133"/>
      <c r="J192" s="133"/>
      <c r="K192" s="133"/>
      <c r="L192" s="133"/>
    </row>
    <row r="193" spans="1:12">
      <c r="A193" s="250"/>
      <c r="B193" s="133"/>
      <c r="C193" s="133"/>
      <c r="D193" s="133"/>
      <c r="E193" s="133"/>
      <c r="F193" s="133"/>
      <c r="G193" s="133"/>
      <c r="H193" s="133"/>
      <c r="I193" s="133"/>
      <c r="J193" s="133"/>
      <c r="K193" s="133"/>
      <c r="L193" s="133"/>
    </row>
    <row r="194" spans="1:12">
      <c r="A194" s="250"/>
      <c r="B194" s="133"/>
      <c r="C194" s="133"/>
      <c r="D194" s="133"/>
      <c r="E194" s="133"/>
      <c r="F194" s="133"/>
      <c r="G194" s="133"/>
      <c r="H194" s="133"/>
      <c r="I194" s="133"/>
      <c r="J194" s="133"/>
      <c r="K194" s="133"/>
      <c r="L194" s="133"/>
    </row>
    <row r="195" spans="1:12">
      <c r="A195" s="250"/>
      <c r="B195" s="133"/>
      <c r="C195" s="133"/>
      <c r="D195" s="133"/>
      <c r="E195" s="133"/>
      <c r="F195" s="133"/>
      <c r="G195" s="133"/>
      <c r="H195" s="133"/>
      <c r="I195" s="133"/>
      <c r="J195" s="133"/>
      <c r="K195" s="133"/>
      <c r="L195" s="133"/>
    </row>
    <row r="196" spans="1:12">
      <c r="A196" s="250"/>
      <c r="B196" s="133"/>
      <c r="C196" s="133"/>
      <c r="D196" s="133"/>
      <c r="E196" s="133"/>
      <c r="F196" s="133"/>
      <c r="G196" s="133"/>
      <c r="H196" s="133"/>
      <c r="I196" s="133"/>
      <c r="J196" s="133"/>
      <c r="K196" s="133"/>
      <c r="L196" s="133"/>
    </row>
    <row r="197" spans="1:12">
      <c r="A197" s="250"/>
      <c r="B197" s="133"/>
      <c r="C197" s="133"/>
      <c r="D197" s="133"/>
      <c r="E197" s="133"/>
      <c r="F197" s="133"/>
      <c r="G197" s="133"/>
      <c r="H197" s="133"/>
      <c r="I197" s="133"/>
      <c r="J197" s="133"/>
      <c r="K197" s="133"/>
      <c r="L197" s="133"/>
    </row>
    <row r="198" spans="1:12">
      <c r="A198" s="250"/>
      <c r="B198" s="133"/>
      <c r="C198" s="133"/>
      <c r="D198" s="133"/>
      <c r="E198" s="133"/>
      <c r="F198" s="133"/>
      <c r="G198" s="133"/>
      <c r="H198" s="133"/>
      <c r="I198" s="133"/>
      <c r="J198" s="133"/>
      <c r="K198" s="133"/>
      <c r="L198" s="133"/>
    </row>
    <row r="199" spans="1:12">
      <c r="A199" s="250"/>
      <c r="B199" s="133"/>
      <c r="C199" s="133"/>
      <c r="D199" s="133"/>
      <c r="E199" s="133"/>
      <c r="F199" s="133"/>
      <c r="G199" s="133"/>
      <c r="H199" s="133"/>
      <c r="I199" s="133"/>
      <c r="J199" s="133"/>
      <c r="K199" s="133"/>
      <c r="L199" s="133"/>
    </row>
    <row r="200" spans="1:12">
      <c r="A200" s="250"/>
      <c r="B200" s="133"/>
      <c r="C200" s="133"/>
      <c r="D200" s="133"/>
      <c r="E200" s="133"/>
      <c r="F200" s="133"/>
      <c r="G200" s="133"/>
      <c r="H200" s="133"/>
      <c r="I200" s="133"/>
      <c r="J200" s="133"/>
      <c r="K200" s="133"/>
      <c r="L200" s="133"/>
    </row>
    <row r="201" spans="1:12">
      <c r="A201" s="250"/>
      <c r="B201" s="133"/>
      <c r="C201" s="133"/>
      <c r="D201" s="133"/>
      <c r="E201" s="133"/>
      <c r="F201" s="133"/>
      <c r="G201" s="133"/>
      <c r="H201" s="133"/>
      <c r="I201" s="133"/>
      <c r="J201" s="133"/>
      <c r="K201" s="133"/>
      <c r="L201" s="133"/>
    </row>
    <row r="202" spans="1:12">
      <c r="A202" s="250"/>
      <c r="B202" s="133"/>
      <c r="C202" s="133"/>
      <c r="D202" s="133"/>
      <c r="E202" s="133"/>
      <c r="F202" s="133"/>
      <c r="G202" s="133"/>
      <c r="H202" s="133"/>
      <c r="I202" s="133"/>
      <c r="J202" s="133"/>
      <c r="K202" s="133"/>
      <c r="L202" s="133"/>
    </row>
    <row r="203" spans="1:12">
      <c r="A203" s="250"/>
      <c r="B203" s="133"/>
      <c r="C203" s="133"/>
      <c r="D203" s="133"/>
      <c r="E203" s="133"/>
      <c r="F203" s="133"/>
      <c r="G203" s="133"/>
      <c r="H203" s="133"/>
      <c r="I203" s="133"/>
      <c r="J203" s="133"/>
      <c r="K203" s="133"/>
      <c r="L203" s="133"/>
    </row>
    <row r="204" spans="1:12">
      <c r="A204" s="250"/>
      <c r="B204" s="133"/>
      <c r="C204" s="133"/>
      <c r="D204" s="133"/>
      <c r="E204" s="133"/>
      <c r="F204" s="133"/>
      <c r="G204" s="133"/>
      <c r="H204" s="133"/>
      <c r="I204" s="133"/>
      <c r="J204" s="133"/>
      <c r="K204" s="133"/>
      <c r="L204" s="133"/>
    </row>
    <row r="205" spans="1:12">
      <c r="A205" s="250"/>
      <c r="B205" s="133"/>
      <c r="C205" s="133"/>
      <c r="D205" s="133"/>
      <c r="E205" s="133"/>
      <c r="F205" s="133"/>
      <c r="G205" s="133"/>
      <c r="H205" s="133"/>
      <c r="I205" s="133"/>
      <c r="J205" s="133"/>
      <c r="K205" s="133"/>
      <c r="L205" s="133"/>
    </row>
    <row r="206" spans="1:12">
      <c r="A206" s="250"/>
      <c r="B206" s="133"/>
      <c r="C206" s="133"/>
      <c r="D206" s="133"/>
      <c r="E206" s="133"/>
      <c r="F206" s="133"/>
      <c r="G206" s="133"/>
      <c r="H206" s="133"/>
      <c r="I206" s="133"/>
      <c r="J206" s="133"/>
      <c r="K206" s="133"/>
      <c r="L206" s="133"/>
    </row>
    <row r="207" spans="1:12">
      <c r="A207" s="250"/>
      <c r="B207" s="133"/>
      <c r="C207" s="133"/>
      <c r="D207" s="133"/>
      <c r="E207" s="133"/>
      <c r="F207" s="133"/>
      <c r="G207" s="133"/>
      <c r="H207" s="133"/>
      <c r="I207" s="133"/>
      <c r="J207" s="133"/>
      <c r="K207" s="133"/>
      <c r="L207" s="133"/>
    </row>
    <row r="208" spans="1:12">
      <c r="A208" s="250"/>
      <c r="B208" s="133"/>
      <c r="C208" s="133"/>
      <c r="D208" s="133"/>
      <c r="E208" s="133"/>
      <c r="F208" s="133"/>
      <c r="G208" s="133"/>
      <c r="H208" s="133"/>
      <c r="I208" s="133"/>
      <c r="J208" s="133"/>
      <c r="K208" s="133"/>
      <c r="L208" s="133"/>
    </row>
    <row r="209" spans="1:12">
      <c r="A209" s="250"/>
      <c r="B209" s="133"/>
      <c r="C209" s="133"/>
      <c r="D209" s="133"/>
      <c r="E209" s="133"/>
      <c r="F209" s="133"/>
      <c r="G209" s="133"/>
      <c r="H209" s="133"/>
      <c r="I209" s="133"/>
      <c r="J209" s="133"/>
      <c r="K209" s="133"/>
      <c r="L209" s="133"/>
    </row>
    <row r="210" spans="1:12">
      <c r="A210" s="250"/>
      <c r="B210" s="133"/>
      <c r="C210" s="133"/>
      <c r="D210" s="133"/>
      <c r="E210" s="133"/>
      <c r="F210" s="133"/>
      <c r="G210" s="133"/>
      <c r="H210" s="133"/>
      <c r="I210" s="133"/>
      <c r="J210" s="133"/>
      <c r="K210" s="133"/>
      <c r="L210" s="133"/>
    </row>
    <row r="211" spans="1:12">
      <c r="A211" s="250"/>
      <c r="B211" s="133"/>
      <c r="C211" s="133"/>
      <c r="D211" s="133"/>
      <c r="E211" s="133"/>
      <c r="F211" s="133"/>
      <c r="G211" s="133"/>
      <c r="H211" s="133"/>
      <c r="I211" s="133"/>
      <c r="J211" s="133"/>
      <c r="K211" s="133"/>
      <c r="L211" s="133"/>
    </row>
    <row r="212" spans="1:12">
      <c r="A212" s="250"/>
      <c r="B212" s="133"/>
      <c r="C212" s="133"/>
      <c r="D212" s="133"/>
      <c r="E212" s="133"/>
      <c r="F212" s="133"/>
      <c r="G212" s="133"/>
      <c r="H212" s="133"/>
      <c r="I212" s="133"/>
      <c r="J212" s="133"/>
      <c r="K212" s="133"/>
      <c r="L212" s="133"/>
    </row>
    <row r="213" spans="1:12">
      <c r="A213" s="250"/>
      <c r="B213" s="133"/>
      <c r="C213" s="133"/>
      <c r="D213" s="133"/>
      <c r="E213" s="133"/>
      <c r="F213" s="133"/>
      <c r="G213" s="133"/>
      <c r="H213" s="133"/>
      <c r="I213" s="133"/>
      <c r="J213" s="133"/>
      <c r="K213" s="133"/>
      <c r="L213" s="133"/>
    </row>
    <row r="214" spans="1:12">
      <c r="A214" s="250"/>
      <c r="B214" s="133"/>
      <c r="C214" s="133"/>
      <c r="D214" s="133"/>
      <c r="E214" s="133"/>
      <c r="F214" s="133"/>
      <c r="G214" s="133"/>
      <c r="H214" s="133"/>
      <c r="I214" s="133"/>
      <c r="J214" s="133"/>
      <c r="K214" s="133"/>
      <c r="L214" s="133"/>
    </row>
    <row r="215" spans="1:12">
      <c r="A215" s="250"/>
      <c r="B215" s="133"/>
      <c r="C215" s="133"/>
      <c r="D215" s="133"/>
      <c r="E215" s="133"/>
      <c r="F215" s="133"/>
      <c r="G215" s="133"/>
      <c r="H215" s="133"/>
      <c r="I215" s="133"/>
      <c r="J215" s="133"/>
      <c r="K215" s="133"/>
      <c r="L215" s="133"/>
    </row>
    <row r="216" spans="1:12">
      <c r="A216" s="250"/>
      <c r="B216" s="133"/>
      <c r="C216" s="133"/>
      <c r="D216" s="133"/>
      <c r="E216" s="133"/>
      <c r="F216" s="133"/>
      <c r="G216" s="133"/>
      <c r="H216" s="133"/>
      <c r="I216" s="133"/>
      <c r="J216" s="133"/>
      <c r="K216" s="133"/>
      <c r="L216" s="133"/>
    </row>
    <row r="217" spans="1:12">
      <c r="A217" s="250"/>
      <c r="B217" s="133"/>
      <c r="C217" s="133"/>
      <c r="D217" s="133"/>
      <c r="E217" s="133"/>
      <c r="F217" s="133"/>
      <c r="G217" s="133"/>
      <c r="H217" s="133"/>
      <c r="I217" s="133"/>
      <c r="J217" s="133"/>
      <c r="K217" s="133"/>
      <c r="L217" s="133"/>
    </row>
    <row r="218" spans="1:12">
      <c r="A218" s="250"/>
      <c r="B218" s="133"/>
      <c r="C218" s="133"/>
      <c r="D218" s="133"/>
      <c r="E218" s="133"/>
      <c r="F218" s="133"/>
      <c r="G218" s="133"/>
      <c r="H218" s="133"/>
      <c r="I218" s="133"/>
      <c r="J218" s="133"/>
      <c r="K218" s="133"/>
      <c r="L218" s="133"/>
    </row>
    <row r="219" spans="1:12">
      <c r="A219" s="250"/>
      <c r="B219" s="133"/>
      <c r="C219" s="133"/>
      <c r="D219" s="133"/>
      <c r="E219" s="133"/>
      <c r="F219" s="133"/>
      <c r="G219" s="133"/>
      <c r="H219" s="133"/>
      <c r="I219" s="133"/>
      <c r="J219" s="133"/>
      <c r="K219" s="133"/>
      <c r="L219" s="133"/>
    </row>
    <row r="220" spans="1:12">
      <c r="A220" s="250"/>
      <c r="B220" s="133"/>
      <c r="C220" s="133"/>
      <c r="D220" s="133"/>
      <c r="E220" s="133"/>
      <c r="F220" s="133"/>
      <c r="G220" s="133"/>
      <c r="H220" s="133"/>
      <c r="I220" s="133"/>
      <c r="J220" s="133"/>
      <c r="K220" s="133"/>
      <c r="L220" s="133"/>
    </row>
    <row r="221" spans="1:12">
      <c r="A221" s="250"/>
      <c r="B221" s="133"/>
      <c r="C221" s="133"/>
      <c r="D221" s="133"/>
      <c r="E221" s="133"/>
      <c r="F221" s="133"/>
      <c r="G221" s="133"/>
      <c r="H221" s="133"/>
      <c r="I221" s="133"/>
      <c r="J221" s="133"/>
      <c r="K221" s="133"/>
      <c r="L221" s="133"/>
    </row>
    <row r="222" spans="1:12">
      <c r="A222" s="250"/>
      <c r="B222" s="133"/>
      <c r="C222" s="133"/>
      <c r="D222" s="133"/>
      <c r="E222" s="133"/>
      <c r="F222" s="133"/>
      <c r="G222" s="133"/>
      <c r="H222" s="133"/>
      <c r="I222" s="133"/>
      <c r="J222" s="133"/>
      <c r="K222" s="133"/>
      <c r="L222" s="133"/>
    </row>
    <row r="223" spans="1:12">
      <c r="A223" s="250"/>
      <c r="B223" s="133"/>
      <c r="C223" s="133"/>
      <c r="D223" s="133"/>
      <c r="E223" s="133"/>
      <c r="F223" s="133"/>
      <c r="G223" s="133"/>
      <c r="H223" s="133"/>
      <c r="I223" s="133"/>
      <c r="J223" s="133"/>
      <c r="K223" s="133"/>
      <c r="L223" s="133"/>
    </row>
    <row r="224" spans="1:12">
      <c r="A224" s="250"/>
      <c r="B224" s="133"/>
      <c r="C224" s="133"/>
      <c r="D224" s="133"/>
      <c r="E224" s="133"/>
      <c r="F224" s="133"/>
      <c r="G224" s="133"/>
      <c r="H224" s="133"/>
      <c r="I224" s="133"/>
      <c r="J224" s="133"/>
      <c r="K224" s="133"/>
      <c r="L224" s="133"/>
    </row>
    <row r="225" spans="1:12">
      <c r="A225" s="250"/>
      <c r="B225" s="133"/>
      <c r="C225" s="133"/>
      <c r="D225" s="133"/>
      <c r="E225" s="133"/>
      <c r="F225" s="133"/>
      <c r="G225" s="133"/>
      <c r="H225" s="133"/>
      <c r="I225" s="133"/>
      <c r="J225" s="133"/>
      <c r="K225" s="133"/>
      <c r="L225" s="133"/>
    </row>
    <row r="226" spans="1:12">
      <c r="A226" s="250"/>
      <c r="B226" s="133"/>
      <c r="C226" s="133"/>
      <c r="D226" s="133"/>
      <c r="E226" s="133"/>
      <c r="F226" s="133"/>
      <c r="G226" s="133"/>
      <c r="H226" s="133"/>
      <c r="I226" s="133"/>
      <c r="J226" s="133"/>
      <c r="K226" s="133"/>
      <c r="L226" s="133"/>
    </row>
    <row r="227" spans="1:12">
      <c r="A227" s="250"/>
      <c r="B227" s="133"/>
      <c r="C227" s="133"/>
      <c r="D227" s="133"/>
      <c r="E227" s="133"/>
      <c r="F227" s="133"/>
      <c r="G227" s="133"/>
      <c r="H227" s="133"/>
      <c r="I227" s="133"/>
      <c r="J227" s="133"/>
      <c r="K227" s="133"/>
      <c r="L227" s="133"/>
    </row>
    <row r="228" spans="1:12">
      <c r="A228" s="250"/>
      <c r="B228" s="133"/>
      <c r="C228" s="133"/>
      <c r="D228" s="133"/>
      <c r="E228" s="133"/>
      <c r="F228" s="133"/>
      <c r="G228" s="133"/>
      <c r="H228" s="133"/>
      <c r="I228" s="133"/>
      <c r="J228" s="133"/>
      <c r="K228" s="133"/>
      <c r="L228" s="133"/>
    </row>
    <row r="229" spans="1:12">
      <c r="A229" s="250"/>
      <c r="B229" s="133"/>
      <c r="C229" s="133"/>
      <c r="D229" s="133"/>
      <c r="E229" s="133"/>
      <c r="F229" s="133"/>
      <c r="G229" s="133"/>
      <c r="H229" s="133"/>
      <c r="I229" s="133"/>
      <c r="J229" s="133"/>
      <c r="K229" s="133"/>
      <c r="L229" s="133"/>
    </row>
    <row r="230" spans="1:12">
      <c r="A230" s="250"/>
      <c r="B230" s="133"/>
      <c r="C230" s="133"/>
      <c r="D230" s="133"/>
      <c r="E230" s="133"/>
      <c r="F230" s="133"/>
      <c r="G230" s="133"/>
      <c r="H230" s="133"/>
      <c r="I230" s="133"/>
      <c r="J230" s="133"/>
      <c r="K230" s="133"/>
      <c r="L230" s="133"/>
    </row>
    <row r="231" spans="1:12">
      <c r="A231" s="250"/>
      <c r="B231" s="133"/>
      <c r="C231" s="133"/>
      <c r="D231" s="133"/>
      <c r="E231" s="133"/>
      <c r="F231" s="133"/>
      <c r="G231" s="133"/>
      <c r="H231" s="133"/>
      <c r="I231" s="133"/>
      <c r="J231" s="133"/>
      <c r="K231" s="133"/>
      <c r="L231" s="133"/>
    </row>
    <row r="232" spans="1:12">
      <c r="A232" s="250"/>
      <c r="B232" s="133"/>
      <c r="C232" s="133"/>
      <c r="D232" s="133"/>
      <c r="E232" s="133"/>
      <c r="F232" s="133"/>
      <c r="G232" s="133"/>
      <c r="H232" s="133"/>
      <c r="I232" s="133"/>
      <c r="J232" s="133"/>
      <c r="K232" s="133"/>
      <c r="L232" s="133"/>
    </row>
    <row r="233" spans="1:12">
      <c r="A233" s="250"/>
      <c r="B233" s="133"/>
      <c r="C233" s="133"/>
      <c r="D233" s="133"/>
      <c r="E233" s="133"/>
      <c r="F233" s="133"/>
      <c r="G233" s="133"/>
      <c r="H233" s="133"/>
      <c r="I233" s="133"/>
      <c r="J233" s="133"/>
      <c r="K233" s="133"/>
      <c r="L233" s="133"/>
    </row>
    <row r="234" spans="1:12">
      <c r="A234" s="250"/>
      <c r="B234" s="133"/>
      <c r="C234" s="133"/>
      <c r="D234" s="133"/>
      <c r="E234" s="133"/>
      <c r="F234" s="133"/>
      <c r="G234" s="133"/>
      <c r="H234" s="133"/>
      <c r="I234" s="133"/>
      <c r="J234" s="133"/>
      <c r="K234" s="133"/>
      <c r="L234" s="133"/>
    </row>
    <row r="235" spans="1:12">
      <c r="A235" s="250"/>
      <c r="B235" s="133"/>
      <c r="C235" s="133"/>
      <c r="D235" s="133"/>
      <c r="E235" s="133"/>
      <c r="F235" s="133"/>
      <c r="G235" s="133"/>
      <c r="H235" s="133"/>
      <c r="I235" s="133"/>
      <c r="J235" s="133"/>
      <c r="K235" s="133"/>
      <c r="L235" s="133"/>
    </row>
    <row r="236" spans="1:12">
      <c r="A236" s="250"/>
      <c r="B236" s="133"/>
      <c r="C236" s="133"/>
      <c r="D236" s="133"/>
      <c r="E236" s="133"/>
      <c r="F236" s="133"/>
      <c r="G236" s="133"/>
      <c r="H236" s="133"/>
      <c r="I236" s="133"/>
      <c r="J236" s="133"/>
      <c r="K236" s="133"/>
      <c r="L236" s="133"/>
    </row>
    <row r="237" spans="1:12">
      <c r="A237" s="250"/>
      <c r="B237" s="133"/>
      <c r="C237" s="133"/>
      <c r="D237" s="133"/>
      <c r="E237" s="133"/>
      <c r="F237" s="133"/>
      <c r="G237" s="133"/>
      <c r="H237" s="133"/>
      <c r="I237" s="133"/>
      <c r="J237" s="133"/>
      <c r="K237" s="133"/>
      <c r="L237" s="133"/>
    </row>
    <row r="238" spans="1:12">
      <c r="A238" s="250"/>
      <c r="B238" s="133"/>
      <c r="C238" s="133"/>
      <c r="D238" s="133"/>
      <c r="E238" s="133"/>
      <c r="F238" s="133"/>
      <c r="G238" s="133"/>
      <c r="H238" s="133"/>
      <c r="I238" s="133"/>
      <c r="J238" s="133"/>
      <c r="K238" s="133"/>
      <c r="L238" s="133"/>
    </row>
    <row r="239" spans="1:12">
      <c r="A239" s="250"/>
      <c r="B239" s="133"/>
      <c r="C239" s="133"/>
      <c r="D239" s="133"/>
      <c r="E239" s="133"/>
      <c r="F239" s="133"/>
      <c r="G239" s="133"/>
      <c r="H239" s="133"/>
      <c r="I239" s="133"/>
      <c r="J239" s="133"/>
      <c r="K239" s="133"/>
      <c r="L239" s="133"/>
    </row>
    <row r="240" spans="1:12">
      <c r="A240" s="250"/>
      <c r="B240" s="133"/>
      <c r="C240" s="133"/>
      <c r="D240" s="133"/>
      <c r="E240" s="133"/>
      <c r="F240" s="133"/>
      <c r="G240" s="133"/>
      <c r="H240" s="133"/>
      <c r="I240" s="133"/>
      <c r="J240" s="133"/>
      <c r="K240" s="133"/>
      <c r="L240" s="133"/>
    </row>
    <row r="241" spans="1:12">
      <c r="A241" s="250"/>
      <c r="B241" s="133"/>
      <c r="C241" s="133"/>
      <c r="D241" s="133"/>
      <c r="E241" s="133"/>
      <c r="F241" s="133"/>
      <c r="G241" s="133"/>
      <c r="H241" s="133"/>
      <c r="I241" s="133"/>
      <c r="J241" s="133"/>
      <c r="K241" s="133"/>
      <c r="L241" s="133"/>
    </row>
    <row r="242" spans="1:12">
      <c r="A242" s="250"/>
      <c r="B242" s="133"/>
      <c r="C242" s="133"/>
      <c r="D242" s="133"/>
      <c r="E242" s="133"/>
      <c r="F242" s="133"/>
      <c r="G242" s="133"/>
      <c r="H242" s="133"/>
      <c r="I242" s="133"/>
      <c r="J242" s="133"/>
      <c r="K242" s="133"/>
      <c r="L242" s="133"/>
    </row>
    <row r="243" spans="1:12">
      <c r="A243" s="250"/>
      <c r="B243" s="133"/>
      <c r="C243" s="133"/>
      <c r="D243" s="133"/>
      <c r="E243" s="133"/>
      <c r="F243" s="133"/>
      <c r="G243" s="133"/>
      <c r="H243" s="133"/>
      <c r="I243" s="133"/>
      <c r="J243" s="133"/>
      <c r="K243" s="133"/>
      <c r="L243" s="133"/>
    </row>
    <row r="244" spans="1:12">
      <c r="A244" s="250"/>
      <c r="B244" s="133"/>
      <c r="C244" s="133"/>
      <c r="D244" s="133"/>
      <c r="E244" s="133"/>
      <c r="F244" s="133"/>
      <c r="G244" s="133"/>
      <c r="H244" s="133"/>
      <c r="I244" s="133"/>
      <c r="J244" s="133"/>
      <c r="K244" s="133"/>
      <c r="L244" s="133"/>
    </row>
    <row r="245" spans="1:12">
      <c r="A245" s="250"/>
      <c r="B245" s="133"/>
      <c r="C245" s="133"/>
      <c r="D245" s="133"/>
      <c r="E245" s="133"/>
      <c r="F245" s="133"/>
      <c r="G245" s="133"/>
      <c r="H245" s="133"/>
      <c r="I245" s="133"/>
      <c r="J245" s="133"/>
      <c r="K245" s="133"/>
      <c r="L245" s="133"/>
    </row>
    <row r="246" spans="1:12">
      <c r="A246" s="250"/>
      <c r="B246" s="133"/>
      <c r="C246" s="133"/>
      <c r="D246" s="133"/>
      <c r="E246" s="133"/>
      <c r="F246" s="133"/>
      <c r="G246" s="133"/>
      <c r="H246" s="133"/>
      <c r="I246" s="133"/>
      <c r="J246" s="133"/>
      <c r="K246" s="133"/>
      <c r="L246" s="133"/>
    </row>
    <row r="247" spans="1:12">
      <c r="A247" s="250"/>
      <c r="B247" s="133"/>
      <c r="C247" s="133"/>
      <c r="D247" s="133"/>
      <c r="E247" s="133"/>
      <c r="F247" s="133"/>
      <c r="G247" s="133"/>
      <c r="H247" s="133"/>
      <c r="I247" s="133"/>
      <c r="J247" s="133"/>
      <c r="K247" s="133"/>
      <c r="L247" s="133"/>
    </row>
    <row r="248" spans="1:12">
      <c r="A248" s="250"/>
      <c r="B248" s="133"/>
      <c r="C248" s="133"/>
      <c r="D248" s="133"/>
      <c r="E248" s="133"/>
      <c r="F248" s="133"/>
      <c r="G248" s="133"/>
      <c r="H248" s="133"/>
      <c r="I248" s="133"/>
      <c r="J248" s="133"/>
      <c r="K248" s="133"/>
      <c r="L248" s="133"/>
    </row>
    <row r="249" spans="1:12">
      <c r="A249" s="250"/>
      <c r="B249" s="133"/>
      <c r="C249" s="133"/>
      <c r="D249" s="133"/>
      <c r="E249" s="133"/>
      <c r="F249" s="133"/>
      <c r="G249" s="133"/>
      <c r="H249" s="133"/>
      <c r="I249" s="133"/>
      <c r="J249" s="133"/>
      <c r="K249" s="133"/>
      <c r="L249" s="133"/>
    </row>
    <row r="250" spans="1:12">
      <c r="A250" s="250"/>
      <c r="B250" s="133"/>
      <c r="C250" s="133"/>
      <c r="D250" s="133"/>
      <c r="E250" s="133"/>
      <c r="F250" s="133"/>
      <c r="G250" s="133"/>
      <c r="H250" s="133"/>
      <c r="I250" s="133"/>
      <c r="J250" s="133"/>
      <c r="K250" s="133"/>
      <c r="L250" s="133"/>
    </row>
    <row r="251" spans="1:12">
      <c r="A251" s="250"/>
      <c r="B251" s="133"/>
      <c r="C251" s="133"/>
      <c r="D251" s="133"/>
      <c r="E251" s="133"/>
      <c r="F251" s="133"/>
      <c r="G251" s="133"/>
      <c r="H251" s="133"/>
      <c r="I251" s="133"/>
      <c r="J251" s="133"/>
      <c r="K251" s="133"/>
      <c r="L251" s="133"/>
    </row>
    <row r="252" spans="1:12">
      <c r="A252" s="250"/>
      <c r="B252" s="133"/>
      <c r="C252" s="133"/>
      <c r="D252" s="133"/>
      <c r="E252" s="133"/>
      <c r="F252" s="133"/>
      <c r="G252" s="133"/>
      <c r="H252" s="133"/>
      <c r="I252" s="133"/>
      <c r="J252" s="133"/>
      <c r="K252" s="133"/>
      <c r="L252" s="133"/>
    </row>
    <row r="253" spans="1:12">
      <c r="A253" s="250"/>
      <c r="B253" s="133"/>
      <c r="C253" s="133"/>
      <c r="D253" s="133"/>
      <c r="E253" s="133"/>
      <c r="F253" s="133"/>
      <c r="G253" s="133"/>
      <c r="H253" s="133"/>
      <c r="I253" s="133"/>
      <c r="J253" s="133"/>
      <c r="K253" s="133"/>
      <c r="L253" s="133"/>
    </row>
    <row r="254" spans="1:12">
      <c r="A254" s="250"/>
      <c r="B254" s="133"/>
      <c r="C254" s="133"/>
      <c r="D254" s="133"/>
      <c r="E254" s="133"/>
      <c r="F254" s="133"/>
      <c r="G254" s="133"/>
      <c r="H254" s="133"/>
      <c r="I254" s="133"/>
      <c r="J254" s="133"/>
      <c r="K254" s="133"/>
      <c r="L254" s="133"/>
    </row>
    <row r="255" spans="1:12">
      <c r="A255" s="250"/>
      <c r="B255" s="133"/>
      <c r="C255" s="133"/>
      <c r="D255" s="133"/>
      <c r="E255" s="133"/>
      <c r="F255" s="133"/>
      <c r="G255" s="133"/>
      <c r="H255" s="133"/>
      <c r="I255" s="133"/>
      <c r="J255" s="133"/>
      <c r="K255" s="133"/>
      <c r="L255" s="133"/>
    </row>
    <row r="256" spans="1:12">
      <c r="A256" s="250"/>
      <c r="B256" s="133"/>
      <c r="C256" s="133"/>
      <c r="D256" s="133"/>
      <c r="E256" s="133"/>
      <c r="F256" s="133"/>
      <c r="G256" s="133"/>
      <c r="H256" s="133"/>
      <c r="I256" s="133"/>
      <c r="J256" s="133"/>
      <c r="K256" s="133"/>
      <c r="L256" s="133"/>
    </row>
    <row r="257" spans="1:12">
      <c r="A257" s="250"/>
      <c r="B257" s="133"/>
      <c r="C257" s="133"/>
      <c r="D257" s="133"/>
      <c r="E257" s="133"/>
      <c r="F257" s="133"/>
      <c r="G257" s="133"/>
      <c r="H257" s="133"/>
      <c r="I257" s="133"/>
      <c r="J257" s="133"/>
      <c r="K257" s="133"/>
      <c r="L257" s="133"/>
    </row>
    <row r="258" spans="1:12">
      <c r="A258" s="250"/>
      <c r="B258" s="133"/>
      <c r="C258" s="133"/>
      <c r="D258" s="133"/>
      <c r="E258" s="133"/>
      <c r="F258" s="133"/>
      <c r="G258" s="133"/>
      <c r="H258" s="133"/>
      <c r="I258" s="133"/>
      <c r="J258" s="133"/>
      <c r="K258" s="133"/>
      <c r="L258" s="133"/>
    </row>
    <row r="259" spans="1:12">
      <c r="A259" s="250"/>
      <c r="B259" s="133"/>
      <c r="C259" s="133"/>
      <c r="D259" s="133"/>
      <c r="E259" s="133"/>
      <c r="F259" s="133"/>
      <c r="G259" s="133"/>
      <c r="H259" s="133"/>
      <c r="I259" s="133"/>
      <c r="J259" s="133"/>
      <c r="K259" s="133"/>
      <c r="L259" s="133"/>
    </row>
    <row r="260" spans="1:12">
      <c r="A260" s="250"/>
      <c r="B260" s="133"/>
      <c r="C260" s="133"/>
      <c r="D260" s="133"/>
      <c r="E260" s="133"/>
      <c r="F260" s="133"/>
      <c r="G260" s="133"/>
      <c r="H260" s="133"/>
      <c r="I260" s="133"/>
      <c r="J260" s="133"/>
      <c r="K260" s="133"/>
      <c r="L260" s="133"/>
    </row>
    <row r="261" spans="1:12">
      <c r="A261" s="250"/>
      <c r="B261" s="133"/>
      <c r="C261" s="133"/>
      <c r="D261" s="133"/>
      <c r="E261" s="133"/>
      <c r="F261" s="133"/>
      <c r="G261" s="133"/>
      <c r="H261" s="133"/>
      <c r="I261" s="133"/>
      <c r="J261" s="133"/>
      <c r="K261" s="133"/>
      <c r="L261" s="133"/>
    </row>
    <row r="262" spans="1:12">
      <c r="A262" s="250"/>
      <c r="B262" s="133"/>
      <c r="C262" s="133"/>
      <c r="D262" s="133"/>
      <c r="E262" s="133"/>
      <c r="F262" s="133"/>
      <c r="G262" s="133"/>
      <c r="H262" s="133"/>
      <c r="I262" s="133"/>
      <c r="J262" s="133"/>
      <c r="K262" s="133"/>
      <c r="L262" s="133"/>
    </row>
    <row r="263" spans="1:12">
      <c r="A263" s="250"/>
      <c r="B263" s="133"/>
      <c r="C263" s="133"/>
      <c r="D263" s="133"/>
      <c r="E263" s="133"/>
      <c r="F263" s="133"/>
      <c r="G263" s="133"/>
      <c r="H263" s="133"/>
      <c r="I263" s="133"/>
      <c r="J263" s="133"/>
      <c r="K263" s="133"/>
      <c r="L263" s="133"/>
    </row>
    <row r="264" spans="1:12">
      <c r="A264" s="250"/>
      <c r="B264" s="133"/>
      <c r="C264" s="133"/>
      <c r="D264" s="133"/>
      <c r="E264" s="133"/>
      <c r="F264" s="133"/>
      <c r="G264" s="133"/>
      <c r="H264" s="133"/>
      <c r="I264" s="133"/>
      <c r="J264" s="133"/>
      <c r="K264" s="133"/>
      <c r="L264" s="133"/>
    </row>
    <row r="265" spans="1:12">
      <c r="A265" s="250"/>
      <c r="B265" s="133"/>
      <c r="C265" s="133"/>
      <c r="D265" s="133"/>
      <c r="E265" s="133"/>
      <c r="F265" s="133"/>
      <c r="G265" s="133"/>
      <c r="H265" s="133"/>
      <c r="I265" s="133"/>
      <c r="J265" s="133"/>
      <c r="K265" s="133"/>
      <c r="L265" s="133"/>
    </row>
    <row r="266" spans="1:12">
      <c r="A266" s="250"/>
      <c r="B266" s="133"/>
      <c r="C266" s="133"/>
      <c r="D266" s="133"/>
      <c r="E266" s="133"/>
      <c r="F266" s="133"/>
      <c r="G266" s="133"/>
      <c r="H266" s="133"/>
      <c r="I266" s="133"/>
      <c r="J266" s="133"/>
      <c r="K266" s="133"/>
      <c r="L266" s="133"/>
    </row>
    <row r="267" spans="1:12">
      <c r="A267" s="250"/>
      <c r="B267" s="133"/>
      <c r="C267" s="133"/>
      <c r="D267" s="133"/>
      <c r="E267" s="133"/>
      <c r="F267" s="133"/>
      <c r="G267" s="133"/>
      <c r="H267" s="133"/>
      <c r="I267" s="133"/>
      <c r="J267" s="133"/>
      <c r="K267" s="133"/>
      <c r="L267" s="133"/>
    </row>
    <row r="268" spans="1:12">
      <c r="A268" s="250"/>
      <c r="B268" s="133"/>
      <c r="C268" s="133"/>
      <c r="D268" s="133"/>
      <c r="E268" s="133"/>
      <c r="F268" s="133"/>
      <c r="G268" s="133"/>
      <c r="H268" s="133"/>
      <c r="I268" s="133"/>
      <c r="J268" s="133"/>
      <c r="K268" s="133"/>
      <c r="L268" s="133"/>
    </row>
    <row r="269" spans="1:12">
      <c r="A269" s="250"/>
      <c r="B269" s="133"/>
      <c r="C269" s="133"/>
      <c r="D269" s="133"/>
      <c r="E269" s="133"/>
      <c r="F269" s="133"/>
      <c r="G269" s="133"/>
      <c r="H269" s="133"/>
      <c r="I269" s="133"/>
      <c r="J269" s="133"/>
      <c r="K269" s="133"/>
      <c r="L269" s="133"/>
    </row>
    <row r="270" spans="1:12">
      <c r="A270" s="250"/>
      <c r="B270" s="133"/>
      <c r="C270" s="133"/>
      <c r="D270" s="133"/>
      <c r="E270" s="133"/>
      <c r="F270" s="133"/>
      <c r="G270" s="133"/>
      <c r="H270" s="133"/>
      <c r="I270" s="133"/>
      <c r="J270" s="133"/>
      <c r="K270" s="133"/>
      <c r="L270" s="133"/>
    </row>
    <row r="271" spans="1:12">
      <c r="A271" s="250"/>
      <c r="B271" s="133"/>
      <c r="C271" s="133"/>
      <c r="D271" s="133"/>
      <c r="E271" s="133"/>
      <c r="F271" s="133"/>
      <c r="G271" s="133"/>
      <c r="H271" s="133"/>
      <c r="I271" s="133"/>
      <c r="J271" s="133"/>
      <c r="K271" s="133"/>
      <c r="L271" s="133"/>
    </row>
    <row r="272" spans="1:12">
      <c r="A272" s="250"/>
      <c r="B272" s="133"/>
      <c r="C272" s="133"/>
      <c r="D272" s="133"/>
      <c r="E272" s="133"/>
      <c r="F272" s="133"/>
      <c r="G272" s="133"/>
      <c r="H272" s="133"/>
      <c r="I272" s="133"/>
      <c r="J272" s="133"/>
      <c r="K272" s="133"/>
      <c r="L272" s="133"/>
    </row>
    <row r="273" spans="1:12">
      <c r="A273" s="250"/>
      <c r="B273" s="133"/>
      <c r="C273" s="133"/>
      <c r="D273" s="133"/>
      <c r="E273" s="133"/>
      <c r="F273" s="133"/>
      <c r="G273" s="133"/>
      <c r="H273" s="133"/>
      <c r="I273" s="133"/>
      <c r="J273" s="133"/>
      <c r="K273" s="133"/>
      <c r="L273" s="133"/>
    </row>
    <row r="274" spans="1:12">
      <c r="A274" s="250"/>
      <c r="B274" s="133"/>
      <c r="C274" s="133"/>
      <c r="D274" s="133"/>
      <c r="E274" s="133"/>
      <c r="F274" s="133"/>
      <c r="G274" s="133"/>
      <c r="H274" s="133"/>
      <c r="I274" s="133"/>
      <c r="J274" s="133"/>
      <c r="K274" s="133"/>
      <c r="L274" s="133"/>
    </row>
    <row r="275" spans="1:12">
      <c r="A275" s="250"/>
      <c r="B275" s="133"/>
      <c r="C275" s="133"/>
      <c r="D275" s="133"/>
      <c r="E275" s="133"/>
      <c r="F275" s="133"/>
      <c r="G275" s="133"/>
      <c r="H275" s="133"/>
      <c r="I275" s="133"/>
      <c r="J275" s="133"/>
      <c r="K275" s="133"/>
      <c r="L275" s="133"/>
    </row>
    <row r="276" spans="1:12">
      <c r="A276" s="250"/>
      <c r="B276" s="133"/>
      <c r="C276" s="133"/>
      <c r="D276" s="133"/>
      <c r="E276" s="133"/>
      <c r="F276" s="133"/>
      <c r="G276" s="133"/>
      <c r="H276" s="133"/>
      <c r="I276" s="133"/>
      <c r="J276" s="133"/>
      <c r="K276" s="133"/>
      <c r="L276" s="133"/>
    </row>
    <row r="277" spans="1:12">
      <c r="A277" s="250"/>
      <c r="B277" s="133"/>
      <c r="C277" s="133"/>
      <c r="D277" s="133"/>
      <c r="E277" s="133"/>
      <c r="F277" s="133"/>
      <c r="G277" s="133"/>
      <c r="H277" s="133"/>
      <c r="I277" s="133"/>
      <c r="J277" s="133"/>
      <c r="K277" s="133"/>
      <c r="L277" s="133"/>
    </row>
    <row r="278" spans="1:12">
      <c r="A278" s="250"/>
      <c r="B278" s="133"/>
      <c r="C278" s="133"/>
      <c r="D278" s="133"/>
      <c r="E278" s="133"/>
      <c r="F278" s="133"/>
      <c r="G278" s="133"/>
      <c r="H278" s="133"/>
      <c r="I278" s="133"/>
      <c r="J278" s="133"/>
      <c r="K278" s="133"/>
      <c r="L278" s="133"/>
    </row>
    <row r="279" spans="1:12">
      <c r="A279" s="250"/>
      <c r="B279" s="133"/>
      <c r="C279" s="133"/>
      <c r="D279" s="133"/>
      <c r="E279" s="133"/>
      <c r="F279" s="133"/>
      <c r="G279" s="133"/>
      <c r="H279" s="133"/>
      <c r="I279" s="133"/>
      <c r="J279" s="133"/>
      <c r="K279" s="133"/>
      <c r="L279" s="133"/>
    </row>
    <row r="280" spans="1:12">
      <c r="A280" s="250"/>
      <c r="B280" s="133"/>
      <c r="C280" s="133"/>
      <c r="D280" s="133"/>
      <c r="E280" s="133"/>
      <c r="F280" s="133"/>
      <c r="G280" s="133"/>
      <c r="H280" s="133"/>
      <c r="I280" s="133"/>
      <c r="J280" s="133"/>
      <c r="K280" s="133"/>
      <c r="L280" s="133"/>
    </row>
    <row r="281" spans="1:12">
      <c r="A281" s="250"/>
      <c r="B281" s="133"/>
      <c r="C281" s="133"/>
      <c r="D281" s="133"/>
      <c r="E281" s="133"/>
      <c r="F281" s="133"/>
      <c r="G281" s="133"/>
      <c r="H281" s="133"/>
      <c r="I281" s="133"/>
      <c r="J281" s="133"/>
      <c r="K281" s="133"/>
      <c r="L281" s="133"/>
    </row>
    <row r="282" spans="1:12">
      <c r="A282" s="250"/>
      <c r="B282" s="133"/>
      <c r="C282" s="133"/>
      <c r="D282" s="133"/>
      <c r="E282" s="133"/>
      <c r="F282" s="133"/>
      <c r="G282" s="133"/>
      <c r="H282" s="133"/>
      <c r="I282" s="133"/>
      <c r="J282" s="133"/>
      <c r="K282" s="133"/>
      <c r="L282" s="133"/>
    </row>
    <row r="283" spans="1:12">
      <c r="A283" s="250"/>
      <c r="B283" s="133"/>
      <c r="C283" s="133"/>
      <c r="D283" s="133"/>
      <c r="E283" s="133"/>
      <c r="F283" s="133"/>
      <c r="G283" s="133"/>
      <c r="H283" s="133"/>
      <c r="I283" s="133"/>
      <c r="J283" s="133"/>
      <c r="K283" s="133"/>
      <c r="L283" s="133"/>
    </row>
    <row r="284" spans="1:12">
      <c r="A284" s="250"/>
      <c r="B284" s="133"/>
      <c r="C284" s="133"/>
      <c r="D284" s="133"/>
      <c r="E284" s="133"/>
      <c r="F284" s="133"/>
      <c r="G284" s="133"/>
      <c r="H284" s="133"/>
      <c r="I284" s="133"/>
      <c r="J284" s="133"/>
      <c r="K284" s="133"/>
      <c r="L284" s="133"/>
    </row>
    <row r="285" spans="1:12">
      <c r="A285" s="250"/>
      <c r="B285" s="133"/>
      <c r="C285" s="133"/>
      <c r="D285" s="133"/>
      <c r="E285" s="133"/>
      <c r="F285" s="133"/>
      <c r="G285" s="133"/>
      <c r="H285" s="133"/>
      <c r="I285" s="133"/>
      <c r="J285" s="133"/>
      <c r="K285" s="133"/>
      <c r="L285" s="133"/>
    </row>
    <row r="286" spans="1:12">
      <c r="A286" s="250"/>
      <c r="B286" s="133"/>
      <c r="C286" s="133"/>
      <c r="D286" s="133"/>
      <c r="E286" s="133"/>
      <c r="F286" s="133"/>
      <c r="G286" s="133"/>
      <c r="H286" s="133"/>
      <c r="I286" s="133"/>
      <c r="J286" s="133"/>
      <c r="K286" s="133"/>
      <c r="L286" s="133"/>
    </row>
    <row r="287" spans="1:12">
      <c r="A287" s="250"/>
      <c r="B287" s="133"/>
      <c r="C287" s="133"/>
      <c r="D287" s="133"/>
      <c r="E287" s="133"/>
      <c r="F287" s="133"/>
      <c r="G287" s="133"/>
      <c r="H287" s="133"/>
      <c r="I287" s="133"/>
      <c r="J287" s="133"/>
      <c r="K287" s="133"/>
      <c r="L287" s="133"/>
    </row>
    <row r="288" spans="1:12">
      <c r="A288" s="250"/>
      <c r="B288" s="133"/>
      <c r="C288" s="133"/>
      <c r="D288" s="133"/>
      <c r="E288" s="133"/>
      <c r="F288" s="133"/>
      <c r="G288" s="133"/>
      <c r="H288" s="133"/>
      <c r="I288" s="133"/>
      <c r="J288" s="133"/>
      <c r="K288" s="133"/>
      <c r="L288" s="133"/>
    </row>
    <row r="289" spans="1:12">
      <c r="A289" s="250"/>
      <c r="B289" s="133"/>
      <c r="C289" s="133"/>
      <c r="D289" s="133"/>
      <c r="E289" s="133"/>
      <c r="F289" s="133"/>
      <c r="G289" s="133"/>
      <c r="H289" s="133"/>
      <c r="I289" s="133"/>
      <c r="J289" s="133"/>
      <c r="K289" s="133"/>
      <c r="L289" s="133"/>
    </row>
    <row r="290" spans="1:12">
      <c r="A290" s="250"/>
      <c r="B290" s="133"/>
      <c r="C290" s="133"/>
      <c r="D290" s="133"/>
      <c r="E290" s="133"/>
      <c r="F290" s="133"/>
      <c r="G290" s="133"/>
      <c r="H290" s="133"/>
      <c r="I290" s="133"/>
      <c r="J290" s="133"/>
      <c r="K290" s="133"/>
      <c r="L290" s="133"/>
    </row>
    <row r="291" spans="1:12">
      <c r="A291" s="250"/>
      <c r="B291" s="133"/>
      <c r="C291" s="133"/>
      <c r="D291" s="133"/>
      <c r="E291" s="133"/>
      <c r="F291" s="133"/>
      <c r="G291" s="133"/>
      <c r="H291" s="133"/>
      <c r="I291" s="133"/>
      <c r="J291" s="133"/>
      <c r="K291" s="133"/>
      <c r="L291" s="133"/>
    </row>
    <row r="292" spans="1:12">
      <c r="A292" s="250"/>
      <c r="B292" s="133"/>
      <c r="C292" s="133"/>
      <c r="D292" s="133"/>
      <c r="E292" s="133"/>
      <c r="F292" s="133"/>
      <c r="G292" s="133"/>
      <c r="H292" s="133"/>
      <c r="I292" s="133"/>
      <c r="J292" s="133"/>
      <c r="K292" s="133"/>
      <c r="L292" s="133"/>
    </row>
    <row r="293" spans="1:12">
      <c r="A293" s="250"/>
      <c r="B293" s="133"/>
      <c r="C293" s="133"/>
      <c r="D293" s="133"/>
      <c r="E293" s="133"/>
      <c r="F293" s="133"/>
      <c r="G293" s="133"/>
      <c r="H293" s="133"/>
      <c r="I293" s="133"/>
      <c r="J293" s="133"/>
      <c r="K293" s="133"/>
      <c r="L293" s="133"/>
    </row>
    <row r="294" spans="1:12">
      <c r="A294" s="250"/>
      <c r="B294" s="133"/>
      <c r="C294" s="133"/>
      <c r="D294" s="133"/>
      <c r="E294" s="133"/>
      <c r="F294" s="133"/>
      <c r="G294" s="133"/>
      <c r="H294" s="133"/>
      <c r="I294" s="133"/>
      <c r="J294" s="133"/>
      <c r="K294" s="133"/>
      <c r="L294" s="133"/>
    </row>
    <row r="295" spans="1:12">
      <c r="A295" s="250"/>
      <c r="B295" s="133"/>
      <c r="C295" s="133"/>
      <c r="D295" s="133"/>
      <c r="E295" s="133"/>
      <c r="F295" s="133"/>
      <c r="G295" s="133"/>
      <c r="H295" s="133"/>
      <c r="I295" s="133"/>
      <c r="J295" s="133"/>
      <c r="K295" s="133"/>
      <c r="L295" s="133"/>
    </row>
    <row r="296" spans="1:12">
      <c r="A296" s="250"/>
      <c r="B296" s="133"/>
      <c r="C296" s="133"/>
      <c r="D296" s="133"/>
      <c r="E296" s="133"/>
      <c r="F296" s="133"/>
      <c r="G296" s="133"/>
      <c r="H296" s="133"/>
      <c r="I296" s="133"/>
      <c r="J296" s="133"/>
      <c r="K296" s="133"/>
      <c r="L296" s="133"/>
    </row>
    <row r="297" spans="1:12">
      <c r="A297" s="250"/>
      <c r="B297" s="133"/>
      <c r="C297" s="133"/>
      <c r="D297" s="133"/>
      <c r="E297" s="133"/>
      <c r="F297" s="133"/>
      <c r="G297" s="133"/>
      <c r="H297" s="133"/>
      <c r="I297" s="133"/>
      <c r="J297" s="133"/>
      <c r="K297" s="133"/>
      <c r="L297" s="133"/>
    </row>
    <row r="298" spans="1:12">
      <c r="A298" s="250"/>
      <c r="B298" s="133"/>
      <c r="C298" s="133"/>
      <c r="D298" s="133"/>
      <c r="E298" s="133"/>
      <c r="F298" s="133"/>
      <c r="G298" s="133"/>
      <c r="H298" s="133"/>
      <c r="I298" s="133"/>
      <c r="J298" s="133"/>
      <c r="K298" s="133"/>
      <c r="L298" s="133"/>
    </row>
    <row r="299" spans="1:12">
      <c r="A299" s="250"/>
      <c r="B299" s="133"/>
      <c r="C299" s="133"/>
      <c r="D299" s="133"/>
      <c r="E299" s="133"/>
      <c r="F299" s="133"/>
      <c r="G299" s="133"/>
      <c r="H299" s="133"/>
      <c r="I299" s="133"/>
      <c r="J299" s="133"/>
      <c r="K299" s="133"/>
      <c r="L299" s="133"/>
    </row>
    <row r="300" spans="1:12">
      <c r="A300" s="250"/>
      <c r="B300" s="133"/>
      <c r="C300" s="133"/>
      <c r="D300" s="133"/>
      <c r="E300" s="133"/>
      <c r="F300" s="133"/>
      <c r="G300" s="133"/>
      <c r="H300" s="133"/>
      <c r="I300" s="133"/>
      <c r="J300" s="133"/>
      <c r="K300" s="133"/>
      <c r="L300" s="133"/>
    </row>
    <row r="301" spans="1:12">
      <c r="A301" s="250"/>
      <c r="B301" s="133"/>
      <c r="C301" s="133"/>
      <c r="D301" s="133"/>
      <c r="E301" s="133"/>
      <c r="F301" s="133"/>
      <c r="G301" s="133"/>
      <c r="H301" s="133"/>
      <c r="I301" s="133"/>
      <c r="J301" s="133"/>
      <c r="K301" s="133"/>
      <c r="L301" s="133"/>
    </row>
    <row r="302" spans="1:12">
      <c r="A302" s="250"/>
      <c r="B302" s="133"/>
      <c r="C302" s="133"/>
      <c r="D302" s="133"/>
      <c r="E302" s="133"/>
      <c r="F302" s="133"/>
      <c r="G302" s="133"/>
      <c r="H302" s="133"/>
      <c r="I302" s="133"/>
      <c r="J302" s="133"/>
      <c r="K302" s="133"/>
      <c r="L302" s="133"/>
    </row>
    <row r="303" spans="1:12">
      <c r="A303" s="250"/>
      <c r="B303" s="133"/>
      <c r="C303" s="133"/>
      <c r="D303" s="133"/>
      <c r="E303" s="133"/>
      <c r="F303" s="133"/>
      <c r="G303" s="133"/>
      <c r="H303" s="133"/>
      <c r="I303" s="133"/>
      <c r="J303" s="133"/>
      <c r="K303" s="133"/>
      <c r="L303" s="133"/>
    </row>
    <row r="304" spans="1:12">
      <c r="A304" s="250"/>
      <c r="B304" s="133"/>
      <c r="C304" s="133"/>
      <c r="D304" s="133"/>
      <c r="E304" s="133"/>
      <c r="F304" s="133"/>
      <c r="G304" s="133"/>
      <c r="H304" s="133"/>
      <c r="I304" s="133"/>
      <c r="J304" s="133"/>
      <c r="K304" s="133"/>
      <c r="L304" s="133"/>
    </row>
    <row r="305" spans="1:12">
      <c r="A305" s="250"/>
      <c r="B305" s="133"/>
      <c r="C305" s="133"/>
      <c r="D305" s="133"/>
      <c r="E305" s="133"/>
      <c r="F305" s="133"/>
      <c r="G305" s="133"/>
      <c r="H305" s="133"/>
      <c r="I305" s="133"/>
      <c r="J305" s="133"/>
      <c r="K305" s="133"/>
      <c r="L305" s="133"/>
    </row>
    <row r="306" spans="1:12">
      <c r="A306" s="250"/>
      <c r="B306" s="133"/>
      <c r="C306" s="133"/>
      <c r="D306" s="133"/>
      <c r="E306" s="133"/>
      <c r="F306" s="133"/>
      <c r="G306" s="133"/>
      <c r="H306" s="133"/>
      <c r="I306" s="133"/>
      <c r="J306" s="133"/>
      <c r="K306" s="133"/>
      <c r="L306" s="133"/>
    </row>
    <row r="307" spans="1:12">
      <c r="A307" s="250"/>
      <c r="B307" s="133"/>
      <c r="C307" s="133"/>
      <c r="D307" s="133"/>
      <c r="E307" s="133"/>
      <c r="F307" s="133"/>
      <c r="G307" s="133"/>
      <c r="H307" s="133"/>
      <c r="I307" s="133"/>
      <c r="J307" s="133"/>
      <c r="K307" s="133"/>
      <c r="L307" s="133"/>
    </row>
    <row r="308" spans="1:12">
      <c r="A308" s="250"/>
      <c r="B308" s="133"/>
      <c r="C308" s="133"/>
      <c r="D308" s="133"/>
      <c r="E308" s="133"/>
      <c r="F308" s="133"/>
      <c r="G308" s="133"/>
      <c r="H308" s="133"/>
      <c r="I308" s="133"/>
      <c r="J308" s="133"/>
      <c r="K308" s="133"/>
      <c r="L308" s="133"/>
    </row>
    <row r="309" spans="1:12">
      <c r="A309" s="250"/>
      <c r="B309" s="133"/>
      <c r="C309" s="133"/>
      <c r="D309" s="133"/>
      <c r="E309" s="133"/>
      <c r="F309" s="133"/>
      <c r="G309" s="133"/>
      <c r="H309" s="133"/>
      <c r="I309" s="133"/>
      <c r="J309" s="133"/>
      <c r="K309" s="133"/>
      <c r="L309" s="133"/>
    </row>
    <row r="310" spans="1:12">
      <c r="A310" s="250"/>
      <c r="B310" s="133"/>
      <c r="C310" s="133"/>
      <c r="D310" s="133"/>
      <c r="E310" s="133"/>
      <c r="F310" s="133"/>
      <c r="G310" s="133"/>
      <c r="H310" s="133"/>
      <c r="I310" s="133"/>
      <c r="J310" s="133"/>
      <c r="K310" s="133"/>
      <c r="L310" s="133"/>
    </row>
    <row r="311" spans="1:12">
      <c r="A311" s="250"/>
      <c r="B311" s="133"/>
      <c r="C311" s="133"/>
      <c r="D311" s="133"/>
      <c r="E311" s="133"/>
      <c r="F311" s="133"/>
      <c r="G311" s="133"/>
      <c r="H311" s="133"/>
      <c r="I311" s="133"/>
      <c r="J311" s="133"/>
      <c r="K311" s="133"/>
      <c r="L311" s="133"/>
    </row>
    <row r="312" spans="1:12">
      <c r="A312" s="250"/>
      <c r="B312" s="133"/>
      <c r="C312" s="133"/>
      <c r="D312" s="133"/>
      <c r="E312" s="133"/>
      <c r="F312" s="133"/>
      <c r="G312" s="133"/>
      <c r="H312" s="133"/>
      <c r="I312" s="133"/>
      <c r="J312" s="133"/>
      <c r="K312" s="133"/>
      <c r="L312" s="133"/>
    </row>
    <row r="313" spans="1:12">
      <c r="A313" s="250"/>
      <c r="B313" s="133"/>
      <c r="C313" s="133"/>
      <c r="D313" s="133"/>
      <c r="E313" s="133"/>
      <c r="F313" s="133"/>
      <c r="G313" s="133"/>
      <c r="H313" s="133"/>
      <c r="I313" s="133"/>
      <c r="J313" s="133"/>
      <c r="K313" s="133"/>
      <c r="L313" s="133"/>
    </row>
    <row r="314" spans="1:12">
      <c r="A314" s="250"/>
      <c r="B314" s="133"/>
      <c r="C314" s="133"/>
      <c r="D314" s="133"/>
      <c r="E314" s="133"/>
      <c r="F314" s="133"/>
      <c r="G314" s="133"/>
      <c r="H314" s="133"/>
      <c r="I314" s="133"/>
      <c r="J314" s="133"/>
      <c r="K314" s="133"/>
      <c r="L314" s="133"/>
    </row>
    <row r="315" spans="1:12">
      <c r="A315" s="250"/>
      <c r="B315" s="133"/>
      <c r="C315" s="133"/>
      <c r="D315" s="133"/>
      <c r="E315" s="133"/>
      <c r="F315" s="133"/>
      <c r="G315" s="133"/>
      <c r="H315" s="133"/>
      <c r="I315" s="133"/>
      <c r="J315" s="133"/>
      <c r="K315" s="133"/>
      <c r="L315" s="133"/>
    </row>
    <row r="316" spans="1:12">
      <c r="A316" s="250"/>
      <c r="B316" s="133"/>
      <c r="C316" s="133"/>
      <c r="D316" s="133"/>
      <c r="E316" s="133"/>
      <c r="F316" s="133"/>
      <c r="G316" s="133"/>
      <c r="H316" s="133"/>
      <c r="I316" s="133"/>
      <c r="J316" s="133"/>
      <c r="K316" s="133"/>
      <c r="L316" s="133"/>
    </row>
    <row r="317" spans="1:12">
      <c r="A317" s="250"/>
      <c r="B317" s="133"/>
      <c r="C317" s="133"/>
      <c r="D317" s="133"/>
      <c r="E317" s="133"/>
      <c r="F317" s="133"/>
      <c r="G317" s="133"/>
      <c r="H317" s="133"/>
      <c r="I317" s="133"/>
      <c r="J317" s="133"/>
      <c r="K317" s="133"/>
      <c r="L317" s="133"/>
    </row>
    <row r="318" spans="1:12">
      <c r="A318" s="250"/>
      <c r="B318" s="133"/>
      <c r="C318" s="133"/>
      <c r="D318" s="133"/>
      <c r="E318" s="133"/>
      <c r="F318" s="133"/>
      <c r="G318" s="133"/>
      <c r="H318" s="133"/>
      <c r="I318" s="133"/>
      <c r="J318" s="133"/>
      <c r="K318" s="133"/>
      <c r="L318" s="133"/>
    </row>
    <row r="319" spans="1:12">
      <c r="A319" s="250"/>
      <c r="B319" s="133"/>
      <c r="C319" s="133"/>
      <c r="D319" s="133"/>
      <c r="E319" s="133"/>
      <c r="F319" s="133"/>
      <c r="G319" s="133"/>
      <c r="H319" s="133"/>
      <c r="I319" s="133"/>
      <c r="J319" s="133"/>
      <c r="K319" s="133"/>
      <c r="L319" s="133"/>
    </row>
    <row r="320" spans="1:12">
      <c r="A320" s="250"/>
      <c r="B320" s="133"/>
      <c r="C320" s="133"/>
      <c r="D320" s="133"/>
      <c r="E320" s="133"/>
      <c r="F320" s="133"/>
      <c r="G320" s="133"/>
      <c r="H320" s="133"/>
      <c r="I320" s="133"/>
      <c r="J320" s="133"/>
      <c r="K320" s="133"/>
      <c r="L320" s="133"/>
    </row>
    <row r="321" spans="1:12">
      <c r="A321" s="250"/>
      <c r="B321" s="133"/>
      <c r="C321" s="133"/>
      <c r="D321" s="133"/>
      <c r="E321" s="133"/>
      <c r="F321" s="133"/>
      <c r="G321" s="133"/>
      <c r="H321" s="133"/>
      <c r="I321" s="133"/>
      <c r="J321" s="133"/>
      <c r="K321" s="133"/>
      <c r="L321" s="133"/>
    </row>
    <row r="322" spans="1:12">
      <c r="A322" s="250"/>
      <c r="B322" s="133"/>
      <c r="C322" s="133"/>
      <c r="D322" s="133"/>
      <c r="E322" s="133"/>
      <c r="F322" s="133"/>
      <c r="G322" s="133"/>
      <c r="H322" s="133"/>
      <c r="I322" s="133"/>
      <c r="J322" s="133"/>
      <c r="K322" s="133"/>
      <c r="L322" s="133"/>
    </row>
    <row r="323" spans="1:12">
      <c r="A323" s="250"/>
      <c r="B323" s="133"/>
      <c r="C323" s="133"/>
      <c r="D323" s="133"/>
      <c r="E323" s="133"/>
      <c r="F323" s="133"/>
      <c r="G323" s="133"/>
      <c r="H323" s="133"/>
      <c r="I323" s="133"/>
      <c r="J323" s="133"/>
      <c r="K323" s="133"/>
      <c r="L323" s="133"/>
    </row>
    <row r="324" spans="1:12">
      <c r="A324" s="250"/>
      <c r="B324" s="133"/>
      <c r="C324" s="133"/>
      <c r="D324" s="133"/>
      <c r="E324" s="133"/>
      <c r="F324" s="133"/>
      <c r="G324" s="133"/>
      <c r="H324" s="133"/>
      <c r="I324" s="133"/>
      <c r="J324" s="133"/>
      <c r="K324" s="133"/>
      <c r="L324" s="133"/>
    </row>
    <row r="325" spans="1:12">
      <c r="A325" s="250"/>
      <c r="B325" s="133"/>
      <c r="C325" s="133"/>
      <c r="D325" s="133"/>
      <c r="E325" s="133"/>
      <c r="F325" s="133"/>
      <c r="G325" s="133"/>
      <c r="H325" s="133"/>
      <c r="I325" s="133"/>
      <c r="J325" s="133"/>
      <c r="K325" s="133"/>
      <c r="L325" s="133"/>
    </row>
    <row r="326" spans="1:12">
      <c r="A326" s="250"/>
      <c r="B326" s="133"/>
      <c r="C326" s="133"/>
      <c r="D326" s="133"/>
      <c r="E326" s="133"/>
      <c r="F326" s="133"/>
      <c r="G326" s="133"/>
      <c r="H326" s="133"/>
      <c r="I326" s="133"/>
      <c r="J326" s="133"/>
      <c r="K326" s="133"/>
      <c r="L326" s="133"/>
    </row>
    <row r="327" spans="1:12">
      <c r="A327" s="250"/>
      <c r="B327" s="133"/>
      <c r="C327" s="133"/>
      <c r="D327" s="133"/>
      <c r="E327" s="133"/>
      <c r="F327" s="133"/>
      <c r="G327" s="133"/>
      <c r="H327" s="133"/>
      <c r="I327" s="133"/>
      <c r="J327" s="133"/>
      <c r="K327" s="133"/>
      <c r="L327" s="133"/>
    </row>
    <row r="328" spans="1:12">
      <c r="A328" s="250"/>
      <c r="B328" s="133"/>
      <c r="C328" s="133"/>
      <c r="D328" s="133"/>
      <c r="E328" s="133"/>
      <c r="F328" s="133"/>
      <c r="G328" s="133"/>
      <c r="H328" s="133"/>
      <c r="I328" s="133"/>
      <c r="J328" s="133"/>
      <c r="K328" s="133"/>
      <c r="L328" s="133"/>
    </row>
    <row r="329" spans="1:12">
      <c r="A329" s="250"/>
      <c r="B329" s="133"/>
      <c r="C329" s="133"/>
      <c r="D329" s="133"/>
      <c r="E329" s="133"/>
      <c r="F329" s="133"/>
      <c r="G329" s="133"/>
      <c r="H329" s="133"/>
      <c r="I329" s="133"/>
      <c r="J329" s="133"/>
      <c r="K329" s="133"/>
      <c r="L329" s="133"/>
    </row>
    <row r="330" spans="1:12">
      <c r="A330" s="250"/>
      <c r="B330" s="133"/>
      <c r="C330" s="133"/>
      <c r="D330" s="133"/>
      <c r="E330" s="133"/>
      <c r="F330" s="133"/>
      <c r="G330" s="133"/>
      <c r="H330" s="133"/>
      <c r="I330" s="133"/>
      <c r="J330" s="133"/>
      <c r="K330" s="133"/>
      <c r="L330" s="133"/>
    </row>
    <row r="331" spans="1:12">
      <c r="A331" s="250"/>
      <c r="B331" s="133"/>
      <c r="C331" s="133"/>
      <c r="D331" s="133"/>
      <c r="E331" s="133"/>
      <c r="F331" s="133"/>
      <c r="G331" s="133"/>
      <c r="H331" s="133"/>
      <c r="I331" s="133"/>
      <c r="J331" s="133"/>
      <c r="K331" s="133"/>
      <c r="L331" s="133"/>
    </row>
    <row r="332" spans="1:12">
      <c r="A332" s="250"/>
      <c r="B332" s="133"/>
      <c r="C332" s="133"/>
      <c r="D332" s="133"/>
      <c r="E332" s="133"/>
      <c r="F332" s="133"/>
      <c r="G332" s="133"/>
      <c r="H332" s="133"/>
      <c r="I332" s="133"/>
      <c r="J332" s="133"/>
      <c r="K332" s="133"/>
      <c r="L332" s="133"/>
    </row>
    <row r="333" spans="1:12">
      <c r="A333" s="250"/>
      <c r="B333" s="133"/>
      <c r="C333" s="133"/>
      <c r="D333" s="133"/>
      <c r="E333" s="133"/>
      <c r="F333" s="133"/>
      <c r="G333" s="133"/>
      <c r="H333" s="133"/>
      <c r="I333" s="133"/>
      <c r="J333" s="133"/>
      <c r="K333" s="133"/>
      <c r="L333" s="133"/>
    </row>
    <row r="334" spans="1:12">
      <c r="A334" s="250"/>
      <c r="B334" s="133"/>
      <c r="C334" s="133"/>
      <c r="D334" s="133"/>
      <c r="E334" s="133"/>
      <c r="F334" s="133"/>
      <c r="G334" s="133"/>
      <c r="H334" s="133"/>
      <c r="I334" s="133"/>
      <c r="J334" s="133"/>
      <c r="K334" s="133"/>
      <c r="L334" s="133"/>
    </row>
    <row r="335" spans="1:12">
      <c r="A335" s="250"/>
      <c r="B335" s="133"/>
      <c r="C335" s="133"/>
      <c r="D335" s="133"/>
      <c r="E335" s="133"/>
      <c r="F335" s="133"/>
      <c r="G335" s="133"/>
      <c r="H335" s="133"/>
      <c r="I335" s="133"/>
      <c r="J335" s="133"/>
      <c r="K335" s="133"/>
      <c r="L335" s="133"/>
    </row>
    <row r="336" spans="1:12">
      <c r="A336" s="250"/>
      <c r="B336" s="133"/>
      <c r="C336" s="133"/>
      <c r="D336" s="133"/>
      <c r="E336" s="133"/>
      <c r="F336" s="133"/>
      <c r="G336" s="133"/>
      <c r="H336" s="133"/>
      <c r="I336" s="133"/>
      <c r="J336" s="133"/>
      <c r="K336" s="133"/>
      <c r="L336" s="133"/>
    </row>
    <row r="337" spans="1:12">
      <c r="A337" s="250"/>
      <c r="B337" s="133"/>
      <c r="C337" s="133"/>
      <c r="D337" s="133"/>
      <c r="E337" s="133"/>
      <c r="F337" s="133"/>
      <c r="G337" s="133"/>
      <c r="H337" s="133"/>
      <c r="I337" s="133"/>
      <c r="J337" s="133"/>
      <c r="K337" s="133"/>
      <c r="L337" s="133"/>
    </row>
    <row r="338" spans="1:12">
      <c r="A338" s="250"/>
      <c r="B338" s="133"/>
      <c r="C338" s="133"/>
      <c r="D338" s="133"/>
      <c r="E338" s="133"/>
      <c r="F338" s="133"/>
      <c r="G338" s="133"/>
      <c r="H338" s="133"/>
      <c r="I338" s="133"/>
      <c r="J338" s="133"/>
      <c r="K338" s="133"/>
      <c r="L338" s="133"/>
    </row>
    <row r="339" spans="1:12">
      <c r="A339" s="250"/>
      <c r="B339" s="133"/>
      <c r="C339" s="133"/>
      <c r="D339" s="133"/>
      <c r="E339" s="133"/>
      <c r="F339" s="133"/>
      <c r="G339" s="133"/>
      <c r="H339" s="133"/>
      <c r="I339" s="133"/>
      <c r="J339" s="133"/>
      <c r="K339" s="133"/>
      <c r="L339" s="133"/>
    </row>
    <row r="340" spans="1:12">
      <c r="A340" s="250"/>
      <c r="B340" s="133"/>
      <c r="C340" s="133"/>
      <c r="D340" s="133"/>
      <c r="E340" s="133"/>
      <c r="F340" s="133"/>
      <c r="G340" s="133"/>
      <c r="H340" s="133"/>
      <c r="I340" s="133"/>
      <c r="J340" s="133"/>
      <c r="K340" s="133"/>
      <c r="L340" s="133"/>
    </row>
    <row r="341" spans="1:12">
      <c r="A341" s="250"/>
      <c r="B341" s="133"/>
      <c r="C341" s="133"/>
      <c r="D341" s="133"/>
      <c r="E341" s="133"/>
      <c r="F341" s="133"/>
      <c r="G341" s="133"/>
      <c r="H341" s="133"/>
      <c r="I341" s="133"/>
      <c r="J341" s="133"/>
      <c r="K341" s="133"/>
      <c r="L341" s="133"/>
    </row>
    <row r="342" spans="1:12">
      <c r="A342" s="250"/>
      <c r="B342" s="133"/>
      <c r="C342" s="133"/>
      <c r="D342" s="133"/>
      <c r="E342" s="133"/>
      <c r="F342" s="133"/>
      <c r="G342" s="133"/>
      <c r="H342" s="133"/>
      <c r="I342" s="133"/>
      <c r="J342" s="133"/>
      <c r="K342" s="133"/>
      <c r="L342" s="133"/>
    </row>
    <row r="343" spans="1:12">
      <c r="A343" s="250"/>
      <c r="B343" s="133"/>
      <c r="C343" s="133"/>
      <c r="D343" s="133"/>
      <c r="E343" s="133"/>
      <c r="F343" s="133"/>
      <c r="G343" s="133"/>
      <c r="H343" s="133"/>
      <c r="I343" s="133"/>
      <c r="J343" s="133"/>
      <c r="K343" s="133"/>
      <c r="L343" s="133"/>
    </row>
    <row r="344" spans="1:12">
      <c r="A344" s="250"/>
      <c r="B344" s="133"/>
      <c r="C344" s="133"/>
      <c r="D344" s="133"/>
      <c r="E344" s="133"/>
      <c r="F344" s="133"/>
      <c r="G344" s="133"/>
      <c r="H344" s="133"/>
      <c r="I344" s="133"/>
      <c r="J344" s="133"/>
      <c r="K344" s="133"/>
      <c r="L344" s="133"/>
    </row>
    <row r="345" spans="1:12">
      <c r="A345" s="250"/>
      <c r="B345" s="133"/>
      <c r="C345" s="133"/>
      <c r="D345" s="133"/>
      <c r="E345" s="133"/>
      <c r="F345" s="133"/>
      <c r="G345" s="133"/>
      <c r="H345" s="133"/>
      <c r="I345" s="133"/>
      <c r="J345" s="133"/>
      <c r="K345" s="133"/>
      <c r="L345" s="133"/>
    </row>
    <row r="346" spans="1:12">
      <c r="A346" s="250"/>
      <c r="B346" s="133"/>
      <c r="C346" s="133"/>
      <c r="D346" s="133"/>
      <c r="E346" s="133"/>
      <c r="F346" s="133"/>
      <c r="G346" s="133"/>
      <c r="H346" s="133"/>
      <c r="I346" s="133"/>
      <c r="J346" s="133"/>
      <c r="K346" s="133"/>
      <c r="L346" s="133"/>
    </row>
    <row r="347" spans="1:12">
      <c r="A347" s="250"/>
      <c r="B347" s="133"/>
      <c r="C347" s="133"/>
      <c r="D347" s="133"/>
      <c r="E347" s="133"/>
      <c r="F347" s="133"/>
      <c r="G347" s="133"/>
      <c r="H347" s="133"/>
      <c r="I347" s="133"/>
      <c r="J347" s="133"/>
      <c r="K347" s="133"/>
      <c r="L347" s="133"/>
    </row>
    <row r="348" spans="1:12">
      <c r="A348" s="250"/>
      <c r="B348" s="133"/>
      <c r="C348" s="133"/>
      <c r="D348" s="133"/>
      <c r="E348" s="133"/>
      <c r="F348" s="133"/>
      <c r="G348" s="133"/>
      <c r="H348" s="133"/>
      <c r="I348" s="133"/>
      <c r="J348" s="133"/>
      <c r="K348" s="133"/>
      <c r="L348" s="133"/>
    </row>
    <row r="349" spans="1:12">
      <c r="A349" s="250"/>
      <c r="B349" s="133"/>
      <c r="C349" s="133"/>
      <c r="D349" s="133"/>
      <c r="E349" s="133"/>
      <c r="F349" s="133"/>
      <c r="G349" s="133"/>
      <c r="H349" s="133"/>
      <c r="I349" s="133"/>
      <c r="J349" s="133"/>
      <c r="K349" s="133"/>
      <c r="L349" s="133"/>
    </row>
    <row r="350" spans="1:12">
      <c r="A350" s="250"/>
      <c r="B350" s="133"/>
      <c r="C350" s="133"/>
      <c r="D350" s="133"/>
      <c r="E350" s="133"/>
      <c r="F350" s="133"/>
      <c r="G350" s="133"/>
      <c r="H350" s="133"/>
      <c r="I350" s="133"/>
      <c r="J350" s="133"/>
      <c r="K350" s="133"/>
      <c r="L350" s="133"/>
    </row>
    <row r="351" spans="1:12">
      <c r="A351" s="250"/>
      <c r="B351" s="133"/>
      <c r="C351" s="133"/>
      <c r="D351" s="133"/>
      <c r="E351" s="133"/>
      <c r="F351" s="133"/>
      <c r="G351" s="133"/>
      <c r="H351" s="133"/>
      <c r="I351" s="133"/>
      <c r="J351" s="133"/>
      <c r="K351" s="133"/>
      <c r="L351" s="133"/>
    </row>
    <row r="352" spans="1:12">
      <c r="A352" s="250"/>
      <c r="B352" s="133"/>
      <c r="C352" s="133"/>
      <c r="D352" s="133"/>
      <c r="E352" s="133"/>
      <c r="F352" s="133"/>
      <c r="G352" s="133"/>
      <c r="H352" s="133"/>
      <c r="I352" s="133"/>
      <c r="J352" s="133"/>
      <c r="K352" s="133"/>
      <c r="L352" s="133"/>
    </row>
    <row r="353" spans="1:12">
      <c r="A353" s="250"/>
      <c r="B353" s="133"/>
      <c r="C353" s="133"/>
      <c r="D353" s="133"/>
      <c r="E353" s="133"/>
      <c r="F353" s="133"/>
      <c r="G353" s="133"/>
      <c r="H353" s="133"/>
      <c r="I353" s="133"/>
      <c r="J353" s="133"/>
      <c r="K353" s="133"/>
      <c r="L353" s="133"/>
    </row>
    <row r="354" spans="1:12">
      <c r="A354" s="250"/>
      <c r="B354" s="133"/>
      <c r="C354" s="133"/>
      <c r="D354" s="133"/>
      <c r="E354" s="133"/>
      <c r="F354" s="133"/>
      <c r="G354" s="133"/>
      <c r="H354" s="133"/>
      <c r="I354" s="133"/>
      <c r="J354" s="133"/>
      <c r="K354" s="133"/>
      <c r="L354" s="133"/>
    </row>
    <row r="355" spans="1:12">
      <c r="A355" s="250"/>
      <c r="B355" s="133"/>
      <c r="C355" s="133"/>
      <c r="D355" s="133"/>
      <c r="E355" s="133"/>
      <c r="F355" s="133"/>
      <c r="G355" s="133"/>
      <c r="H355" s="133"/>
      <c r="I355" s="133"/>
      <c r="J355" s="133"/>
      <c r="K355" s="133"/>
      <c r="L355" s="133"/>
    </row>
    <row r="356" spans="1:12">
      <c r="A356" s="250"/>
      <c r="B356" s="133"/>
      <c r="C356" s="133"/>
      <c r="D356" s="133"/>
      <c r="E356" s="133"/>
      <c r="F356" s="133"/>
      <c r="G356" s="133"/>
      <c r="H356" s="133"/>
      <c r="I356" s="133"/>
      <c r="J356" s="133"/>
      <c r="K356" s="133"/>
      <c r="L356" s="133"/>
    </row>
    <row r="357" spans="1:12">
      <c r="A357" s="250"/>
      <c r="B357" s="133"/>
      <c r="C357" s="133"/>
      <c r="D357" s="133"/>
      <c r="E357" s="133"/>
      <c r="F357" s="133"/>
      <c r="G357" s="133"/>
      <c r="H357" s="133"/>
      <c r="I357" s="133"/>
      <c r="J357" s="133"/>
      <c r="K357" s="133"/>
      <c r="L357" s="133"/>
    </row>
    <row r="358" spans="1:12">
      <c r="A358" s="250"/>
      <c r="B358" s="133"/>
      <c r="C358" s="133"/>
      <c r="D358" s="133"/>
      <c r="E358" s="133"/>
      <c r="F358" s="133"/>
      <c r="G358" s="133"/>
      <c r="H358" s="133"/>
      <c r="I358" s="133"/>
      <c r="J358" s="133"/>
      <c r="K358" s="133"/>
      <c r="L358" s="133"/>
    </row>
    <row r="359" spans="1:12">
      <c r="A359" s="250"/>
      <c r="B359" s="133"/>
      <c r="C359" s="133"/>
      <c r="D359" s="133"/>
      <c r="E359" s="133"/>
      <c r="F359" s="133"/>
      <c r="G359" s="133"/>
      <c r="H359" s="133"/>
      <c r="I359" s="133"/>
      <c r="J359" s="133"/>
      <c r="K359" s="133"/>
      <c r="L359" s="133"/>
    </row>
    <row r="360" spans="1:12">
      <c r="A360" s="250"/>
      <c r="B360" s="133"/>
      <c r="C360" s="133"/>
      <c r="D360" s="133"/>
      <c r="E360" s="133"/>
      <c r="F360" s="133"/>
      <c r="G360" s="133"/>
      <c r="H360" s="133"/>
      <c r="I360" s="133"/>
      <c r="J360" s="133"/>
      <c r="K360" s="133"/>
      <c r="L360" s="133"/>
    </row>
    <row r="361" spans="1:12">
      <c r="A361" s="250"/>
      <c r="B361" s="133"/>
      <c r="C361" s="133"/>
      <c r="D361" s="133"/>
      <c r="E361" s="133"/>
      <c r="F361" s="133"/>
      <c r="G361" s="133"/>
      <c r="H361" s="133"/>
      <c r="I361" s="133"/>
      <c r="J361" s="133"/>
      <c r="K361" s="133"/>
      <c r="L361" s="133"/>
    </row>
    <row r="362" spans="1:12">
      <c r="A362" s="250"/>
      <c r="B362" s="133"/>
      <c r="C362" s="133"/>
      <c r="D362" s="133"/>
      <c r="E362" s="133"/>
      <c r="F362" s="133"/>
      <c r="G362" s="133"/>
      <c r="H362" s="133"/>
      <c r="I362" s="133"/>
      <c r="J362" s="133"/>
      <c r="K362" s="133"/>
      <c r="L362" s="133"/>
    </row>
    <row r="363" spans="1:12">
      <c r="A363" s="250"/>
      <c r="B363" s="133"/>
      <c r="C363" s="133"/>
      <c r="D363" s="133"/>
      <c r="E363" s="133"/>
      <c r="F363" s="133"/>
      <c r="G363" s="133"/>
      <c r="H363" s="133"/>
      <c r="I363" s="133"/>
      <c r="J363" s="133"/>
      <c r="K363" s="133"/>
      <c r="L363" s="133"/>
    </row>
    <row r="364" spans="1:12">
      <c r="A364" s="250"/>
      <c r="B364" s="133"/>
      <c r="C364" s="133"/>
      <c r="D364" s="133"/>
      <c r="E364" s="133"/>
      <c r="F364" s="133"/>
      <c r="G364" s="133"/>
      <c r="H364" s="133"/>
      <c r="I364" s="133"/>
      <c r="J364" s="133"/>
      <c r="K364" s="133"/>
      <c r="L364" s="133"/>
    </row>
    <row r="365" spans="1:12">
      <c r="A365" s="250"/>
      <c r="B365" s="133"/>
      <c r="C365" s="133"/>
      <c r="D365" s="133"/>
      <c r="E365" s="133"/>
      <c r="F365" s="133"/>
      <c r="G365" s="133"/>
      <c r="H365" s="133"/>
      <c r="I365" s="133"/>
      <c r="J365" s="133"/>
      <c r="K365" s="133"/>
      <c r="L365" s="133"/>
    </row>
    <row r="366" spans="1:12">
      <c r="A366" s="250"/>
      <c r="B366" s="133"/>
      <c r="C366" s="133"/>
      <c r="D366" s="133"/>
      <c r="E366" s="133"/>
      <c r="F366" s="133"/>
      <c r="G366" s="133"/>
      <c r="H366" s="133"/>
      <c r="I366" s="133"/>
      <c r="J366" s="133"/>
      <c r="K366" s="133"/>
      <c r="L366" s="133"/>
    </row>
    <row r="367" spans="1:12">
      <c r="A367" s="250"/>
      <c r="B367" s="133"/>
      <c r="C367" s="133"/>
      <c r="D367" s="133"/>
      <c r="E367" s="133"/>
      <c r="F367" s="133"/>
      <c r="G367" s="133"/>
      <c r="H367" s="133"/>
      <c r="I367" s="133"/>
      <c r="J367" s="133"/>
      <c r="K367" s="133"/>
      <c r="L367" s="133"/>
    </row>
    <row r="368" spans="1:12">
      <c r="A368" s="250"/>
      <c r="B368" s="133"/>
      <c r="C368" s="133"/>
      <c r="D368" s="133"/>
      <c r="E368" s="133"/>
      <c r="F368" s="133"/>
      <c r="G368" s="133"/>
      <c r="H368" s="133"/>
      <c r="I368" s="133"/>
      <c r="J368" s="133"/>
      <c r="K368" s="133"/>
      <c r="L368" s="133"/>
    </row>
    <row r="369" spans="1:12">
      <c r="A369" s="250"/>
      <c r="B369" s="133"/>
      <c r="C369" s="133"/>
      <c r="D369" s="133"/>
      <c r="E369" s="133"/>
      <c r="F369" s="133"/>
      <c r="G369" s="133"/>
      <c r="H369" s="133"/>
      <c r="I369" s="133"/>
      <c r="J369" s="133"/>
      <c r="K369" s="133"/>
      <c r="L369" s="133"/>
    </row>
    <row r="370" spans="1:12">
      <c r="A370" s="250"/>
      <c r="B370" s="133"/>
      <c r="C370" s="133"/>
      <c r="D370" s="133"/>
      <c r="E370" s="133"/>
      <c r="F370" s="133"/>
      <c r="G370" s="133"/>
      <c r="H370" s="133"/>
      <c r="I370" s="133"/>
      <c r="J370" s="133"/>
      <c r="K370" s="133"/>
      <c r="L370" s="133"/>
    </row>
    <row r="371" spans="1:12">
      <c r="A371" s="250"/>
      <c r="B371" s="133"/>
      <c r="C371" s="133"/>
      <c r="D371" s="133"/>
      <c r="E371" s="133"/>
      <c r="F371" s="133"/>
      <c r="G371" s="133"/>
      <c r="H371" s="133"/>
      <c r="I371" s="133"/>
      <c r="J371" s="133"/>
      <c r="K371" s="133"/>
      <c r="L371" s="133"/>
    </row>
    <row r="372" spans="1:12">
      <c r="A372" s="250"/>
      <c r="B372" s="133"/>
      <c r="C372" s="133"/>
      <c r="D372" s="133"/>
      <c r="E372" s="133"/>
      <c r="F372" s="133"/>
      <c r="G372" s="133"/>
      <c r="H372" s="133"/>
      <c r="I372" s="133"/>
      <c r="J372" s="133"/>
      <c r="K372" s="133"/>
      <c r="L372" s="133"/>
    </row>
    <row r="373" spans="1:12">
      <c r="A373" s="250"/>
      <c r="B373" s="133"/>
      <c r="C373" s="133"/>
      <c r="D373" s="133"/>
      <c r="E373" s="133"/>
      <c r="F373" s="133"/>
      <c r="G373" s="133"/>
      <c r="H373" s="133"/>
      <c r="I373" s="133"/>
      <c r="J373" s="133"/>
      <c r="K373" s="133"/>
      <c r="L373" s="133"/>
    </row>
    <row r="374" spans="1:12">
      <c r="A374" s="250"/>
      <c r="B374" s="133"/>
      <c r="C374" s="133"/>
      <c r="D374" s="133"/>
      <c r="E374" s="133"/>
      <c r="F374" s="133"/>
      <c r="G374" s="133"/>
      <c r="H374" s="133"/>
      <c r="I374" s="133"/>
      <c r="J374" s="133"/>
      <c r="K374" s="133"/>
      <c r="L374" s="133"/>
    </row>
    <row r="375" spans="1:12">
      <c r="A375" s="250"/>
      <c r="B375" s="133"/>
      <c r="C375" s="133"/>
      <c r="D375" s="133"/>
      <c r="E375" s="133"/>
      <c r="F375" s="133"/>
      <c r="G375" s="133"/>
      <c r="H375" s="133"/>
      <c r="I375" s="133"/>
      <c r="J375" s="133"/>
      <c r="K375" s="133"/>
      <c r="L375" s="133"/>
    </row>
    <row r="376" spans="1:12">
      <c r="A376" s="250"/>
      <c r="B376" s="133"/>
      <c r="C376" s="133"/>
      <c r="D376" s="133"/>
      <c r="E376" s="133"/>
      <c r="F376" s="133"/>
      <c r="G376" s="133"/>
      <c r="H376" s="133"/>
      <c r="I376" s="133"/>
      <c r="J376" s="133"/>
      <c r="K376" s="133"/>
      <c r="L376" s="133"/>
    </row>
    <row r="377" spans="1:12">
      <c r="A377" s="250"/>
      <c r="B377" s="133"/>
      <c r="C377" s="133"/>
      <c r="D377" s="133"/>
      <c r="E377" s="133"/>
      <c r="F377" s="133"/>
      <c r="G377" s="133"/>
      <c r="H377" s="133"/>
      <c r="I377" s="133"/>
      <c r="J377" s="133"/>
      <c r="K377" s="133"/>
      <c r="L377" s="133"/>
    </row>
    <row r="378" spans="1:12">
      <c r="A378" s="250"/>
      <c r="B378" s="133"/>
      <c r="C378" s="133"/>
      <c r="D378" s="133"/>
      <c r="E378" s="133"/>
      <c r="F378" s="133"/>
      <c r="G378" s="133"/>
      <c r="H378" s="133"/>
      <c r="I378" s="133"/>
      <c r="J378" s="133"/>
      <c r="K378" s="133"/>
      <c r="L378" s="133"/>
    </row>
    <row r="379" spans="1:12">
      <c r="A379" s="250"/>
      <c r="B379" s="133"/>
      <c r="C379" s="133"/>
      <c r="D379" s="133"/>
      <c r="E379" s="133"/>
      <c r="F379" s="133"/>
      <c r="G379" s="133"/>
      <c r="H379" s="133"/>
      <c r="I379" s="133"/>
      <c r="J379" s="133"/>
      <c r="K379" s="133"/>
      <c r="L379" s="133"/>
    </row>
    <row r="380" spans="1:12">
      <c r="A380" s="250"/>
      <c r="B380" s="133"/>
      <c r="C380" s="133"/>
      <c r="D380" s="133"/>
      <c r="E380" s="133"/>
      <c r="F380" s="133"/>
      <c r="G380" s="133"/>
      <c r="H380" s="133"/>
      <c r="I380" s="133"/>
      <c r="J380" s="133"/>
      <c r="K380" s="133"/>
      <c r="L380" s="133"/>
    </row>
    <row r="381" spans="1:12">
      <c r="A381" s="250"/>
      <c r="B381" s="133"/>
      <c r="C381" s="133"/>
      <c r="D381" s="133"/>
      <c r="E381" s="133"/>
      <c r="F381" s="133"/>
      <c r="G381" s="133"/>
      <c r="H381" s="133"/>
      <c r="I381" s="133"/>
      <c r="J381" s="133"/>
      <c r="K381" s="133"/>
      <c r="L381" s="133"/>
    </row>
    <row r="382" spans="1:12">
      <c r="A382" s="250"/>
      <c r="B382" s="133"/>
      <c r="C382" s="133"/>
      <c r="D382" s="133"/>
      <c r="E382" s="133"/>
      <c r="F382" s="133"/>
      <c r="G382" s="133"/>
      <c r="H382" s="133"/>
      <c r="I382" s="133"/>
      <c r="J382" s="133"/>
      <c r="K382" s="133"/>
      <c r="L382" s="133"/>
    </row>
    <row r="383" spans="1:12">
      <c r="A383" s="250"/>
      <c r="B383" s="133"/>
      <c r="C383" s="133"/>
      <c r="D383" s="133"/>
      <c r="E383" s="133"/>
      <c r="F383" s="133"/>
      <c r="G383" s="133"/>
      <c r="H383" s="133"/>
      <c r="I383" s="133"/>
      <c r="J383" s="133"/>
      <c r="K383" s="133"/>
      <c r="L383" s="133"/>
    </row>
    <row r="384" spans="1:12">
      <c r="A384" s="250"/>
      <c r="B384" s="133"/>
      <c r="C384" s="133"/>
      <c r="D384" s="133"/>
      <c r="E384" s="133"/>
      <c r="F384" s="133"/>
      <c r="G384" s="133"/>
      <c r="H384" s="133"/>
      <c r="I384" s="133"/>
      <c r="J384" s="133"/>
      <c r="K384" s="133"/>
      <c r="L384" s="133"/>
    </row>
    <row r="385" spans="1:12">
      <c r="A385" s="250"/>
      <c r="B385" s="133"/>
      <c r="C385" s="133"/>
      <c r="D385" s="133"/>
      <c r="E385" s="133"/>
      <c r="F385" s="133"/>
      <c r="G385" s="133"/>
      <c r="H385" s="133"/>
      <c r="I385" s="133"/>
      <c r="J385" s="133"/>
      <c r="K385" s="133"/>
      <c r="L385" s="133"/>
    </row>
    <row r="386" spans="1:12">
      <c r="A386" s="250"/>
      <c r="B386" s="133"/>
      <c r="C386" s="133"/>
      <c r="D386" s="133"/>
      <c r="E386" s="133"/>
      <c r="F386" s="133"/>
      <c r="G386" s="133"/>
      <c r="H386" s="133"/>
      <c r="I386" s="133"/>
      <c r="J386" s="133"/>
      <c r="K386" s="133"/>
      <c r="L386" s="133"/>
    </row>
    <row r="387" spans="1:12">
      <c r="A387" s="250"/>
      <c r="B387" s="133"/>
      <c r="C387" s="133"/>
      <c r="D387" s="133"/>
      <c r="E387" s="133"/>
      <c r="F387" s="133"/>
      <c r="G387" s="133"/>
      <c r="H387" s="133"/>
      <c r="I387" s="133"/>
      <c r="J387" s="133"/>
      <c r="K387" s="133"/>
      <c r="L387" s="133"/>
    </row>
    <row r="388" spans="1:12">
      <c r="A388" s="250"/>
      <c r="B388" s="133"/>
      <c r="C388" s="133"/>
      <c r="D388" s="133"/>
      <c r="E388" s="133"/>
      <c r="F388" s="133"/>
      <c r="G388" s="133"/>
      <c r="H388" s="133"/>
      <c r="I388" s="133"/>
      <c r="J388" s="133"/>
      <c r="K388" s="133"/>
      <c r="L388" s="133"/>
    </row>
    <row r="389" spans="1:12">
      <c r="A389" s="250"/>
      <c r="B389" s="133"/>
      <c r="C389" s="133"/>
      <c r="D389" s="133"/>
      <c r="E389" s="133"/>
      <c r="F389" s="133"/>
      <c r="G389" s="133"/>
      <c r="H389" s="133"/>
      <c r="I389" s="133"/>
      <c r="J389" s="133"/>
      <c r="K389" s="133"/>
      <c r="L389" s="133"/>
    </row>
    <row r="390" spans="1:12">
      <c r="A390" s="250"/>
      <c r="B390" s="133"/>
      <c r="C390" s="133"/>
      <c r="D390" s="133"/>
      <c r="E390" s="133"/>
      <c r="F390" s="133"/>
      <c r="G390" s="133"/>
      <c r="H390" s="133"/>
      <c r="I390" s="133"/>
      <c r="J390" s="133"/>
      <c r="K390" s="133"/>
      <c r="L390" s="133"/>
    </row>
    <row r="391" spans="1:12">
      <c r="A391" s="250"/>
      <c r="B391" s="133"/>
      <c r="C391" s="133"/>
      <c r="D391" s="133"/>
      <c r="E391" s="133"/>
      <c r="F391" s="133"/>
      <c r="G391" s="133"/>
      <c r="H391" s="133"/>
      <c r="I391" s="133"/>
      <c r="J391" s="133"/>
      <c r="K391" s="133"/>
      <c r="L391" s="133"/>
    </row>
    <row r="392" spans="1:12">
      <c r="A392" s="250"/>
      <c r="B392" s="133"/>
      <c r="C392" s="133"/>
      <c r="D392" s="133"/>
      <c r="E392" s="133"/>
      <c r="F392" s="133"/>
      <c r="G392" s="133"/>
      <c r="H392" s="133"/>
      <c r="I392" s="133"/>
      <c r="J392" s="133"/>
      <c r="K392" s="133"/>
      <c r="L392" s="133"/>
    </row>
    <row r="393" spans="1:12">
      <c r="A393" s="250"/>
      <c r="B393" s="133"/>
      <c r="C393" s="133"/>
      <c r="D393" s="133"/>
      <c r="E393" s="133"/>
      <c r="F393" s="133"/>
      <c r="G393" s="133"/>
      <c r="H393" s="133"/>
      <c r="I393" s="133"/>
      <c r="J393" s="133"/>
      <c r="K393" s="133"/>
      <c r="L393" s="133"/>
    </row>
    <row r="394" spans="1:12">
      <c r="A394" s="250"/>
      <c r="B394" s="133"/>
      <c r="C394" s="133"/>
      <c r="D394" s="133"/>
      <c r="E394" s="133"/>
      <c r="F394" s="133"/>
      <c r="G394" s="133"/>
      <c r="H394" s="133"/>
      <c r="I394" s="133"/>
      <c r="J394" s="133"/>
      <c r="K394" s="133"/>
      <c r="L394" s="133"/>
    </row>
    <row r="395" spans="1:12">
      <c r="A395" s="250"/>
      <c r="B395" s="133"/>
      <c r="C395" s="133"/>
      <c r="D395" s="133"/>
      <c r="E395" s="133"/>
      <c r="F395" s="133"/>
      <c r="G395" s="133"/>
      <c r="H395" s="133"/>
      <c r="I395" s="133"/>
      <c r="J395" s="133"/>
      <c r="K395" s="133"/>
      <c r="L395" s="133"/>
    </row>
    <row r="396" spans="1:12">
      <c r="A396" s="250"/>
      <c r="B396" s="133"/>
      <c r="C396" s="133"/>
      <c r="D396" s="133"/>
      <c r="E396" s="133"/>
      <c r="F396" s="133"/>
      <c r="G396" s="133"/>
      <c r="H396" s="133"/>
      <c r="I396" s="133"/>
      <c r="J396" s="133"/>
      <c r="K396" s="133"/>
      <c r="L396" s="133"/>
    </row>
    <row r="397" spans="1:12">
      <c r="A397" s="250"/>
      <c r="B397" s="133"/>
      <c r="C397" s="133"/>
      <c r="D397" s="133"/>
      <c r="E397" s="133"/>
      <c r="F397" s="133"/>
      <c r="G397" s="133"/>
      <c r="H397" s="133"/>
      <c r="I397" s="133"/>
      <c r="J397" s="133"/>
      <c r="K397" s="133"/>
      <c r="L397" s="133"/>
    </row>
    <row r="398" spans="1:12">
      <c r="A398" s="250"/>
      <c r="B398" s="133"/>
      <c r="C398" s="133"/>
      <c r="D398" s="133"/>
      <c r="E398" s="133"/>
      <c r="F398" s="133"/>
      <c r="G398" s="133"/>
      <c r="H398" s="133"/>
      <c r="I398" s="133"/>
      <c r="J398" s="133"/>
      <c r="K398" s="133"/>
      <c r="L398" s="133"/>
    </row>
    <row r="399" spans="1:12">
      <c r="A399" s="250"/>
      <c r="B399" s="133"/>
      <c r="C399" s="133"/>
      <c r="D399" s="133"/>
      <c r="E399" s="133"/>
      <c r="F399" s="133"/>
      <c r="G399" s="133"/>
      <c r="H399" s="133"/>
      <c r="I399" s="133"/>
      <c r="J399" s="133"/>
      <c r="K399" s="133"/>
      <c r="L399" s="133"/>
    </row>
    <row r="400" spans="1:12">
      <c r="A400" s="250"/>
      <c r="B400" s="133"/>
      <c r="C400" s="133"/>
      <c r="D400" s="133"/>
      <c r="E400" s="133"/>
      <c r="F400" s="133"/>
      <c r="G400" s="133"/>
      <c r="H400" s="133"/>
      <c r="I400" s="133"/>
      <c r="J400" s="133"/>
      <c r="K400" s="133"/>
      <c r="L400" s="133"/>
    </row>
    <row r="401" spans="1:12">
      <c r="A401" s="250"/>
      <c r="B401" s="133"/>
      <c r="C401" s="133"/>
      <c r="D401" s="133"/>
      <c r="E401" s="133"/>
      <c r="F401" s="133"/>
      <c r="G401" s="133"/>
      <c r="H401" s="133"/>
      <c r="I401" s="133"/>
      <c r="J401" s="133"/>
      <c r="K401" s="133"/>
      <c r="L401" s="133"/>
    </row>
    <row r="402" spans="1:12">
      <c r="A402" s="250"/>
      <c r="B402" s="133"/>
      <c r="C402" s="133"/>
      <c r="D402" s="133"/>
      <c r="E402" s="133"/>
      <c r="F402" s="133"/>
      <c r="G402" s="133"/>
      <c r="H402" s="133"/>
      <c r="I402" s="133"/>
      <c r="J402" s="133"/>
      <c r="K402" s="133"/>
      <c r="L402" s="133"/>
    </row>
    <row r="403" spans="1:12">
      <c r="A403" s="250"/>
      <c r="B403" s="133"/>
      <c r="C403" s="133"/>
      <c r="D403" s="133"/>
      <c r="E403" s="133"/>
      <c r="F403" s="133"/>
      <c r="G403" s="133"/>
      <c r="H403" s="133"/>
      <c r="I403" s="133"/>
      <c r="J403" s="133"/>
      <c r="K403" s="133"/>
      <c r="L403" s="133"/>
    </row>
    <row r="404" spans="1:12">
      <c r="A404" s="250"/>
      <c r="B404" s="133"/>
      <c r="C404" s="133"/>
      <c r="D404" s="133"/>
      <c r="E404" s="133"/>
      <c r="F404" s="133"/>
      <c r="G404" s="133"/>
      <c r="H404" s="133"/>
      <c r="I404" s="133"/>
      <c r="J404" s="133"/>
      <c r="K404" s="133"/>
      <c r="L404" s="133"/>
    </row>
    <row r="405" spans="1:12">
      <c r="A405" s="250"/>
      <c r="B405" s="133"/>
      <c r="C405" s="133"/>
      <c r="D405" s="133"/>
      <c r="E405" s="133"/>
      <c r="F405" s="133"/>
      <c r="G405" s="133"/>
      <c r="H405" s="133"/>
      <c r="I405" s="133"/>
      <c r="J405" s="133"/>
      <c r="K405" s="133"/>
      <c r="L405" s="133"/>
    </row>
    <row r="406" spans="1:12">
      <c r="A406" s="250"/>
      <c r="B406" s="133"/>
      <c r="C406" s="133"/>
      <c r="D406" s="133"/>
      <c r="E406" s="133"/>
      <c r="F406" s="133"/>
      <c r="G406" s="133"/>
      <c r="H406" s="133"/>
      <c r="I406" s="133"/>
      <c r="J406" s="133"/>
      <c r="K406" s="133"/>
      <c r="L406" s="133"/>
    </row>
    <row r="407" spans="1:12">
      <c r="A407" s="250"/>
      <c r="B407" s="133"/>
      <c r="C407" s="133"/>
      <c r="D407" s="133"/>
      <c r="E407" s="133"/>
      <c r="F407" s="133"/>
      <c r="G407" s="133"/>
      <c r="H407" s="133"/>
      <c r="I407" s="133"/>
      <c r="J407" s="133"/>
      <c r="K407" s="133"/>
      <c r="L407" s="133"/>
    </row>
    <row r="408" spans="1:12">
      <c r="A408" s="250"/>
      <c r="B408" s="133"/>
      <c r="C408" s="133"/>
      <c r="D408" s="133"/>
      <c r="E408" s="133"/>
      <c r="F408" s="133"/>
      <c r="G408" s="133"/>
      <c r="H408" s="133"/>
      <c r="I408" s="133"/>
      <c r="J408" s="133"/>
      <c r="K408" s="133"/>
      <c r="L408" s="133"/>
    </row>
    <row r="409" spans="1:12">
      <c r="A409" s="250"/>
      <c r="B409" s="133"/>
      <c r="C409" s="133"/>
      <c r="D409" s="133"/>
      <c r="E409" s="133"/>
      <c r="F409" s="133"/>
      <c r="G409" s="133"/>
      <c r="H409" s="133"/>
      <c r="I409" s="133"/>
      <c r="J409" s="133"/>
      <c r="K409" s="133"/>
      <c r="L409" s="133"/>
    </row>
    <row r="410" spans="1:12">
      <c r="A410" s="250"/>
      <c r="B410" s="133"/>
      <c r="C410" s="133"/>
      <c r="D410" s="133"/>
      <c r="E410" s="133"/>
      <c r="F410" s="133"/>
      <c r="G410" s="133"/>
      <c r="H410" s="133"/>
      <c r="I410" s="133"/>
      <c r="J410" s="133"/>
      <c r="K410" s="133"/>
      <c r="L410" s="133"/>
    </row>
    <row r="411" spans="1:12">
      <c r="A411" s="250"/>
      <c r="B411" s="133"/>
      <c r="C411" s="133"/>
      <c r="D411" s="133"/>
      <c r="E411" s="133"/>
      <c r="F411" s="133"/>
      <c r="G411" s="133"/>
      <c r="H411" s="133"/>
      <c r="I411" s="133"/>
      <c r="J411" s="133"/>
      <c r="K411" s="133"/>
      <c r="L411" s="133"/>
    </row>
    <row r="412" spans="1:12">
      <c r="A412" s="250"/>
      <c r="B412" s="133"/>
      <c r="C412" s="133"/>
      <c r="D412" s="133"/>
      <c r="E412" s="133"/>
      <c r="F412" s="133"/>
      <c r="G412" s="133"/>
      <c r="H412" s="133"/>
      <c r="I412" s="133"/>
      <c r="J412" s="133"/>
      <c r="K412" s="133"/>
      <c r="L412" s="133"/>
    </row>
    <row r="413" spans="1:12">
      <c r="A413" s="250"/>
      <c r="B413" s="133"/>
      <c r="C413" s="133"/>
      <c r="D413" s="133"/>
      <c r="E413" s="133"/>
      <c r="F413" s="133"/>
      <c r="G413" s="133"/>
      <c r="H413" s="133"/>
      <c r="I413" s="133"/>
      <c r="J413" s="133"/>
      <c r="K413" s="133"/>
      <c r="L413" s="133"/>
    </row>
    <row r="414" spans="1:12">
      <c r="A414" s="250"/>
      <c r="B414" s="133"/>
      <c r="C414" s="133"/>
      <c r="D414" s="133"/>
      <c r="E414" s="133"/>
      <c r="F414" s="133"/>
      <c r="G414" s="133"/>
      <c r="H414" s="133"/>
      <c r="I414" s="133"/>
      <c r="J414" s="133"/>
      <c r="K414" s="133"/>
      <c r="L414" s="133"/>
    </row>
    <row r="415" spans="1:12">
      <c r="A415" s="250"/>
      <c r="B415" s="133"/>
      <c r="C415" s="133"/>
      <c r="D415" s="133"/>
      <c r="E415" s="133"/>
      <c r="F415" s="133"/>
      <c r="G415" s="133"/>
      <c r="H415" s="133"/>
      <c r="I415" s="133"/>
      <c r="J415" s="133"/>
      <c r="K415" s="133"/>
      <c r="L415" s="133"/>
    </row>
    <row r="416" spans="1:12">
      <c r="A416" s="250"/>
      <c r="B416" s="133"/>
      <c r="C416" s="133"/>
      <c r="D416" s="133"/>
      <c r="E416" s="133"/>
      <c r="F416" s="133"/>
      <c r="G416" s="133"/>
      <c r="H416" s="133"/>
      <c r="I416" s="133"/>
      <c r="J416" s="133"/>
      <c r="K416" s="133"/>
      <c r="L416" s="133"/>
    </row>
    <row r="417" spans="1:12">
      <c r="A417" s="250"/>
      <c r="B417" s="133"/>
      <c r="C417" s="133"/>
      <c r="D417" s="133"/>
      <c r="E417" s="133"/>
      <c r="F417" s="133"/>
      <c r="G417" s="133"/>
      <c r="H417" s="133"/>
      <c r="I417" s="133"/>
      <c r="J417" s="133"/>
      <c r="K417" s="133"/>
      <c r="L417" s="133"/>
    </row>
    <row r="418" spans="1:12">
      <c r="A418" s="250"/>
      <c r="B418" s="133"/>
      <c r="C418" s="133"/>
      <c r="D418" s="133"/>
      <c r="E418" s="133"/>
      <c r="F418" s="133"/>
      <c r="G418" s="133"/>
      <c r="H418" s="133"/>
      <c r="I418" s="133"/>
      <c r="J418" s="133"/>
      <c r="K418" s="133"/>
      <c r="L418" s="133"/>
    </row>
    <row r="419" spans="1:12">
      <c r="A419" s="250"/>
      <c r="B419" s="133"/>
      <c r="C419" s="133"/>
      <c r="D419" s="133"/>
      <c r="E419" s="133"/>
      <c r="F419" s="133"/>
      <c r="G419" s="133"/>
      <c r="H419" s="133"/>
      <c r="I419" s="133"/>
      <c r="J419" s="133"/>
      <c r="K419" s="133"/>
      <c r="L419" s="133"/>
    </row>
    <row r="420" spans="1:12">
      <c r="A420" s="250"/>
      <c r="B420" s="133"/>
      <c r="C420" s="133"/>
      <c r="D420" s="133"/>
      <c r="E420" s="133"/>
      <c r="F420" s="133"/>
      <c r="G420" s="133"/>
      <c r="H420" s="133"/>
      <c r="I420" s="133"/>
      <c r="J420" s="133"/>
      <c r="K420" s="133"/>
      <c r="L420" s="133"/>
    </row>
    <row r="421" spans="1:12">
      <c r="A421" s="250"/>
      <c r="B421" s="133"/>
      <c r="C421" s="133"/>
      <c r="D421" s="133"/>
      <c r="E421" s="133"/>
      <c r="F421" s="133"/>
      <c r="G421" s="133"/>
      <c r="H421" s="133"/>
      <c r="I421" s="133"/>
      <c r="J421" s="133"/>
      <c r="K421" s="133"/>
      <c r="L421" s="133"/>
    </row>
    <row r="422" spans="1:12">
      <c r="A422" s="250"/>
      <c r="B422" s="133"/>
      <c r="C422" s="133"/>
      <c r="D422" s="133"/>
      <c r="E422" s="133"/>
      <c r="F422" s="133"/>
      <c r="G422" s="133"/>
      <c r="H422" s="133"/>
      <c r="I422" s="133"/>
      <c r="J422" s="133"/>
      <c r="K422" s="133"/>
      <c r="L422" s="133"/>
    </row>
    <row r="423" spans="1:12">
      <c r="A423" s="250"/>
      <c r="B423" s="133"/>
      <c r="C423" s="133"/>
      <c r="D423" s="133"/>
      <c r="E423" s="133"/>
      <c r="F423" s="133"/>
      <c r="G423" s="133"/>
      <c r="H423" s="133"/>
      <c r="I423" s="133"/>
      <c r="J423" s="133"/>
      <c r="K423" s="133"/>
      <c r="L423" s="133"/>
    </row>
    <row r="424" spans="1:12">
      <c r="A424" s="250"/>
      <c r="B424" s="133"/>
      <c r="C424" s="133"/>
      <c r="D424" s="133"/>
      <c r="E424" s="133"/>
      <c r="F424" s="133"/>
      <c r="G424" s="133"/>
      <c r="H424" s="133"/>
      <c r="I424" s="133"/>
      <c r="J424" s="133"/>
      <c r="K424" s="133"/>
      <c r="L424" s="133"/>
    </row>
    <row r="425" spans="1:12">
      <c r="A425" s="250"/>
      <c r="B425" s="133"/>
      <c r="C425" s="133"/>
      <c r="D425" s="133"/>
      <c r="E425" s="133"/>
      <c r="F425" s="133"/>
      <c r="G425" s="133"/>
      <c r="H425" s="133"/>
      <c r="I425" s="133"/>
      <c r="J425" s="133"/>
      <c r="K425" s="133"/>
      <c r="L425" s="133"/>
    </row>
    <row r="426" spans="1:12">
      <c r="A426" s="250"/>
      <c r="B426" s="133"/>
      <c r="C426" s="133"/>
      <c r="D426" s="133"/>
      <c r="E426" s="133"/>
      <c r="F426" s="133"/>
      <c r="G426" s="133"/>
      <c r="H426" s="133"/>
      <c r="I426" s="133"/>
      <c r="J426" s="133"/>
      <c r="K426" s="133"/>
      <c r="L426" s="133"/>
    </row>
    <row r="427" spans="1:12">
      <c r="A427" s="250"/>
      <c r="B427" s="133"/>
      <c r="C427" s="133"/>
      <c r="D427" s="133"/>
      <c r="E427" s="133"/>
      <c r="F427" s="133"/>
      <c r="G427" s="133"/>
      <c r="H427" s="133"/>
      <c r="I427" s="133"/>
      <c r="J427" s="133"/>
      <c r="K427" s="133"/>
      <c r="L427" s="133"/>
    </row>
    <row r="428" spans="1:12">
      <c r="A428" s="250"/>
      <c r="B428" s="133"/>
      <c r="C428" s="133"/>
      <c r="D428" s="133"/>
      <c r="E428" s="133"/>
      <c r="F428" s="133"/>
      <c r="G428" s="133"/>
      <c r="H428" s="133"/>
      <c r="I428" s="133"/>
      <c r="J428" s="133"/>
      <c r="K428" s="133"/>
      <c r="L428" s="133"/>
    </row>
    <row r="429" spans="1:12">
      <c r="A429" s="250"/>
      <c r="B429" s="133"/>
      <c r="C429" s="133"/>
      <c r="D429" s="133"/>
      <c r="E429" s="133"/>
      <c r="F429" s="133"/>
      <c r="G429" s="133"/>
      <c r="H429" s="133"/>
      <c r="I429" s="133"/>
      <c r="J429" s="133"/>
      <c r="K429" s="133"/>
      <c r="L429" s="133"/>
    </row>
    <row r="430" spans="1:12">
      <c r="A430" s="250"/>
      <c r="B430" s="133"/>
      <c r="C430" s="133"/>
      <c r="D430" s="133"/>
      <c r="E430" s="133"/>
      <c r="F430" s="133"/>
      <c r="G430" s="133"/>
      <c r="H430" s="133"/>
      <c r="I430" s="133"/>
      <c r="J430" s="133"/>
      <c r="K430" s="133"/>
      <c r="L430" s="133"/>
    </row>
    <row r="431" spans="1:12">
      <c r="A431" s="250"/>
      <c r="B431" s="133"/>
      <c r="C431" s="133"/>
      <c r="D431" s="133"/>
      <c r="E431" s="133"/>
      <c r="F431" s="133"/>
      <c r="G431" s="133"/>
      <c r="H431" s="133"/>
      <c r="I431" s="133"/>
      <c r="J431" s="133"/>
      <c r="K431" s="133"/>
      <c r="L431" s="133"/>
    </row>
    <row r="432" spans="1:12">
      <c r="A432" s="250"/>
      <c r="B432" s="133"/>
      <c r="C432" s="133"/>
      <c r="D432" s="133"/>
      <c r="E432" s="133"/>
      <c r="F432" s="133"/>
      <c r="G432" s="133"/>
      <c r="H432" s="133"/>
      <c r="I432" s="133"/>
      <c r="J432" s="133"/>
      <c r="K432" s="133"/>
      <c r="L432" s="133"/>
    </row>
    <row r="433" spans="1:12">
      <c r="A433" s="250"/>
      <c r="B433" s="133"/>
      <c r="C433" s="133"/>
      <c r="D433" s="133"/>
      <c r="E433" s="133"/>
      <c r="F433" s="133"/>
      <c r="G433" s="133"/>
      <c r="H433" s="133"/>
      <c r="I433" s="133"/>
      <c r="J433" s="133"/>
      <c r="K433" s="133"/>
      <c r="L433" s="133"/>
    </row>
    <row r="434" spans="1:12">
      <c r="A434" s="250"/>
      <c r="B434" s="133"/>
      <c r="C434" s="133"/>
      <c r="D434" s="133"/>
      <c r="E434" s="133"/>
      <c r="F434" s="133"/>
      <c r="G434" s="133"/>
      <c r="H434" s="133"/>
      <c r="I434" s="133"/>
      <c r="J434" s="133"/>
      <c r="K434" s="133"/>
      <c r="L434" s="133"/>
    </row>
    <row r="435" spans="1:12">
      <c r="A435" s="250"/>
      <c r="B435" s="133"/>
      <c r="C435" s="133"/>
      <c r="D435" s="133"/>
      <c r="E435" s="133"/>
      <c r="F435" s="133"/>
      <c r="G435" s="133"/>
      <c r="H435" s="133"/>
      <c r="I435" s="133"/>
      <c r="J435" s="133"/>
      <c r="K435" s="133"/>
      <c r="L435" s="133"/>
    </row>
    <row r="436" spans="1:12">
      <c r="A436" s="250"/>
      <c r="B436" s="133"/>
      <c r="C436" s="133"/>
      <c r="D436" s="133"/>
      <c r="E436" s="133"/>
      <c r="F436" s="133"/>
      <c r="G436" s="133"/>
      <c r="H436" s="133"/>
      <c r="I436" s="133"/>
      <c r="J436" s="133"/>
      <c r="K436" s="133"/>
      <c r="L436" s="133"/>
    </row>
    <row r="437" spans="1:12">
      <c r="A437" s="250"/>
      <c r="B437" s="133"/>
      <c r="C437" s="133"/>
      <c r="D437" s="133"/>
      <c r="E437" s="133"/>
      <c r="F437" s="133"/>
      <c r="G437" s="133"/>
      <c r="H437" s="133"/>
      <c r="I437" s="133"/>
      <c r="J437" s="133"/>
      <c r="K437" s="133"/>
      <c r="L437" s="133"/>
    </row>
    <row r="438" spans="1:12">
      <c r="A438" s="250"/>
      <c r="B438" s="133"/>
      <c r="C438" s="133"/>
      <c r="D438" s="133"/>
      <c r="E438" s="133"/>
      <c r="F438" s="133"/>
      <c r="G438" s="133"/>
      <c r="H438" s="133"/>
      <c r="I438" s="133"/>
      <c r="J438" s="133"/>
      <c r="K438" s="133"/>
      <c r="L438" s="133"/>
    </row>
    <row r="439" spans="1:12">
      <c r="A439" s="250"/>
      <c r="B439" s="133"/>
      <c r="C439" s="133"/>
      <c r="D439" s="133"/>
      <c r="E439" s="133"/>
      <c r="F439" s="133"/>
      <c r="G439" s="133"/>
      <c r="H439" s="133"/>
      <c r="I439" s="133"/>
      <c r="J439" s="133"/>
      <c r="K439" s="133"/>
      <c r="L439" s="133"/>
    </row>
    <row r="440" spans="1:12">
      <c r="A440" s="250"/>
      <c r="B440" s="133"/>
      <c r="C440" s="133"/>
      <c r="D440" s="133"/>
      <c r="E440" s="133"/>
      <c r="F440" s="133"/>
      <c r="G440" s="133"/>
      <c r="H440" s="133"/>
      <c r="I440" s="133"/>
      <c r="J440" s="133"/>
      <c r="K440" s="133"/>
      <c r="L440" s="133"/>
    </row>
    <row r="441" spans="1:12">
      <c r="A441" s="250"/>
      <c r="B441" s="133"/>
      <c r="C441" s="133"/>
      <c r="D441" s="133"/>
      <c r="E441" s="133"/>
      <c r="F441" s="133"/>
      <c r="G441" s="133"/>
      <c r="H441" s="133"/>
      <c r="I441" s="133"/>
      <c r="J441" s="133"/>
      <c r="K441" s="133"/>
      <c r="L441" s="133"/>
    </row>
    <row r="442" spans="1:12">
      <c r="A442" s="250"/>
      <c r="B442" s="133"/>
      <c r="C442" s="133"/>
      <c r="D442" s="133"/>
      <c r="E442" s="133"/>
      <c r="F442" s="133"/>
      <c r="G442" s="133"/>
      <c r="H442" s="133"/>
      <c r="I442" s="133"/>
      <c r="J442" s="133"/>
      <c r="K442" s="133"/>
      <c r="L442" s="133"/>
    </row>
    <row r="443" spans="1:12">
      <c r="A443" s="250"/>
      <c r="B443" s="133"/>
      <c r="C443" s="133"/>
      <c r="D443" s="133"/>
      <c r="E443" s="133"/>
      <c r="F443" s="133"/>
      <c r="G443" s="133"/>
      <c r="H443" s="133"/>
      <c r="I443" s="133"/>
      <c r="J443" s="133"/>
      <c r="K443" s="133"/>
      <c r="L443" s="133"/>
    </row>
    <row r="444" spans="1:12">
      <c r="A444" s="250"/>
      <c r="B444" s="133"/>
      <c r="C444" s="133"/>
      <c r="D444" s="133"/>
      <c r="E444" s="133"/>
      <c r="F444" s="133"/>
      <c r="G444" s="133"/>
      <c r="H444" s="133"/>
      <c r="I444" s="133"/>
      <c r="J444" s="133"/>
      <c r="K444" s="133"/>
      <c r="L444" s="133"/>
    </row>
    <row r="445" spans="1:12">
      <c r="A445" s="250"/>
      <c r="B445" s="133"/>
      <c r="C445" s="133"/>
      <c r="D445" s="133"/>
      <c r="E445" s="133"/>
      <c r="F445" s="133"/>
      <c r="G445" s="133"/>
      <c r="H445" s="133"/>
      <c r="I445" s="133"/>
      <c r="J445" s="133"/>
      <c r="K445" s="133"/>
      <c r="L445" s="133"/>
    </row>
    <row r="446" spans="1:12">
      <c r="A446" s="250"/>
      <c r="B446" s="133"/>
      <c r="C446" s="133"/>
      <c r="D446" s="133"/>
      <c r="E446" s="133"/>
      <c r="F446" s="133"/>
      <c r="G446" s="133"/>
      <c r="H446" s="133"/>
      <c r="I446" s="133"/>
      <c r="J446" s="133"/>
      <c r="K446" s="133"/>
      <c r="L446" s="133"/>
    </row>
    <row r="447" spans="1:12">
      <c r="A447" s="250"/>
      <c r="B447" s="133"/>
      <c r="C447" s="133"/>
      <c r="D447" s="133"/>
      <c r="E447" s="133"/>
      <c r="F447" s="133"/>
      <c r="G447" s="133"/>
      <c r="H447" s="133"/>
      <c r="I447" s="133"/>
      <c r="J447" s="133"/>
      <c r="K447" s="133"/>
      <c r="L447" s="133"/>
    </row>
    <row r="448" spans="1:12">
      <c r="A448" s="250"/>
      <c r="B448" s="133"/>
      <c r="C448" s="133"/>
      <c r="D448" s="133"/>
      <c r="E448" s="133"/>
      <c r="F448" s="133"/>
      <c r="G448" s="133"/>
      <c r="H448" s="133"/>
      <c r="I448" s="133"/>
      <c r="J448" s="133"/>
      <c r="K448" s="133"/>
      <c r="L448" s="133"/>
    </row>
    <row r="449" spans="1:12">
      <c r="A449" s="250"/>
      <c r="B449" s="133"/>
      <c r="C449" s="133"/>
      <c r="D449" s="133"/>
      <c r="E449" s="133"/>
      <c r="F449" s="133"/>
      <c r="G449" s="133"/>
      <c r="H449" s="133"/>
      <c r="I449" s="133"/>
      <c r="J449" s="133"/>
      <c r="K449" s="133"/>
      <c r="L449" s="133"/>
    </row>
    <row r="450" spans="1:12">
      <c r="A450" s="250"/>
      <c r="B450" s="133"/>
      <c r="C450" s="133"/>
      <c r="D450" s="133"/>
      <c r="E450" s="133"/>
      <c r="F450" s="133"/>
      <c r="G450" s="133"/>
      <c r="H450" s="133"/>
      <c r="I450" s="133"/>
      <c r="J450" s="133"/>
      <c r="K450" s="133"/>
      <c r="L450" s="133"/>
    </row>
    <row r="451" spans="1:12">
      <c r="A451" s="250"/>
      <c r="B451" s="133"/>
      <c r="C451" s="133"/>
      <c r="D451" s="133"/>
      <c r="E451" s="133"/>
      <c r="F451" s="133"/>
      <c r="G451" s="133"/>
      <c r="H451" s="133"/>
      <c r="I451" s="133"/>
      <c r="J451" s="133"/>
      <c r="K451" s="133"/>
      <c r="L451" s="133"/>
    </row>
    <row r="452" spans="1:12">
      <c r="A452" s="250"/>
      <c r="B452" s="133"/>
      <c r="C452" s="133"/>
      <c r="D452" s="133"/>
      <c r="E452" s="133"/>
      <c r="F452" s="133"/>
      <c r="G452" s="133"/>
      <c r="H452" s="133"/>
      <c r="I452" s="133"/>
      <c r="J452" s="133"/>
      <c r="K452" s="133"/>
      <c r="L452" s="133"/>
    </row>
    <row r="453" spans="1:12">
      <c r="A453" s="250"/>
      <c r="B453" s="133"/>
      <c r="C453" s="133"/>
      <c r="D453" s="133"/>
      <c r="E453" s="133"/>
      <c r="F453" s="133"/>
      <c r="G453" s="133"/>
      <c r="H453" s="133"/>
      <c r="I453" s="133"/>
      <c r="J453" s="133"/>
      <c r="K453" s="133"/>
      <c r="L453" s="133"/>
    </row>
    <row r="454" spans="1:12">
      <c r="A454" s="250"/>
      <c r="B454" s="133"/>
      <c r="C454" s="133"/>
      <c r="D454" s="133"/>
      <c r="E454" s="133"/>
      <c r="F454" s="133"/>
      <c r="G454" s="133"/>
      <c r="H454" s="133"/>
      <c r="I454" s="133"/>
      <c r="J454" s="133"/>
      <c r="K454" s="133"/>
      <c r="L454" s="133"/>
    </row>
    <row r="455" spans="1:12">
      <c r="A455" s="250"/>
      <c r="B455" s="133"/>
      <c r="C455" s="133"/>
      <c r="D455" s="133"/>
      <c r="E455" s="133"/>
      <c r="F455" s="133"/>
      <c r="G455" s="133"/>
      <c r="H455" s="133"/>
      <c r="I455" s="133"/>
      <c r="J455" s="133"/>
      <c r="K455" s="133"/>
      <c r="L455" s="133"/>
    </row>
    <row r="456" spans="1:12">
      <c r="A456" s="250"/>
      <c r="B456" s="133"/>
      <c r="C456" s="133"/>
      <c r="D456" s="133"/>
      <c r="E456" s="133"/>
      <c r="F456" s="133"/>
      <c r="G456" s="133"/>
      <c r="H456" s="133"/>
      <c r="I456" s="133"/>
      <c r="J456" s="133"/>
      <c r="K456" s="133"/>
      <c r="L456" s="133"/>
    </row>
    <row r="457" spans="1:12">
      <c r="A457" s="250"/>
      <c r="B457" s="133"/>
      <c r="C457" s="133"/>
      <c r="D457" s="133"/>
      <c r="E457" s="133"/>
      <c r="F457" s="133"/>
      <c r="G457" s="133"/>
      <c r="H457" s="133"/>
      <c r="I457" s="133"/>
      <c r="J457" s="133"/>
      <c r="K457" s="133"/>
      <c r="L457" s="133"/>
    </row>
    <row r="458" spans="1:12">
      <c r="A458" s="250"/>
      <c r="B458" s="133"/>
      <c r="C458" s="133"/>
      <c r="D458" s="133"/>
      <c r="E458" s="133"/>
      <c r="F458" s="133"/>
      <c r="G458" s="133"/>
      <c r="H458" s="133"/>
      <c r="I458" s="133"/>
      <c r="J458" s="133"/>
      <c r="K458" s="133"/>
      <c r="L458" s="133"/>
    </row>
    <row r="459" spans="1:12">
      <c r="A459" s="250"/>
      <c r="B459" s="133"/>
      <c r="C459" s="133"/>
      <c r="D459" s="133"/>
      <c r="E459" s="133"/>
      <c r="F459" s="133"/>
      <c r="G459" s="133"/>
      <c r="H459" s="133"/>
      <c r="I459" s="133"/>
      <c r="J459" s="133"/>
      <c r="K459" s="133"/>
      <c r="L459" s="133"/>
    </row>
    <row r="460" spans="1:12">
      <c r="A460" s="250"/>
      <c r="B460" s="133"/>
      <c r="C460" s="133"/>
      <c r="D460" s="133"/>
      <c r="E460" s="133"/>
      <c r="F460" s="133"/>
      <c r="G460" s="133"/>
      <c r="H460" s="133"/>
      <c r="I460" s="133"/>
      <c r="J460" s="133"/>
      <c r="K460" s="133"/>
      <c r="L460" s="133"/>
    </row>
    <row r="461" spans="1:12">
      <c r="A461" s="250"/>
      <c r="B461" s="133"/>
      <c r="C461" s="133"/>
      <c r="D461" s="133"/>
      <c r="E461" s="133"/>
      <c r="F461" s="133"/>
      <c r="G461" s="133"/>
      <c r="H461" s="133"/>
      <c r="I461" s="133"/>
      <c r="J461" s="133"/>
      <c r="K461" s="133"/>
      <c r="L461" s="133"/>
    </row>
    <row r="462" spans="1:12">
      <c r="A462" s="250"/>
      <c r="B462" s="133"/>
      <c r="C462" s="133"/>
      <c r="D462" s="133"/>
      <c r="E462" s="133"/>
      <c r="F462" s="133"/>
      <c r="G462" s="133"/>
      <c r="H462" s="133"/>
      <c r="I462" s="133"/>
      <c r="J462" s="133"/>
      <c r="K462" s="133"/>
      <c r="L462" s="133"/>
    </row>
    <row r="463" spans="1:12">
      <c r="A463" s="250"/>
      <c r="B463" s="133"/>
      <c r="C463" s="133"/>
      <c r="D463" s="133"/>
      <c r="E463" s="133"/>
      <c r="F463" s="133"/>
      <c r="G463" s="133"/>
      <c r="H463" s="133"/>
      <c r="I463" s="133"/>
      <c r="J463" s="133"/>
      <c r="K463" s="133"/>
      <c r="L463" s="133"/>
    </row>
    <row r="464" spans="1:12">
      <c r="A464" s="250"/>
      <c r="B464" s="133"/>
      <c r="C464" s="133"/>
      <c r="D464" s="133"/>
      <c r="E464" s="133"/>
      <c r="F464" s="133"/>
      <c r="G464" s="133"/>
      <c r="H464" s="133"/>
      <c r="I464" s="133"/>
      <c r="J464" s="133"/>
      <c r="K464" s="133"/>
      <c r="L464" s="133"/>
    </row>
    <row r="465" spans="1:12">
      <c r="A465" s="250"/>
      <c r="B465" s="133"/>
      <c r="C465" s="133"/>
      <c r="D465" s="133"/>
      <c r="E465" s="133"/>
      <c r="F465" s="133"/>
      <c r="G465" s="133"/>
      <c r="H465" s="133"/>
      <c r="I465" s="133"/>
      <c r="J465" s="133"/>
      <c r="K465" s="133"/>
      <c r="L465" s="133"/>
    </row>
    <row r="466" spans="1:12">
      <c r="A466" s="250"/>
      <c r="B466" s="133"/>
      <c r="C466" s="133"/>
      <c r="D466" s="133"/>
      <c r="E466" s="133"/>
      <c r="F466" s="133"/>
      <c r="G466" s="133"/>
      <c r="H466" s="133"/>
      <c r="I466" s="133"/>
      <c r="J466" s="133"/>
      <c r="K466" s="133"/>
      <c r="L466" s="133"/>
    </row>
    <row r="467" spans="1:12">
      <c r="A467" s="250"/>
      <c r="B467" s="133"/>
      <c r="C467" s="133"/>
      <c r="D467" s="133"/>
      <c r="E467" s="133"/>
      <c r="F467" s="133"/>
      <c r="G467" s="133"/>
      <c r="H467" s="133"/>
      <c r="I467" s="133"/>
      <c r="J467" s="133"/>
      <c r="K467" s="133"/>
      <c r="L467" s="133"/>
    </row>
    <row r="468" spans="1:12">
      <c r="A468" s="250"/>
      <c r="B468" s="133"/>
      <c r="C468" s="133"/>
      <c r="D468" s="133"/>
      <c r="E468" s="133"/>
      <c r="F468" s="133"/>
      <c r="G468" s="133"/>
      <c r="H468" s="133"/>
      <c r="I468" s="133"/>
      <c r="J468" s="133"/>
      <c r="K468" s="133"/>
      <c r="L468" s="133"/>
    </row>
    <row r="469" spans="1:12">
      <c r="A469" s="250"/>
      <c r="B469" s="133"/>
      <c r="C469" s="133"/>
      <c r="D469" s="133"/>
      <c r="E469" s="133"/>
      <c r="F469" s="133"/>
      <c r="G469" s="133"/>
      <c r="H469" s="133"/>
      <c r="I469" s="133"/>
      <c r="J469" s="133"/>
      <c r="K469" s="133"/>
      <c r="L469" s="133"/>
    </row>
    <row r="470" spans="1:12">
      <c r="A470" s="250"/>
      <c r="B470" s="133"/>
      <c r="C470" s="133"/>
      <c r="D470" s="133"/>
      <c r="E470" s="133"/>
      <c r="F470" s="133"/>
      <c r="G470" s="133"/>
      <c r="H470" s="133"/>
      <c r="I470" s="133"/>
      <c r="J470" s="133"/>
      <c r="K470" s="133"/>
      <c r="L470" s="133"/>
    </row>
    <row r="471" spans="1:12">
      <c r="A471" s="250"/>
      <c r="B471" s="133"/>
      <c r="C471" s="133"/>
      <c r="D471" s="133"/>
      <c r="E471" s="133"/>
      <c r="F471" s="133"/>
      <c r="G471" s="133"/>
      <c r="H471" s="133"/>
      <c r="I471" s="133"/>
      <c r="J471" s="133"/>
      <c r="K471" s="133"/>
      <c r="L471" s="133"/>
    </row>
    <row r="472" spans="1:12">
      <c r="A472" s="250"/>
      <c r="B472" s="133"/>
      <c r="C472" s="133"/>
      <c r="D472" s="133"/>
      <c r="E472" s="133"/>
      <c r="F472" s="133"/>
      <c r="G472" s="133"/>
      <c r="H472" s="133"/>
      <c r="I472" s="133"/>
      <c r="J472" s="133"/>
      <c r="K472" s="133"/>
      <c r="L472" s="133"/>
    </row>
    <row r="473" spans="1:12">
      <c r="A473" s="250"/>
      <c r="B473" s="133"/>
      <c r="C473" s="133"/>
      <c r="D473" s="133"/>
      <c r="E473" s="133"/>
      <c r="F473" s="133"/>
      <c r="G473" s="133"/>
      <c r="H473" s="133"/>
      <c r="I473" s="133"/>
      <c r="J473" s="133"/>
      <c r="K473" s="133"/>
      <c r="L473" s="133"/>
    </row>
    <row r="474" spans="1:12">
      <c r="A474" s="250"/>
      <c r="B474" s="133"/>
      <c r="C474" s="133"/>
      <c r="D474" s="133"/>
      <c r="E474" s="133"/>
      <c r="F474" s="133"/>
      <c r="G474" s="133"/>
      <c r="H474" s="133"/>
      <c r="I474" s="133"/>
      <c r="J474" s="133"/>
      <c r="K474" s="133"/>
      <c r="L474" s="133"/>
    </row>
    <row r="475" spans="1:12">
      <c r="A475" s="250"/>
      <c r="B475" s="133"/>
      <c r="C475" s="133"/>
      <c r="D475" s="133"/>
      <c r="E475" s="133"/>
      <c r="F475" s="133"/>
      <c r="G475" s="133"/>
      <c r="H475" s="133"/>
      <c r="I475" s="133"/>
      <c r="J475" s="133"/>
      <c r="K475" s="133"/>
      <c r="L475" s="133"/>
    </row>
    <row r="476" spans="1:12">
      <c r="A476" s="250"/>
      <c r="B476" s="133"/>
      <c r="C476" s="133"/>
      <c r="D476" s="133"/>
      <c r="E476" s="133"/>
      <c r="F476" s="133"/>
      <c r="G476" s="133"/>
      <c r="H476" s="133"/>
      <c r="I476" s="133"/>
      <c r="J476" s="133"/>
      <c r="K476" s="133"/>
      <c r="L476" s="133"/>
    </row>
    <row r="477" spans="1:12">
      <c r="A477" s="250"/>
      <c r="B477" s="133"/>
      <c r="C477" s="133"/>
      <c r="D477" s="133"/>
      <c r="E477" s="133"/>
      <c r="F477" s="133"/>
      <c r="G477" s="133"/>
      <c r="H477" s="133"/>
      <c r="I477" s="133"/>
      <c r="J477" s="133"/>
      <c r="K477" s="133"/>
      <c r="L477" s="133"/>
    </row>
    <row r="478" spans="1:12">
      <c r="A478" s="250"/>
      <c r="B478" s="133"/>
      <c r="C478" s="133"/>
      <c r="D478" s="133"/>
      <c r="E478" s="133"/>
      <c r="F478" s="133"/>
      <c r="G478" s="133"/>
      <c r="H478" s="133"/>
      <c r="I478" s="133"/>
      <c r="J478" s="133"/>
      <c r="K478" s="133"/>
      <c r="L478" s="133"/>
    </row>
    <row r="479" spans="1:12">
      <c r="A479" s="250"/>
      <c r="B479" s="133"/>
      <c r="C479" s="133"/>
      <c r="D479" s="133"/>
      <c r="E479" s="133"/>
      <c r="F479" s="133"/>
      <c r="G479" s="133"/>
      <c r="H479" s="133"/>
      <c r="I479" s="133"/>
      <c r="J479" s="133"/>
      <c r="K479" s="133"/>
      <c r="L479" s="133"/>
    </row>
    <row r="480" spans="1:12">
      <c r="A480" s="250"/>
      <c r="B480" s="133"/>
      <c r="C480" s="133"/>
      <c r="D480" s="133"/>
      <c r="E480" s="133"/>
      <c r="F480" s="133"/>
      <c r="G480" s="133"/>
      <c r="H480" s="133"/>
      <c r="I480" s="133"/>
      <c r="J480" s="133"/>
      <c r="K480" s="133"/>
      <c r="L480" s="133"/>
    </row>
    <row r="481" spans="1:12">
      <c r="A481" s="250"/>
      <c r="B481" s="133"/>
      <c r="C481" s="133"/>
      <c r="D481" s="133"/>
      <c r="E481" s="133"/>
      <c r="F481" s="133"/>
      <c r="G481" s="133"/>
      <c r="H481" s="133"/>
      <c r="I481" s="133"/>
      <c r="J481" s="133"/>
      <c r="K481" s="133"/>
      <c r="L481" s="133"/>
    </row>
    <row r="482" spans="1:12">
      <c r="A482" s="250"/>
      <c r="B482" s="133"/>
      <c r="C482" s="133"/>
      <c r="D482" s="133"/>
      <c r="E482" s="133"/>
      <c r="F482" s="133"/>
      <c r="G482" s="133"/>
      <c r="H482" s="133"/>
      <c r="I482" s="133"/>
      <c r="J482" s="133"/>
      <c r="K482" s="133"/>
      <c r="L482" s="133"/>
    </row>
    <row r="483" spans="1:12">
      <c r="A483" s="250"/>
      <c r="B483" s="133"/>
      <c r="C483" s="133"/>
      <c r="D483" s="133"/>
      <c r="E483" s="133"/>
      <c r="F483" s="133"/>
      <c r="G483" s="133"/>
      <c r="H483" s="133"/>
      <c r="I483" s="133"/>
      <c r="J483" s="133"/>
      <c r="K483" s="133"/>
      <c r="L483" s="133"/>
    </row>
    <row r="484" spans="1:12">
      <c r="A484" s="250"/>
      <c r="B484" s="133"/>
      <c r="C484" s="133"/>
      <c r="D484" s="133"/>
      <c r="E484" s="133"/>
      <c r="F484" s="133"/>
      <c r="G484" s="133"/>
      <c r="H484" s="133"/>
      <c r="I484" s="133"/>
      <c r="J484" s="133"/>
      <c r="K484" s="133"/>
      <c r="L484" s="133"/>
    </row>
    <row r="485" spans="1:12">
      <c r="A485" s="250"/>
      <c r="B485" s="133"/>
      <c r="C485" s="133"/>
      <c r="D485" s="133"/>
      <c r="E485" s="133"/>
      <c r="F485" s="133"/>
      <c r="G485" s="133"/>
      <c r="H485" s="133"/>
      <c r="I485" s="133"/>
      <c r="J485" s="133"/>
      <c r="K485" s="133"/>
      <c r="L485" s="133"/>
    </row>
    <row r="486" spans="1:12">
      <c r="A486" s="250"/>
      <c r="B486" s="133"/>
      <c r="C486" s="133"/>
      <c r="D486" s="133"/>
      <c r="E486" s="133"/>
      <c r="F486" s="133"/>
      <c r="G486" s="133"/>
      <c r="H486" s="133"/>
      <c r="I486" s="133"/>
      <c r="J486" s="133"/>
      <c r="K486" s="133"/>
      <c r="L486" s="133"/>
    </row>
    <row r="487" spans="1:12">
      <c r="A487" s="250"/>
      <c r="B487" s="133"/>
      <c r="C487" s="133"/>
      <c r="D487" s="133"/>
      <c r="E487" s="133"/>
      <c r="F487" s="133"/>
      <c r="G487" s="133"/>
      <c r="H487" s="133"/>
      <c r="I487" s="133"/>
      <c r="J487" s="133"/>
      <c r="K487" s="133"/>
      <c r="L487" s="133"/>
    </row>
    <row r="488" spans="1:12">
      <c r="A488" s="250"/>
      <c r="B488" s="133"/>
      <c r="C488" s="133"/>
      <c r="D488" s="133"/>
      <c r="E488" s="133"/>
      <c r="F488" s="133"/>
      <c r="G488" s="133"/>
      <c r="H488" s="133"/>
      <c r="I488" s="133"/>
      <c r="J488" s="133"/>
      <c r="K488" s="133"/>
      <c r="L488" s="133"/>
    </row>
    <row r="489" spans="1:12">
      <c r="A489" s="250"/>
      <c r="B489" s="133"/>
      <c r="C489" s="133"/>
      <c r="D489" s="133"/>
      <c r="E489" s="133"/>
      <c r="F489" s="133"/>
      <c r="G489" s="133"/>
      <c r="H489" s="133"/>
      <c r="I489" s="133"/>
      <c r="J489" s="133"/>
      <c r="K489" s="133"/>
      <c r="L489" s="133"/>
    </row>
    <row r="490" spans="1:12">
      <c r="A490" s="250"/>
      <c r="B490" s="133"/>
      <c r="C490" s="133"/>
      <c r="D490" s="133"/>
      <c r="E490" s="133"/>
      <c r="F490" s="133"/>
      <c r="G490" s="133"/>
      <c r="H490" s="133"/>
      <c r="I490" s="133"/>
      <c r="J490" s="133"/>
      <c r="K490" s="133"/>
      <c r="L490" s="133"/>
    </row>
    <row r="491" spans="1:12">
      <c r="A491" s="250"/>
      <c r="B491" s="133"/>
      <c r="C491" s="133"/>
      <c r="D491" s="133"/>
      <c r="E491" s="133"/>
      <c r="F491" s="133"/>
      <c r="G491" s="133"/>
      <c r="H491" s="133"/>
      <c r="I491" s="133"/>
      <c r="J491" s="133"/>
      <c r="K491" s="133"/>
      <c r="L491" s="133"/>
    </row>
    <row r="492" spans="1:12">
      <c r="A492" s="250"/>
      <c r="B492" s="133"/>
      <c r="C492" s="133"/>
      <c r="D492" s="133"/>
      <c r="E492" s="133"/>
      <c r="F492" s="133"/>
      <c r="G492" s="133"/>
      <c r="H492" s="133"/>
      <c r="I492" s="133"/>
      <c r="J492" s="133"/>
      <c r="K492" s="133"/>
      <c r="L492" s="133"/>
    </row>
    <row r="493" spans="1:12">
      <c r="A493" s="250"/>
      <c r="B493" s="133"/>
      <c r="C493" s="133"/>
      <c r="D493" s="133"/>
      <c r="E493" s="133"/>
      <c r="F493" s="133"/>
      <c r="G493" s="133"/>
      <c r="H493" s="133"/>
      <c r="I493" s="133"/>
      <c r="J493" s="133"/>
      <c r="K493" s="133"/>
      <c r="L493" s="133"/>
    </row>
    <row r="494" spans="1:12">
      <c r="A494" s="250"/>
      <c r="B494" s="133"/>
      <c r="C494" s="133"/>
      <c r="D494" s="133"/>
      <c r="E494" s="133"/>
      <c r="F494" s="133"/>
      <c r="G494" s="133"/>
      <c r="H494" s="133"/>
      <c r="I494" s="133"/>
      <c r="J494" s="133"/>
      <c r="K494" s="133"/>
      <c r="L494" s="133"/>
    </row>
    <row r="495" spans="1:12">
      <c r="A495" s="250"/>
      <c r="B495" s="133"/>
      <c r="C495" s="133"/>
      <c r="D495" s="133"/>
      <c r="E495" s="133"/>
      <c r="F495" s="133"/>
      <c r="G495" s="133"/>
      <c r="H495" s="133"/>
      <c r="I495" s="133"/>
      <c r="J495" s="133"/>
      <c r="K495" s="133"/>
      <c r="L495" s="133"/>
    </row>
    <row r="496" spans="1:12">
      <c r="A496" s="250"/>
      <c r="B496" s="133"/>
      <c r="C496" s="133"/>
      <c r="D496" s="133"/>
      <c r="E496" s="133"/>
      <c r="F496" s="133"/>
      <c r="G496" s="133"/>
      <c r="H496" s="133"/>
      <c r="I496" s="133"/>
      <c r="J496" s="133"/>
      <c r="K496" s="133"/>
      <c r="L496" s="133"/>
    </row>
    <row r="497" spans="1:12">
      <c r="A497" s="250"/>
      <c r="B497" s="133"/>
      <c r="C497" s="133"/>
      <c r="D497" s="133"/>
      <c r="E497" s="133"/>
      <c r="F497" s="133"/>
      <c r="G497" s="133"/>
      <c r="H497" s="133"/>
      <c r="I497" s="133"/>
      <c r="J497" s="133"/>
      <c r="K497" s="133"/>
      <c r="L497" s="133"/>
    </row>
    <row r="498" spans="1:12">
      <c r="A498" s="250"/>
      <c r="B498" s="133"/>
      <c r="C498" s="133"/>
      <c r="D498" s="133"/>
      <c r="E498" s="133"/>
      <c r="F498" s="133"/>
      <c r="G498" s="133"/>
      <c r="H498" s="133"/>
      <c r="I498" s="133"/>
      <c r="J498" s="133"/>
      <c r="K498" s="133"/>
      <c r="L498" s="133"/>
    </row>
    <row r="499" spans="1:12">
      <c r="A499" s="250"/>
      <c r="B499" s="133"/>
      <c r="C499" s="133"/>
      <c r="D499" s="133"/>
      <c r="E499" s="133"/>
      <c r="F499" s="133"/>
      <c r="G499" s="133"/>
      <c r="H499" s="133"/>
      <c r="I499" s="133"/>
      <c r="J499" s="133"/>
      <c r="K499" s="133"/>
      <c r="L499" s="133"/>
    </row>
    <row r="500" spans="1:12">
      <c r="A500" s="250"/>
      <c r="B500" s="133"/>
      <c r="C500" s="133"/>
      <c r="D500" s="133"/>
      <c r="E500" s="133"/>
      <c r="F500" s="133"/>
      <c r="G500" s="133"/>
      <c r="H500" s="133"/>
      <c r="I500" s="133"/>
      <c r="J500" s="133"/>
      <c r="K500" s="133"/>
      <c r="L500" s="133"/>
    </row>
    <row r="501" spans="1:12">
      <c r="A501" s="250"/>
      <c r="B501" s="133"/>
      <c r="C501" s="133"/>
      <c r="D501" s="133"/>
      <c r="E501" s="133"/>
      <c r="F501" s="133"/>
      <c r="G501" s="133"/>
      <c r="H501" s="133"/>
      <c r="I501" s="133"/>
      <c r="J501" s="133"/>
      <c r="K501" s="133"/>
      <c r="L501" s="133"/>
    </row>
    <row r="502" spans="1:12">
      <c r="A502" s="250"/>
      <c r="B502" s="133"/>
      <c r="C502" s="133"/>
      <c r="D502" s="133"/>
      <c r="E502" s="133"/>
      <c r="F502" s="133"/>
      <c r="G502" s="133"/>
      <c r="H502" s="133"/>
      <c r="I502" s="133"/>
      <c r="J502" s="133"/>
      <c r="K502" s="133"/>
      <c r="L502" s="133"/>
    </row>
    <row r="503" spans="1:12">
      <c r="A503" s="250"/>
      <c r="B503" s="133"/>
      <c r="C503" s="133"/>
      <c r="D503" s="133"/>
      <c r="E503" s="133"/>
      <c r="F503" s="133"/>
      <c r="G503" s="133"/>
      <c r="H503" s="133"/>
      <c r="I503" s="133"/>
      <c r="J503" s="133"/>
      <c r="K503" s="133"/>
      <c r="L503" s="133"/>
    </row>
    <row r="504" spans="1:12">
      <c r="A504" s="250"/>
      <c r="B504" s="133"/>
      <c r="C504" s="133"/>
      <c r="D504" s="133"/>
      <c r="E504" s="133"/>
      <c r="F504" s="133"/>
      <c r="G504" s="133"/>
      <c r="H504" s="133"/>
      <c r="I504" s="133"/>
      <c r="J504" s="133"/>
      <c r="K504" s="133"/>
      <c r="L504" s="133"/>
    </row>
    <row r="505" spans="1:12">
      <c r="A505" s="250"/>
      <c r="B505" s="133"/>
      <c r="C505" s="133"/>
      <c r="D505" s="133"/>
      <c r="E505" s="133"/>
      <c r="F505" s="133"/>
      <c r="G505" s="133"/>
      <c r="H505" s="133"/>
      <c r="I505" s="133"/>
      <c r="J505" s="133"/>
      <c r="K505" s="133"/>
      <c r="L505" s="133"/>
    </row>
    <row r="506" spans="1:12">
      <c r="A506" s="250"/>
      <c r="B506" s="133"/>
      <c r="C506" s="133"/>
      <c r="D506" s="133"/>
      <c r="E506" s="133"/>
      <c r="F506" s="133"/>
      <c r="G506" s="133"/>
      <c r="H506" s="133"/>
      <c r="I506" s="133"/>
      <c r="J506" s="133"/>
      <c r="K506" s="133"/>
      <c r="L506" s="133"/>
    </row>
    <row r="507" spans="1:12">
      <c r="A507" s="250"/>
      <c r="B507" s="133"/>
      <c r="C507" s="133"/>
      <c r="D507" s="133"/>
      <c r="E507" s="133"/>
      <c r="F507" s="133"/>
      <c r="G507" s="133"/>
      <c r="H507" s="133"/>
      <c r="I507" s="133"/>
      <c r="J507" s="133"/>
      <c r="K507" s="133"/>
      <c r="L507" s="133"/>
    </row>
    <row r="508" spans="1:12">
      <c r="A508" s="250"/>
      <c r="B508" s="133"/>
      <c r="C508" s="133"/>
      <c r="D508" s="133"/>
      <c r="E508" s="133"/>
      <c r="F508" s="133"/>
      <c r="G508" s="133"/>
      <c r="H508" s="133"/>
      <c r="I508" s="133"/>
      <c r="J508" s="133"/>
      <c r="K508" s="133"/>
      <c r="L508" s="133"/>
    </row>
    <row r="509" spans="1:12">
      <c r="A509" s="250"/>
      <c r="B509" s="133"/>
      <c r="C509" s="133"/>
      <c r="D509" s="133"/>
      <c r="E509" s="133"/>
      <c r="F509" s="133"/>
      <c r="G509" s="133"/>
      <c r="H509" s="133"/>
      <c r="I509" s="133"/>
      <c r="J509" s="133"/>
      <c r="K509" s="133"/>
      <c r="L509" s="133"/>
    </row>
    <row r="510" spans="1:12">
      <c r="A510" s="250"/>
      <c r="B510" s="133"/>
      <c r="C510" s="133"/>
      <c r="D510" s="133"/>
      <c r="E510" s="133"/>
      <c r="F510" s="133"/>
      <c r="G510" s="133"/>
      <c r="H510" s="133"/>
      <c r="I510" s="133"/>
      <c r="J510" s="133"/>
      <c r="K510" s="133"/>
      <c r="L510" s="133"/>
    </row>
    <row r="511" spans="1:12">
      <c r="A511" s="250"/>
      <c r="B511" s="133"/>
      <c r="C511" s="133"/>
      <c r="D511" s="133"/>
      <c r="E511" s="133"/>
      <c r="F511" s="133"/>
      <c r="G511" s="133"/>
      <c r="H511" s="133"/>
      <c r="I511" s="133"/>
      <c r="J511" s="133"/>
      <c r="K511" s="133"/>
      <c r="L511" s="133"/>
    </row>
    <row r="512" spans="1:12">
      <c r="A512" s="250"/>
      <c r="B512" s="133"/>
      <c r="C512" s="133"/>
      <c r="D512" s="133"/>
      <c r="E512" s="133"/>
      <c r="F512" s="133"/>
      <c r="G512" s="133"/>
      <c r="H512" s="133"/>
      <c r="I512" s="133"/>
      <c r="J512" s="133"/>
      <c r="K512" s="133"/>
      <c r="L512" s="133"/>
    </row>
    <row r="513" spans="1:12">
      <c r="A513" s="250"/>
      <c r="B513" s="133"/>
      <c r="C513" s="133"/>
      <c r="D513" s="133"/>
      <c r="E513" s="133"/>
      <c r="F513" s="133"/>
      <c r="G513" s="133"/>
      <c r="H513" s="133"/>
      <c r="I513" s="133"/>
      <c r="J513" s="133"/>
      <c r="K513" s="133"/>
      <c r="L513" s="133"/>
    </row>
    <row r="514" spans="1:12">
      <c r="A514" s="250"/>
      <c r="B514" s="133"/>
      <c r="C514" s="133"/>
      <c r="D514" s="133"/>
      <c r="E514" s="133"/>
      <c r="F514" s="133"/>
      <c r="G514" s="133"/>
      <c r="H514" s="133"/>
      <c r="I514" s="133"/>
      <c r="J514" s="133"/>
      <c r="K514" s="133"/>
      <c r="L514" s="133"/>
    </row>
    <row r="515" spans="1:12">
      <c r="A515" s="250"/>
      <c r="B515" s="133"/>
      <c r="C515" s="133"/>
      <c r="D515" s="133"/>
      <c r="E515" s="133"/>
      <c r="F515" s="133"/>
      <c r="G515" s="133"/>
      <c r="H515" s="133"/>
      <c r="I515" s="133"/>
      <c r="J515" s="133"/>
      <c r="K515" s="133"/>
      <c r="L515" s="133"/>
    </row>
    <row r="516" spans="1:12">
      <c r="A516" s="250"/>
      <c r="B516" s="133"/>
      <c r="C516" s="133"/>
      <c r="D516" s="133"/>
      <c r="E516" s="133"/>
      <c r="F516" s="133"/>
      <c r="G516" s="133"/>
      <c r="H516" s="133"/>
      <c r="I516" s="133"/>
      <c r="J516" s="133"/>
      <c r="K516" s="133"/>
      <c r="L516" s="133"/>
    </row>
    <row r="517" spans="1:12">
      <c r="A517" s="250"/>
      <c r="B517" s="133"/>
      <c r="C517" s="133"/>
      <c r="D517" s="133"/>
      <c r="E517" s="133"/>
      <c r="F517" s="133"/>
      <c r="G517" s="133"/>
      <c r="H517" s="133"/>
      <c r="I517" s="133"/>
      <c r="J517" s="133"/>
      <c r="K517" s="133"/>
      <c r="L517" s="133"/>
    </row>
    <row r="518" spans="1:12">
      <c r="A518" s="250"/>
      <c r="B518" s="133"/>
      <c r="C518" s="133"/>
      <c r="D518" s="133"/>
      <c r="E518" s="133"/>
      <c r="F518" s="133"/>
      <c r="G518" s="133"/>
      <c r="H518" s="133"/>
      <c r="I518" s="133"/>
      <c r="J518" s="133"/>
      <c r="K518" s="133"/>
      <c r="L518" s="133"/>
    </row>
    <row r="519" spans="1:12">
      <c r="A519" s="250"/>
      <c r="B519" s="133"/>
      <c r="C519" s="133"/>
      <c r="D519" s="133"/>
      <c r="E519" s="133"/>
      <c r="F519" s="133"/>
      <c r="G519" s="133"/>
      <c r="H519" s="133"/>
      <c r="I519" s="133"/>
      <c r="J519" s="133"/>
      <c r="K519" s="133"/>
      <c r="L519" s="133"/>
    </row>
    <row r="520" spans="1:12">
      <c r="A520" s="250"/>
      <c r="B520" s="133"/>
      <c r="C520" s="133"/>
      <c r="D520" s="133"/>
      <c r="E520" s="133"/>
      <c r="F520" s="133"/>
      <c r="G520" s="133"/>
      <c r="H520" s="133"/>
      <c r="I520" s="133"/>
      <c r="J520" s="133"/>
      <c r="K520" s="133"/>
      <c r="L520" s="133"/>
    </row>
    <row r="521" spans="1:12">
      <c r="A521" s="250"/>
      <c r="B521" s="133"/>
      <c r="C521" s="133"/>
      <c r="D521" s="133"/>
      <c r="E521" s="133"/>
      <c r="F521" s="133"/>
      <c r="G521" s="133"/>
      <c r="H521" s="133"/>
      <c r="I521" s="133"/>
      <c r="J521" s="133"/>
      <c r="K521" s="133"/>
      <c r="L521" s="133"/>
    </row>
    <row r="522" spans="1:12">
      <c r="A522" s="250"/>
      <c r="B522" s="133"/>
      <c r="C522" s="133"/>
      <c r="D522" s="133"/>
      <c r="E522" s="133"/>
      <c r="F522" s="133"/>
      <c r="G522" s="133"/>
      <c r="H522" s="133"/>
      <c r="I522" s="133"/>
      <c r="J522" s="133"/>
      <c r="K522" s="133"/>
      <c r="L522" s="133"/>
    </row>
    <row r="523" spans="1:12">
      <c r="A523" s="250"/>
      <c r="B523" s="133"/>
      <c r="C523" s="133"/>
      <c r="D523" s="133"/>
      <c r="E523" s="133"/>
      <c r="F523" s="133"/>
      <c r="G523" s="133"/>
      <c r="H523" s="133"/>
      <c r="I523" s="133"/>
      <c r="J523" s="133"/>
      <c r="K523" s="133"/>
      <c r="L523" s="133"/>
    </row>
    <row r="524" spans="1:12">
      <c r="A524" s="250"/>
      <c r="B524" s="133"/>
      <c r="C524" s="133"/>
      <c r="D524" s="133"/>
      <c r="E524" s="133"/>
      <c r="F524" s="133"/>
      <c r="G524" s="133"/>
      <c r="H524" s="133"/>
      <c r="I524" s="133"/>
      <c r="J524" s="133"/>
      <c r="K524" s="133"/>
      <c r="L524" s="133"/>
    </row>
    <row r="525" spans="1:12">
      <c r="A525" s="250"/>
      <c r="B525" s="133"/>
      <c r="C525" s="133"/>
      <c r="D525" s="133"/>
      <c r="E525" s="133"/>
      <c r="F525" s="133"/>
      <c r="G525" s="133"/>
      <c r="H525" s="133"/>
      <c r="I525" s="133"/>
      <c r="J525" s="133"/>
      <c r="K525" s="133"/>
      <c r="L525" s="133"/>
    </row>
    <row r="526" spans="1:12">
      <c r="A526" s="250"/>
      <c r="B526" s="133"/>
      <c r="C526" s="133"/>
      <c r="D526" s="133"/>
      <c r="E526" s="133"/>
      <c r="F526" s="133"/>
      <c r="G526" s="133"/>
      <c r="H526" s="133"/>
      <c r="I526" s="133"/>
      <c r="J526" s="133"/>
      <c r="K526" s="133"/>
      <c r="L526" s="133"/>
    </row>
    <row r="527" spans="1:12">
      <c r="A527" s="250"/>
      <c r="B527" s="133"/>
      <c r="C527" s="133"/>
      <c r="D527" s="133"/>
      <c r="E527" s="133"/>
      <c r="F527" s="133"/>
      <c r="G527" s="133"/>
      <c r="H527" s="133"/>
      <c r="I527" s="133"/>
      <c r="J527" s="133"/>
      <c r="K527" s="133"/>
      <c r="L527" s="133"/>
    </row>
    <row r="528" spans="1:12">
      <c r="A528" s="250"/>
      <c r="B528" s="133"/>
      <c r="C528" s="133"/>
      <c r="D528" s="133"/>
      <c r="E528" s="133"/>
      <c r="F528" s="133"/>
      <c r="G528" s="133"/>
      <c r="H528" s="133"/>
      <c r="I528" s="133"/>
      <c r="J528" s="133"/>
      <c r="K528" s="133"/>
      <c r="L528" s="133"/>
    </row>
    <row r="529" spans="1:12">
      <c r="A529" s="250"/>
      <c r="B529" s="133"/>
      <c r="C529" s="133"/>
      <c r="D529" s="133"/>
      <c r="E529" s="133"/>
      <c r="F529" s="133"/>
      <c r="G529" s="133"/>
      <c r="H529" s="133"/>
      <c r="I529" s="133"/>
      <c r="J529" s="133"/>
      <c r="K529" s="133"/>
      <c r="L529" s="133"/>
    </row>
    <row r="530" spans="1:12">
      <c r="A530" s="250"/>
      <c r="B530" s="133"/>
      <c r="C530" s="133"/>
      <c r="D530" s="133"/>
      <c r="E530" s="133"/>
      <c r="F530" s="133"/>
      <c r="G530" s="133"/>
      <c r="H530" s="133"/>
      <c r="I530" s="133"/>
      <c r="J530" s="133"/>
      <c r="K530" s="133"/>
      <c r="L530" s="133"/>
    </row>
    <row r="531" spans="1:12">
      <c r="A531" s="250"/>
      <c r="B531" s="133"/>
      <c r="C531" s="133"/>
      <c r="D531" s="133"/>
      <c r="E531" s="133"/>
      <c r="F531" s="133"/>
      <c r="G531" s="133"/>
      <c r="H531" s="133"/>
      <c r="I531" s="133"/>
      <c r="J531" s="133"/>
      <c r="K531" s="133"/>
      <c r="L531" s="133"/>
    </row>
    <row r="532" spans="1:12">
      <c r="A532" s="250"/>
      <c r="B532" s="133"/>
      <c r="C532" s="133"/>
      <c r="D532" s="133"/>
      <c r="E532" s="133"/>
      <c r="F532" s="133"/>
      <c r="G532" s="133"/>
      <c r="H532" s="133"/>
      <c r="I532" s="133"/>
      <c r="J532" s="133"/>
      <c r="K532" s="133"/>
      <c r="L532" s="133"/>
    </row>
    <row r="533" spans="1:12">
      <c r="A533" s="250"/>
      <c r="B533" s="133"/>
      <c r="C533" s="133"/>
      <c r="D533" s="133"/>
      <c r="E533" s="133"/>
      <c r="F533" s="133"/>
      <c r="G533" s="133"/>
      <c r="H533" s="133"/>
      <c r="I533" s="133"/>
      <c r="J533" s="133"/>
      <c r="K533" s="133"/>
      <c r="L533" s="133"/>
    </row>
    <row r="534" spans="1:12">
      <c r="A534" s="250"/>
      <c r="B534" s="133"/>
      <c r="C534" s="133"/>
      <c r="D534" s="133"/>
      <c r="E534" s="133"/>
      <c r="F534" s="133"/>
      <c r="G534" s="133"/>
      <c r="H534" s="133"/>
      <c r="I534" s="133"/>
      <c r="J534" s="133"/>
      <c r="K534" s="133"/>
      <c r="L534" s="133"/>
    </row>
    <row r="535" spans="1:12">
      <c r="A535" s="250"/>
      <c r="B535" s="133"/>
      <c r="C535" s="133"/>
      <c r="D535" s="133"/>
      <c r="E535" s="133"/>
      <c r="F535" s="133"/>
      <c r="G535" s="133"/>
      <c r="H535" s="133"/>
      <c r="I535" s="133"/>
      <c r="J535" s="133"/>
      <c r="K535" s="133"/>
      <c r="L535" s="133"/>
    </row>
    <row r="536" spans="1:12">
      <c r="A536" s="250"/>
      <c r="B536" s="133"/>
      <c r="C536" s="133"/>
      <c r="D536" s="133"/>
      <c r="E536" s="133"/>
      <c r="F536" s="133"/>
      <c r="G536" s="133"/>
      <c r="H536" s="133"/>
      <c r="I536" s="133"/>
      <c r="J536" s="133"/>
      <c r="K536" s="133"/>
      <c r="L536" s="133"/>
    </row>
    <row r="537" spans="1:12">
      <c r="A537" s="250"/>
      <c r="B537" s="133"/>
      <c r="C537" s="133"/>
      <c r="D537" s="133"/>
      <c r="E537" s="133"/>
      <c r="F537" s="133"/>
      <c r="G537" s="133"/>
      <c r="H537" s="133"/>
      <c r="I537" s="133"/>
      <c r="J537" s="133"/>
      <c r="K537" s="133"/>
      <c r="L537" s="133"/>
    </row>
    <row r="538" spans="1:12">
      <c r="A538" s="250"/>
      <c r="B538" s="133"/>
      <c r="C538" s="133"/>
      <c r="D538" s="133"/>
      <c r="E538" s="133"/>
      <c r="F538" s="133"/>
      <c r="G538" s="133"/>
      <c r="H538" s="133"/>
      <c r="I538" s="133"/>
      <c r="J538" s="133"/>
      <c r="K538" s="133"/>
      <c r="L538" s="133"/>
    </row>
    <row r="539" spans="1:12">
      <c r="A539" s="250"/>
      <c r="B539" s="133"/>
      <c r="C539" s="133"/>
      <c r="D539" s="133"/>
      <c r="E539" s="133"/>
      <c r="F539" s="133"/>
      <c r="G539" s="133"/>
      <c r="H539" s="133"/>
      <c r="I539" s="133"/>
      <c r="J539" s="133"/>
      <c r="K539" s="133"/>
      <c r="L539" s="133"/>
    </row>
    <row r="540" spans="1:12">
      <c r="A540" s="250"/>
      <c r="B540" s="133"/>
      <c r="C540" s="133"/>
      <c r="D540" s="133"/>
      <c r="E540" s="133"/>
      <c r="F540" s="133"/>
      <c r="G540" s="133"/>
      <c r="H540" s="133"/>
      <c r="I540" s="133"/>
      <c r="J540" s="133"/>
      <c r="K540" s="133"/>
      <c r="L540" s="133"/>
    </row>
    <row r="541" spans="1:12">
      <c r="A541" s="250"/>
      <c r="B541" s="133"/>
      <c r="C541" s="133"/>
      <c r="D541" s="133"/>
      <c r="E541" s="133"/>
      <c r="F541" s="133"/>
      <c r="G541" s="133"/>
      <c r="H541" s="133"/>
      <c r="I541" s="133"/>
      <c r="J541" s="133"/>
      <c r="K541" s="133"/>
      <c r="L541" s="133"/>
    </row>
    <row r="542" spans="1:12">
      <c r="A542" s="250"/>
      <c r="B542" s="133"/>
      <c r="C542" s="133"/>
      <c r="D542" s="133"/>
      <c r="E542" s="133"/>
      <c r="F542" s="133"/>
      <c r="G542" s="133"/>
      <c r="H542" s="133"/>
      <c r="I542" s="133"/>
      <c r="J542" s="133"/>
      <c r="K542" s="133"/>
      <c r="L542" s="133"/>
    </row>
    <row r="543" spans="1:12">
      <c r="A543" s="250"/>
      <c r="B543" s="133"/>
      <c r="C543" s="133"/>
      <c r="D543" s="133"/>
      <c r="E543" s="133"/>
      <c r="F543" s="133"/>
      <c r="G543" s="133"/>
      <c r="H543" s="133"/>
      <c r="I543" s="133"/>
      <c r="J543" s="133"/>
      <c r="K543" s="133"/>
      <c r="L543" s="133"/>
    </row>
    <row r="544" spans="1:12">
      <c r="A544" s="250"/>
      <c r="B544" s="133"/>
      <c r="C544" s="133"/>
      <c r="D544" s="133"/>
      <c r="E544" s="133"/>
      <c r="F544" s="133"/>
      <c r="G544" s="133"/>
      <c r="H544" s="133"/>
      <c r="I544" s="133"/>
      <c r="J544" s="133"/>
      <c r="K544" s="133"/>
      <c r="L544" s="133"/>
    </row>
    <row r="545" spans="1:12">
      <c r="A545" s="250"/>
      <c r="B545" s="133"/>
      <c r="C545" s="133"/>
      <c r="D545" s="133"/>
      <c r="E545" s="133"/>
      <c r="F545" s="133"/>
      <c r="G545" s="133"/>
      <c r="H545" s="133"/>
      <c r="I545" s="133"/>
      <c r="J545" s="133"/>
      <c r="K545" s="133"/>
      <c r="L545" s="133"/>
    </row>
    <row r="546" spans="1:12">
      <c r="A546" s="250"/>
      <c r="B546" s="133"/>
      <c r="C546" s="133"/>
      <c r="D546" s="133"/>
      <c r="E546" s="133"/>
      <c r="F546" s="133"/>
      <c r="G546" s="133"/>
      <c r="H546" s="133"/>
      <c r="I546" s="133"/>
      <c r="J546" s="133"/>
      <c r="K546" s="133"/>
      <c r="L546" s="133"/>
    </row>
    <row r="547" spans="1:12">
      <c r="A547" s="250"/>
      <c r="B547" s="133"/>
      <c r="C547" s="133"/>
      <c r="D547" s="133"/>
      <c r="E547" s="133"/>
      <c r="F547" s="133"/>
      <c r="G547" s="133"/>
      <c r="H547" s="133"/>
      <c r="I547" s="133"/>
      <c r="J547" s="133"/>
      <c r="K547" s="133"/>
      <c r="L547" s="133"/>
    </row>
    <row r="548" spans="1:12">
      <c r="A548" s="250"/>
      <c r="B548" s="133"/>
      <c r="C548" s="133"/>
      <c r="D548" s="133"/>
      <c r="E548" s="133"/>
      <c r="F548" s="133"/>
      <c r="G548" s="133"/>
      <c r="H548" s="133"/>
      <c r="I548" s="133"/>
      <c r="J548" s="133"/>
      <c r="K548" s="133"/>
      <c r="L548" s="133"/>
    </row>
  </sheetData>
  <sortState ref="A2:N52">
    <sortCondition ref="M2:M52"/>
  </sortState>
  <phoneticPr fontId="0" type="noConversion"/>
  <pageMargins left="0.75" right="0.75" top="1" bottom="1" header="0.5" footer="0.5"/>
  <pageSetup paperSize="9" orientation="portrait" verticalDpi="300" r:id="rId1"/>
  <headerFooter alignWithMargins="0"/>
  <drawing r:id="rId2"/>
</worksheet>
</file>

<file path=xl/worksheets/sheet20.xml><?xml version="1.0" encoding="utf-8"?>
<worksheet xmlns="http://schemas.openxmlformats.org/spreadsheetml/2006/main" xmlns:r="http://schemas.openxmlformats.org/officeDocument/2006/relationships">
  <sheetPr codeName="Blad12">
    <tabColor indexed="12"/>
  </sheetPr>
  <dimension ref="B1:AB30"/>
  <sheetViews>
    <sheetView showZeros="0" workbookViewId="0">
      <selection activeCell="B32" sqref="B32"/>
    </sheetView>
  </sheetViews>
  <sheetFormatPr defaultRowHeight="12.75"/>
  <cols>
    <col min="1" max="1" width="2.7109375" style="116" customWidth="1"/>
    <col min="2" max="2" width="8.85546875" style="116" customWidth="1"/>
    <col min="3" max="4" width="13" style="116" customWidth="1"/>
    <col min="5" max="7" width="5" style="117" customWidth="1"/>
    <col min="8" max="8" width="5" style="148" customWidth="1"/>
    <col min="9" max="16" width="5" style="136" customWidth="1"/>
    <col min="17" max="17" width="5" style="134" customWidth="1"/>
    <col min="18" max="26" width="5" style="116" customWidth="1"/>
    <col min="27" max="27" width="5" style="120" customWidth="1"/>
    <col min="28" max="28" width="15" style="116" customWidth="1"/>
    <col min="29" max="16384" width="9.140625" style="116"/>
  </cols>
  <sheetData>
    <row r="1" spans="2:28">
      <c r="B1" s="207"/>
      <c r="C1" s="201" t="s">
        <v>105</v>
      </c>
      <c r="D1" s="201"/>
    </row>
    <row r="2" spans="2:28">
      <c r="B2" s="207"/>
      <c r="C2" s="202"/>
      <c r="D2" s="202"/>
      <c r="H2" s="136"/>
    </row>
    <row r="3" spans="2:28" s="134" customFormat="1" ht="13.5" thickBot="1">
      <c r="B3" s="209"/>
      <c r="C3" s="214" t="s">
        <v>52</v>
      </c>
      <c r="D3" s="214"/>
      <c r="E3" s="119">
        <v>1</v>
      </c>
      <c r="F3" s="119">
        <v>2</v>
      </c>
      <c r="G3" s="119">
        <v>3</v>
      </c>
      <c r="H3" s="119">
        <v>4</v>
      </c>
      <c r="I3" s="119">
        <v>5</v>
      </c>
      <c r="J3" s="119">
        <v>6</v>
      </c>
      <c r="K3" s="119">
        <v>7</v>
      </c>
      <c r="L3" s="119">
        <v>8</v>
      </c>
      <c r="M3" s="119">
        <v>9</v>
      </c>
      <c r="N3" s="119">
        <v>10</v>
      </c>
      <c r="O3" s="119">
        <v>11</v>
      </c>
      <c r="P3" s="119">
        <v>12</v>
      </c>
      <c r="Q3" s="119">
        <v>13</v>
      </c>
      <c r="R3" s="119">
        <v>14</v>
      </c>
      <c r="S3" s="119">
        <v>15</v>
      </c>
      <c r="T3" s="119">
        <v>16</v>
      </c>
      <c r="U3" s="119">
        <v>17</v>
      </c>
      <c r="V3" s="119">
        <v>18</v>
      </c>
      <c r="W3" s="119">
        <v>19</v>
      </c>
      <c r="X3" s="119">
        <v>20</v>
      </c>
      <c r="Y3" s="119">
        <v>21</v>
      </c>
      <c r="Z3" s="119" t="s">
        <v>1</v>
      </c>
      <c r="AA3" s="154"/>
    </row>
    <row r="4" spans="2:28">
      <c r="B4" s="210"/>
      <c r="C4" s="203" t="s">
        <v>111</v>
      </c>
      <c r="D4" s="276" t="s">
        <v>117</v>
      </c>
      <c r="E4" s="117">
        <f t="shared" ref="E4:N13" si="0">INDEX(scorematrix,MATCH($C4,renners,0),MATCH(E$3,etappes,0))</f>
        <v>0</v>
      </c>
      <c r="F4" s="117">
        <f t="shared" si="0"/>
        <v>0</v>
      </c>
      <c r="G4" s="117">
        <f t="shared" si="0"/>
        <v>0</v>
      </c>
      <c r="H4" s="117">
        <f t="shared" si="0"/>
        <v>0</v>
      </c>
      <c r="I4" s="117">
        <f t="shared" si="0"/>
        <v>0</v>
      </c>
      <c r="J4" s="117">
        <f t="shared" si="0"/>
        <v>0</v>
      </c>
      <c r="K4" s="117">
        <f t="shared" si="0"/>
        <v>0</v>
      </c>
      <c r="L4" s="117">
        <f t="shared" si="0"/>
        <v>0</v>
      </c>
      <c r="M4" s="117">
        <f t="shared" si="0"/>
        <v>0</v>
      </c>
      <c r="N4" s="117">
        <f t="shared" si="0"/>
        <v>0</v>
      </c>
      <c r="O4" s="117">
        <f t="shared" ref="O4:Z13" si="1">INDEX(scorematrix,MATCH($C4,renners,0),MATCH(O$3,etappes,0))</f>
        <v>0</v>
      </c>
      <c r="P4" s="117">
        <f t="shared" si="1"/>
        <v>0</v>
      </c>
      <c r="Q4" s="117">
        <f t="shared" si="1"/>
        <v>0</v>
      </c>
      <c r="R4" s="117">
        <f t="shared" si="1"/>
        <v>0</v>
      </c>
      <c r="S4" s="117">
        <f t="shared" si="1"/>
        <v>0</v>
      </c>
      <c r="T4" s="117">
        <f t="shared" si="1"/>
        <v>0</v>
      </c>
      <c r="U4" s="117">
        <f t="shared" si="1"/>
        <v>0</v>
      </c>
      <c r="V4" s="117">
        <f t="shared" si="1"/>
        <v>0</v>
      </c>
      <c r="W4" s="117">
        <f t="shared" si="1"/>
        <v>0</v>
      </c>
      <c r="X4" s="117">
        <f t="shared" si="1"/>
        <v>0</v>
      </c>
      <c r="Y4" s="117">
        <f t="shared" si="1"/>
        <v>0</v>
      </c>
      <c r="Z4" s="117">
        <f t="shared" si="1"/>
        <v>0</v>
      </c>
      <c r="AA4" s="186">
        <f t="shared" ref="AA4:AA20" si="2">SUM(E4:Z4)</f>
        <v>0</v>
      </c>
      <c r="AB4" s="116" t="str">
        <f t="shared" ref="AB4:AB18" si="3">C4</f>
        <v>Kwiatkowski</v>
      </c>
    </row>
    <row r="5" spans="2:28">
      <c r="B5" s="210"/>
      <c r="C5" s="204" t="s">
        <v>116</v>
      </c>
      <c r="D5" s="276" t="s">
        <v>136</v>
      </c>
      <c r="E5" s="117">
        <f t="shared" si="0"/>
        <v>0</v>
      </c>
      <c r="F5" s="117">
        <f t="shared" si="0"/>
        <v>0</v>
      </c>
      <c r="G5" s="117">
        <f t="shared" si="0"/>
        <v>0</v>
      </c>
      <c r="H5" s="117">
        <f t="shared" si="0"/>
        <v>8</v>
      </c>
      <c r="I5" s="117">
        <f t="shared" si="0"/>
        <v>0</v>
      </c>
      <c r="J5" s="117">
        <f t="shared" si="0"/>
        <v>0</v>
      </c>
      <c r="K5" s="117">
        <f t="shared" si="0"/>
        <v>0</v>
      </c>
      <c r="L5" s="117">
        <f t="shared" si="0"/>
        <v>0</v>
      </c>
      <c r="M5" s="117">
        <f t="shared" si="0"/>
        <v>0</v>
      </c>
      <c r="N5" s="117">
        <f t="shared" si="0"/>
        <v>0</v>
      </c>
      <c r="O5" s="117">
        <f t="shared" si="1"/>
        <v>0</v>
      </c>
      <c r="P5" s="117">
        <f t="shared" si="1"/>
        <v>27</v>
      </c>
      <c r="Q5" s="117">
        <f t="shared" si="1"/>
        <v>1</v>
      </c>
      <c r="R5" s="117">
        <f t="shared" si="1"/>
        <v>27</v>
      </c>
      <c r="S5" s="117">
        <f t="shared" si="1"/>
        <v>1</v>
      </c>
      <c r="T5" s="117">
        <f t="shared" si="1"/>
        <v>1</v>
      </c>
      <c r="U5" s="117">
        <f t="shared" si="1"/>
        <v>0</v>
      </c>
      <c r="V5" s="117">
        <f t="shared" si="1"/>
        <v>40</v>
      </c>
      <c r="W5" s="117">
        <f t="shared" si="1"/>
        <v>29</v>
      </c>
      <c r="X5" s="117">
        <f t="shared" si="1"/>
        <v>13</v>
      </c>
      <c r="Y5" s="117">
        <f t="shared" si="1"/>
        <v>5</v>
      </c>
      <c r="Z5" s="117">
        <f t="shared" si="1"/>
        <v>39</v>
      </c>
      <c r="AA5" s="186">
        <f t="shared" si="2"/>
        <v>191</v>
      </c>
      <c r="AB5" s="116" t="str">
        <f t="shared" si="3"/>
        <v>Bardet</v>
      </c>
    </row>
    <row r="6" spans="2:28">
      <c r="B6" s="210"/>
      <c r="C6" s="204" t="s">
        <v>132</v>
      </c>
      <c r="D6" s="276" t="s">
        <v>136</v>
      </c>
      <c r="E6" s="117">
        <f t="shared" si="0"/>
        <v>19</v>
      </c>
      <c r="F6" s="117">
        <f t="shared" si="0"/>
        <v>0</v>
      </c>
      <c r="G6" s="117">
        <f t="shared" si="0"/>
        <v>0</v>
      </c>
      <c r="H6" s="117">
        <f t="shared" si="0"/>
        <v>0</v>
      </c>
      <c r="I6" s="117">
        <f t="shared" si="0"/>
        <v>0</v>
      </c>
      <c r="J6" s="117">
        <f t="shared" si="0"/>
        <v>0</v>
      </c>
      <c r="K6" s="117">
        <f t="shared" si="0"/>
        <v>0</v>
      </c>
      <c r="L6" s="117">
        <f t="shared" si="0"/>
        <v>0</v>
      </c>
      <c r="M6" s="117">
        <f t="shared" si="0"/>
        <v>0</v>
      </c>
      <c r="N6" s="117">
        <f t="shared" si="0"/>
        <v>0</v>
      </c>
      <c r="O6" s="117">
        <f t="shared" si="1"/>
        <v>0</v>
      </c>
      <c r="P6" s="117">
        <f t="shared" si="1"/>
        <v>0</v>
      </c>
      <c r="Q6" s="117">
        <f t="shared" si="1"/>
        <v>6</v>
      </c>
      <c r="R6" s="117">
        <f t="shared" si="1"/>
        <v>0</v>
      </c>
      <c r="S6" s="117">
        <f t="shared" si="1"/>
        <v>0</v>
      </c>
      <c r="T6" s="117">
        <f t="shared" si="1"/>
        <v>0</v>
      </c>
      <c r="U6" s="117">
        <f t="shared" si="1"/>
        <v>0</v>
      </c>
      <c r="V6" s="117">
        <f t="shared" si="1"/>
        <v>0</v>
      </c>
      <c r="W6" s="117">
        <f t="shared" si="1"/>
        <v>0</v>
      </c>
      <c r="X6" s="117">
        <f t="shared" si="1"/>
        <v>0</v>
      </c>
      <c r="Y6" s="117">
        <f t="shared" si="1"/>
        <v>0</v>
      </c>
      <c r="Z6" s="117">
        <f t="shared" si="1"/>
        <v>0</v>
      </c>
      <c r="AA6" s="186">
        <f t="shared" si="2"/>
        <v>25</v>
      </c>
      <c r="AB6" s="116" t="str">
        <f t="shared" si="3"/>
        <v>Kelderman</v>
      </c>
    </row>
    <row r="7" spans="2:28">
      <c r="B7" s="210"/>
      <c r="C7" s="204" t="s">
        <v>133</v>
      </c>
      <c r="D7" s="276" t="s">
        <v>136</v>
      </c>
      <c r="E7" s="117">
        <f t="shared" si="0"/>
        <v>0</v>
      </c>
      <c r="F7" s="117">
        <f t="shared" si="0"/>
        <v>0</v>
      </c>
      <c r="G7" s="117">
        <f t="shared" si="0"/>
        <v>0</v>
      </c>
      <c r="H7" s="117">
        <f t="shared" si="0"/>
        <v>0</v>
      </c>
      <c r="I7" s="117">
        <f t="shared" si="0"/>
        <v>0</v>
      </c>
      <c r="J7" s="117">
        <f t="shared" si="0"/>
        <v>0</v>
      </c>
      <c r="K7" s="117">
        <f t="shared" si="0"/>
        <v>0</v>
      </c>
      <c r="L7" s="117">
        <f t="shared" si="0"/>
        <v>0</v>
      </c>
      <c r="M7" s="117">
        <f t="shared" si="0"/>
        <v>0</v>
      </c>
      <c r="N7" s="117">
        <f t="shared" si="0"/>
        <v>0</v>
      </c>
      <c r="O7" s="117">
        <f t="shared" si="1"/>
        <v>0</v>
      </c>
      <c r="P7" s="117">
        <f t="shared" si="1"/>
        <v>0</v>
      </c>
      <c r="Q7" s="117">
        <f t="shared" si="1"/>
        <v>0</v>
      </c>
      <c r="R7" s="117">
        <f t="shared" si="1"/>
        <v>0</v>
      </c>
      <c r="S7" s="117">
        <f t="shared" si="1"/>
        <v>0</v>
      </c>
      <c r="T7" s="117">
        <f t="shared" si="1"/>
        <v>0</v>
      </c>
      <c r="U7" s="117">
        <f t="shared" si="1"/>
        <v>0</v>
      </c>
      <c r="V7" s="117">
        <f t="shared" si="1"/>
        <v>0</v>
      </c>
      <c r="W7" s="117">
        <f t="shared" si="1"/>
        <v>0</v>
      </c>
      <c r="X7" s="117">
        <f t="shared" si="1"/>
        <v>0</v>
      </c>
      <c r="Y7" s="117">
        <f t="shared" si="1"/>
        <v>0</v>
      </c>
      <c r="Z7" s="117">
        <f t="shared" si="1"/>
        <v>0</v>
      </c>
      <c r="AA7" s="186">
        <f t="shared" si="2"/>
        <v>0</v>
      </c>
      <c r="AB7" s="116" t="str">
        <f t="shared" si="3"/>
        <v>Konig</v>
      </c>
    </row>
    <row r="8" spans="2:28">
      <c r="B8" s="210"/>
      <c r="C8" s="204" t="s">
        <v>139</v>
      </c>
      <c r="D8" s="276" t="s">
        <v>136</v>
      </c>
      <c r="E8" s="117">
        <f t="shared" si="0"/>
        <v>0</v>
      </c>
      <c r="F8" s="117">
        <f t="shared" si="0"/>
        <v>0</v>
      </c>
      <c r="G8" s="117">
        <f t="shared" si="0"/>
        <v>4</v>
      </c>
      <c r="H8" s="117">
        <f t="shared" si="0"/>
        <v>4</v>
      </c>
      <c r="I8" s="117">
        <f t="shared" si="0"/>
        <v>4</v>
      </c>
      <c r="J8" s="117">
        <f t="shared" si="0"/>
        <v>2</v>
      </c>
      <c r="K8" s="117">
        <f t="shared" si="0"/>
        <v>2</v>
      </c>
      <c r="L8" s="117">
        <f t="shared" si="0"/>
        <v>1</v>
      </c>
      <c r="M8" s="117">
        <f t="shared" si="0"/>
        <v>0</v>
      </c>
      <c r="N8" s="117">
        <f t="shared" si="0"/>
        <v>0</v>
      </c>
      <c r="O8" s="117">
        <f t="shared" si="1"/>
        <v>38</v>
      </c>
      <c r="P8" s="117">
        <f t="shared" si="1"/>
        <v>0</v>
      </c>
      <c r="Q8" s="117">
        <f t="shared" si="1"/>
        <v>0</v>
      </c>
      <c r="R8" s="117">
        <f t="shared" si="1"/>
        <v>0</v>
      </c>
      <c r="S8" s="117">
        <f t="shared" si="1"/>
        <v>0</v>
      </c>
      <c r="T8" s="117">
        <f t="shared" si="1"/>
        <v>0</v>
      </c>
      <c r="U8" s="117">
        <f t="shared" si="1"/>
        <v>13</v>
      </c>
      <c r="V8" s="117">
        <f t="shared" si="1"/>
        <v>0</v>
      </c>
      <c r="W8" s="117">
        <f t="shared" si="1"/>
        <v>11</v>
      </c>
      <c r="X8" s="117">
        <f t="shared" si="1"/>
        <v>9</v>
      </c>
      <c r="Y8" s="117">
        <f t="shared" si="1"/>
        <v>0</v>
      </c>
      <c r="Z8" s="117">
        <f t="shared" si="1"/>
        <v>0</v>
      </c>
      <c r="AA8" s="186">
        <f t="shared" si="2"/>
        <v>88</v>
      </c>
      <c r="AB8" s="116" t="str">
        <f t="shared" si="3"/>
        <v>Majka</v>
      </c>
    </row>
    <row r="9" spans="2:28">
      <c r="B9" s="210"/>
      <c r="C9" s="204" t="s">
        <v>152</v>
      </c>
      <c r="D9" s="276" t="s">
        <v>136</v>
      </c>
      <c r="E9" s="117">
        <f t="shared" si="0"/>
        <v>0</v>
      </c>
      <c r="F9" s="117">
        <f t="shared" si="0"/>
        <v>0</v>
      </c>
      <c r="G9" s="117">
        <f t="shared" si="0"/>
        <v>10</v>
      </c>
      <c r="H9" s="117">
        <f t="shared" si="0"/>
        <v>0</v>
      </c>
      <c r="I9" s="117">
        <f t="shared" si="0"/>
        <v>0</v>
      </c>
      <c r="J9" s="117">
        <f t="shared" si="0"/>
        <v>0</v>
      </c>
      <c r="K9" s="117">
        <f t="shared" si="0"/>
        <v>0</v>
      </c>
      <c r="L9" s="117">
        <f t="shared" si="0"/>
        <v>0</v>
      </c>
      <c r="M9" s="117">
        <f t="shared" si="0"/>
        <v>0</v>
      </c>
      <c r="N9" s="117">
        <f t="shared" si="0"/>
        <v>0</v>
      </c>
      <c r="O9" s="117">
        <f t="shared" si="1"/>
        <v>0</v>
      </c>
      <c r="P9" s="117">
        <f t="shared" si="1"/>
        <v>0</v>
      </c>
      <c r="Q9" s="117">
        <f t="shared" si="1"/>
        <v>0</v>
      </c>
      <c r="R9" s="117">
        <f t="shared" si="1"/>
        <v>0</v>
      </c>
      <c r="S9" s="117">
        <f t="shared" si="1"/>
        <v>0</v>
      </c>
      <c r="T9" s="117">
        <f t="shared" si="1"/>
        <v>0</v>
      </c>
      <c r="U9" s="117">
        <f t="shared" si="1"/>
        <v>0</v>
      </c>
      <c r="V9" s="117">
        <f t="shared" si="1"/>
        <v>0</v>
      </c>
      <c r="W9" s="117">
        <f t="shared" si="1"/>
        <v>0</v>
      </c>
      <c r="X9" s="117">
        <f t="shared" si="1"/>
        <v>0</v>
      </c>
      <c r="Y9" s="117">
        <f t="shared" si="1"/>
        <v>0</v>
      </c>
      <c r="Z9" s="117">
        <f t="shared" si="1"/>
        <v>0</v>
      </c>
      <c r="AA9" s="186">
        <f t="shared" si="2"/>
        <v>10</v>
      </c>
      <c r="AB9" s="116" t="str">
        <f t="shared" si="3"/>
        <v>Peraud</v>
      </c>
    </row>
    <row r="10" spans="2:28">
      <c r="B10" s="210"/>
      <c r="C10" s="204" t="s">
        <v>90</v>
      </c>
      <c r="D10" s="276" t="s">
        <v>136</v>
      </c>
      <c r="E10" s="117">
        <f t="shared" si="0"/>
        <v>8</v>
      </c>
      <c r="F10" s="117">
        <f t="shared" si="0"/>
        <v>0</v>
      </c>
      <c r="G10" s="117">
        <f t="shared" si="0"/>
        <v>0</v>
      </c>
      <c r="H10" s="117">
        <f t="shared" si="0"/>
        <v>0</v>
      </c>
      <c r="I10" s="117">
        <f t="shared" si="0"/>
        <v>0</v>
      </c>
      <c r="J10" s="117">
        <f t="shared" si="0"/>
        <v>0</v>
      </c>
      <c r="K10" s="117">
        <f t="shared" si="0"/>
        <v>0</v>
      </c>
      <c r="L10" s="117">
        <f t="shared" si="0"/>
        <v>0</v>
      </c>
      <c r="M10" s="117">
        <f t="shared" si="0"/>
        <v>0</v>
      </c>
      <c r="N10" s="117">
        <f t="shared" si="0"/>
        <v>0</v>
      </c>
      <c r="O10" s="117">
        <f t="shared" si="1"/>
        <v>0</v>
      </c>
      <c r="P10" s="117">
        <f t="shared" si="1"/>
        <v>14</v>
      </c>
      <c r="Q10" s="117">
        <f t="shared" si="1"/>
        <v>0</v>
      </c>
      <c r="R10" s="117">
        <f t="shared" si="1"/>
        <v>30</v>
      </c>
      <c r="S10" s="117">
        <f t="shared" si="1"/>
        <v>0</v>
      </c>
      <c r="T10" s="117">
        <f t="shared" si="1"/>
        <v>0</v>
      </c>
      <c r="U10" s="117">
        <f t="shared" si="1"/>
        <v>24</v>
      </c>
      <c r="V10" s="117">
        <f t="shared" si="1"/>
        <v>0</v>
      </c>
      <c r="W10" s="117">
        <f t="shared" si="1"/>
        <v>24</v>
      </c>
      <c r="X10" s="117">
        <f t="shared" si="1"/>
        <v>37</v>
      </c>
      <c r="Y10" s="117">
        <f t="shared" si="1"/>
        <v>2</v>
      </c>
      <c r="Z10" s="117">
        <f t="shared" si="1"/>
        <v>23</v>
      </c>
      <c r="AA10" s="186">
        <f t="shared" si="2"/>
        <v>162</v>
      </c>
      <c r="AB10" s="116" t="str">
        <f t="shared" si="3"/>
        <v>Pinot</v>
      </c>
    </row>
    <row r="11" spans="2:28">
      <c r="B11" s="210"/>
      <c r="C11" s="204" t="s">
        <v>138</v>
      </c>
      <c r="D11" s="276" t="s">
        <v>136</v>
      </c>
      <c r="E11" s="117">
        <f t="shared" si="0"/>
        <v>9</v>
      </c>
      <c r="F11" s="117">
        <f t="shared" si="0"/>
        <v>16</v>
      </c>
      <c r="G11" s="117">
        <f t="shared" si="0"/>
        <v>11</v>
      </c>
      <c r="H11" s="117">
        <f t="shared" si="0"/>
        <v>17</v>
      </c>
      <c r="I11" s="117">
        <f t="shared" si="0"/>
        <v>4</v>
      </c>
      <c r="J11" s="117">
        <f t="shared" si="0"/>
        <v>13</v>
      </c>
      <c r="K11" s="117">
        <f t="shared" si="0"/>
        <v>5</v>
      </c>
      <c r="L11" s="117">
        <f t="shared" si="0"/>
        <v>16</v>
      </c>
      <c r="M11" s="117">
        <f t="shared" si="0"/>
        <v>0</v>
      </c>
      <c r="N11" s="117">
        <f t="shared" si="0"/>
        <v>0</v>
      </c>
      <c r="O11" s="117">
        <f t="shared" si="1"/>
        <v>0</v>
      </c>
      <c r="P11" s="117">
        <f t="shared" si="1"/>
        <v>0</v>
      </c>
      <c r="Q11" s="117">
        <f t="shared" si="1"/>
        <v>0</v>
      </c>
      <c r="R11" s="117">
        <f t="shared" si="1"/>
        <v>24</v>
      </c>
      <c r="S11" s="117">
        <f t="shared" si="1"/>
        <v>0</v>
      </c>
      <c r="T11" s="117">
        <f t="shared" si="1"/>
        <v>0</v>
      </c>
      <c r="U11" s="117">
        <f t="shared" si="1"/>
        <v>26</v>
      </c>
      <c r="V11" s="117">
        <f t="shared" si="1"/>
        <v>0</v>
      </c>
      <c r="W11" s="117">
        <f t="shared" si="1"/>
        <v>0</v>
      </c>
      <c r="X11" s="117">
        <f t="shared" si="1"/>
        <v>0</v>
      </c>
      <c r="Y11" s="117">
        <f t="shared" si="1"/>
        <v>0</v>
      </c>
      <c r="Z11" s="117">
        <f t="shared" si="1"/>
        <v>0</v>
      </c>
      <c r="AA11" s="186">
        <f t="shared" si="2"/>
        <v>141</v>
      </c>
      <c r="AB11" s="116" t="str">
        <f t="shared" si="3"/>
        <v>Uran</v>
      </c>
    </row>
    <row r="12" spans="2:28">
      <c r="B12" s="210"/>
      <c r="C12" s="204" t="s">
        <v>76</v>
      </c>
      <c r="D12" s="276" t="s">
        <v>136</v>
      </c>
      <c r="E12" s="117">
        <f t="shared" si="0"/>
        <v>0</v>
      </c>
      <c r="F12" s="117">
        <f t="shared" si="0"/>
        <v>0</v>
      </c>
      <c r="G12" s="117">
        <f t="shared" si="0"/>
        <v>15</v>
      </c>
      <c r="H12" s="117">
        <f t="shared" si="0"/>
        <v>15</v>
      </c>
      <c r="I12" s="117">
        <f t="shared" si="0"/>
        <v>0</v>
      </c>
      <c r="J12" s="117">
        <f t="shared" si="0"/>
        <v>11</v>
      </c>
      <c r="K12" s="117">
        <f t="shared" si="0"/>
        <v>0</v>
      </c>
      <c r="L12" s="117">
        <f t="shared" si="0"/>
        <v>26</v>
      </c>
      <c r="M12" s="117">
        <f t="shared" si="0"/>
        <v>0</v>
      </c>
      <c r="N12" s="117">
        <f t="shared" si="0"/>
        <v>30</v>
      </c>
      <c r="O12" s="117">
        <f t="shared" si="1"/>
        <v>25</v>
      </c>
      <c r="P12" s="117">
        <f t="shared" si="1"/>
        <v>24</v>
      </c>
      <c r="Q12" s="117">
        <f t="shared" si="1"/>
        <v>24</v>
      </c>
      <c r="R12" s="117">
        <f t="shared" si="1"/>
        <v>7</v>
      </c>
      <c r="S12" s="117">
        <f t="shared" si="1"/>
        <v>7</v>
      </c>
      <c r="T12" s="117">
        <f t="shared" si="1"/>
        <v>7</v>
      </c>
      <c r="U12" s="117">
        <f t="shared" si="1"/>
        <v>8</v>
      </c>
      <c r="V12" s="117">
        <f t="shared" si="1"/>
        <v>21</v>
      </c>
      <c r="W12" s="117">
        <f t="shared" si="1"/>
        <v>28</v>
      </c>
      <c r="X12" s="117">
        <f t="shared" si="1"/>
        <v>32</v>
      </c>
      <c r="Y12" s="117">
        <f t="shared" si="1"/>
        <v>8</v>
      </c>
      <c r="Z12" s="117">
        <f t="shared" si="1"/>
        <v>52</v>
      </c>
      <c r="AA12" s="186">
        <f t="shared" si="2"/>
        <v>340</v>
      </c>
      <c r="AB12" s="116" t="str">
        <f t="shared" si="3"/>
        <v>Valverde</v>
      </c>
    </row>
    <row r="13" spans="2:28">
      <c r="B13" s="210"/>
      <c r="C13" s="204" t="s">
        <v>95</v>
      </c>
      <c r="D13" s="276" t="s">
        <v>136</v>
      </c>
      <c r="E13" s="117">
        <f t="shared" si="0"/>
        <v>6</v>
      </c>
      <c r="F13" s="117">
        <f t="shared" si="0"/>
        <v>18</v>
      </c>
      <c r="G13" s="117">
        <f t="shared" si="0"/>
        <v>28</v>
      </c>
      <c r="H13" s="117">
        <f t="shared" si="0"/>
        <v>8</v>
      </c>
      <c r="I13" s="117">
        <f t="shared" si="0"/>
        <v>8</v>
      </c>
      <c r="J13" s="117">
        <f t="shared" si="0"/>
        <v>8</v>
      </c>
      <c r="K13" s="117">
        <f t="shared" si="0"/>
        <v>8</v>
      </c>
      <c r="L13" s="117">
        <f t="shared" si="0"/>
        <v>24</v>
      </c>
      <c r="M13" s="117">
        <f t="shared" si="0"/>
        <v>0.1</v>
      </c>
      <c r="N13" s="117">
        <f t="shared" si="0"/>
        <v>25</v>
      </c>
      <c r="O13" s="117">
        <f t="shared" si="1"/>
        <v>22</v>
      </c>
      <c r="P13" s="117">
        <f t="shared" si="1"/>
        <v>22</v>
      </c>
      <c r="Q13" s="117">
        <f t="shared" si="1"/>
        <v>25</v>
      </c>
      <c r="R13" s="117">
        <f t="shared" si="1"/>
        <v>8</v>
      </c>
      <c r="S13" s="117">
        <f t="shared" si="1"/>
        <v>8</v>
      </c>
      <c r="T13" s="117">
        <f t="shared" si="1"/>
        <v>8</v>
      </c>
      <c r="U13" s="117">
        <f t="shared" si="1"/>
        <v>0</v>
      </c>
      <c r="V13" s="117">
        <f t="shared" si="1"/>
        <v>0</v>
      </c>
      <c r="W13" s="117">
        <f t="shared" si="1"/>
        <v>0</v>
      </c>
      <c r="X13" s="117">
        <f t="shared" si="1"/>
        <v>0</v>
      </c>
      <c r="Y13" s="117">
        <f t="shared" si="1"/>
        <v>0</v>
      </c>
      <c r="Z13" s="117">
        <f t="shared" si="1"/>
        <v>0</v>
      </c>
      <c r="AA13" s="186">
        <f t="shared" si="2"/>
        <v>226.1</v>
      </c>
      <c r="AB13" s="116" t="str">
        <f t="shared" si="3"/>
        <v>van Garderen</v>
      </c>
    </row>
    <row r="14" spans="2:28">
      <c r="B14" s="210"/>
      <c r="C14" s="204" t="s">
        <v>159</v>
      </c>
      <c r="D14" s="276" t="s">
        <v>136</v>
      </c>
      <c r="E14" s="117">
        <f t="shared" ref="E14:N20" si="4">INDEX(scorematrix,MATCH($C14,renners,0),MATCH(E$3,etappes,0))</f>
        <v>0</v>
      </c>
      <c r="F14" s="117">
        <f t="shared" si="4"/>
        <v>0</v>
      </c>
      <c r="G14" s="117">
        <f t="shared" si="4"/>
        <v>0</v>
      </c>
      <c r="H14" s="117">
        <f t="shared" si="4"/>
        <v>0</v>
      </c>
      <c r="I14" s="117">
        <f t="shared" si="4"/>
        <v>0</v>
      </c>
      <c r="J14" s="117">
        <f t="shared" si="4"/>
        <v>0</v>
      </c>
      <c r="K14" s="117">
        <f t="shared" si="4"/>
        <v>0</v>
      </c>
      <c r="L14" s="117">
        <f t="shared" si="4"/>
        <v>0</v>
      </c>
      <c r="M14" s="117">
        <f t="shared" si="4"/>
        <v>0</v>
      </c>
      <c r="N14" s="117">
        <f t="shared" si="4"/>
        <v>0</v>
      </c>
      <c r="O14" s="117">
        <f t="shared" ref="O14:Z20" si="5">INDEX(scorematrix,MATCH($C14,renners,0),MATCH(O$3,etappes,0))</f>
        <v>0</v>
      </c>
      <c r="P14" s="117">
        <f t="shared" si="5"/>
        <v>0</v>
      </c>
      <c r="Q14" s="117">
        <f t="shared" si="5"/>
        <v>0</v>
      </c>
      <c r="R14" s="117">
        <f t="shared" si="5"/>
        <v>0</v>
      </c>
      <c r="S14" s="117">
        <f t="shared" si="5"/>
        <v>0</v>
      </c>
      <c r="T14" s="117">
        <f t="shared" si="5"/>
        <v>0</v>
      </c>
      <c r="U14" s="117">
        <f t="shared" si="5"/>
        <v>0</v>
      </c>
      <c r="V14" s="117">
        <f t="shared" si="5"/>
        <v>0</v>
      </c>
      <c r="W14" s="117">
        <f t="shared" si="5"/>
        <v>0</v>
      </c>
      <c r="X14" s="117">
        <f t="shared" si="5"/>
        <v>0</v>
      </c>
      <c r="Y14" s="117">
        <f t="shared" si="5"/>
        <v>0</v>
      </c>
      <c r="Z14" s="117">
        <f t="shared" si="5"/>
        <v>0</v>
      </c>
      <c r="AA14" s="186">
        <f t="shared" si="2"/>
        <v>0</v>
      </c>
      <c r="AB14" s="116" t="str">
        <f t="shared" si="3"/>
        <v>Zubeldia</v>
      </c>
    </row>
    <row r="15" spans="2:28">
      <c r="B15" s="210"/>
      <c r="C15" s="204" t="s">
        <v>145</v>
      </c>
      <c r="D15" s="276" t="s">
        <v>11</v>
      </c>
      <c r="E15" s="117">
        <f t="shared" si="4"/>
        <v>0</v>
      </c>
      <c r="F15" s="117">
        <f t="shared" si="4"/>
        <v>0</v>
      </c>
      <c r="G15" s="117">
        <f t="shared" si="4"/>
        <v>0</v>
      </c>
      <c r="H15" s="117">
        <f t="shared" si="4"/>
        <v>20</v>
      </c>
      <c r="I15" s="117">
        <f t="shared" si="4"/>
        <v>0</v>
      </c>
      <c r="J15" s="117">
        <f t="shared" si="4"/>
        <v>0</v>
      </c>
      <c r="K15" s="117">
        <f t="shared" si="4"/>
        <v>0</v>
      </c>
      <c r="L15" s="117">
        <f t="shared" si="4"/>
        <v>0</v>
      </c>
      <c r="M15" s="117">
        <f t="shared" si="4"/>
        <v>0</v>
      </c>
      <c r="N15" s="117">
        <f t="shared" si="4"/>
        <v>0</v>
      </c>
      <c r="O15" s="117">
        <f t="shared" si="5"/>
        <v>0</v>
      </c>
      <c r="P15" s="117">
        <f t="shared" si="5"/>
        <v>0</v>
      </c>
      <c r="Q15" s="117">
        <f t="shared" si="5"/>
        <v>0</v>
      </c>
      <c r="R15" s="117">
        <f t="shared" si="5"/>
        <v>0</v>
      </c>
      <c r="S15" s="117">
        <f t="shared" si="5"/>
        <v>0</v>
      </c>
      <c r="T15" s="117">
        <f t="shared" si="5"/>
        <v>0</v>
      </c>
      <c r="U15" s="117">
        <f t="shared" si="5"/>
        <v>0</v>
      </c>
      <c r="V15" s="117">
        <f t="shared" si="5"/>
        <v>0</v>
      </c>
      <c r="W15" s="117">
        <f t="shared" si="5"/>
        <v>0</v>
      </c>
      <c r="X15" s="117">
        <f t="shared" si="5"/>
        <v>0</v>
      </c>
      <c r="Y15" s="117">
        <f t="shared" si="5"/>
        <v>0</v>
      </c>
      <c r="Z15" s="117">
        <f t="shared" si="5"/>
        <v>0</v>
      </c>
      <c r="AA15" s="186">
        <f t="shared" si="2"/>
        <v>20</v>
      </c>
      <c r="AB15" s="116" t="str">
        <f t="shared" si="3"/>
        <v>Bouhanni</v>
      </c>
    </row>
    <row r="16" spans="2:28">
      <c r="B16" s="210"/>
      <c r="C16" s="204" t="s">
        <v>45</v>
      </c>
      <c r="D16" s="276" t="s">
        <v>11</v>
      </c>
      <c r="E16" s="117">
        <f t="shared" si="4"/>
        <v>0</v>
      </c>
      <c r="F16" s="117">
        <f t="shared" si="4"/>
        <v>26</v>
      </c>
      <c r="G16" s="117">
        <f t="shared" si="4"/>
        <v>2</v>
      </c>
      <c r="H16" s="117">
        <f t="shared" si="4"/>
        <v>15</v>
      </c>
      <c r="I16" s="117">
        <f t="shared" si="4"/>
        <v>28</v>
      </c>
      <c r="J16" s="117">
        <f t="shared" si="4"/>
        <v>2</v>
      </c>
      <c r="K16" s="117">
        <f t="shared" si="4"/>
        <v>38</v>
      </c>
      <c r="L16" s="117">
        <f t="shared" si="4"/>
        <v>3</v>
      </c>
      <c r="M16" s="117">
        <f t="shared" si="4"/>
        <v>0</v>
      </c>
      <c r="N16" s="117">
        <f t="shared" si="4"/>
        <v>3</v>
      </c>
      <c r="O16" s="117">
        <f t="shared" si="5"/>
        <v>2</v>
      </c>
      <c r="P16" s="117">
        <f t="shared" si="5"/>
        <v>2</v>
      </c>
      <c r="Q16" s="117">
        <f t="shared" si="5"/>
        <v>2</v>
      </c>
      <c r="R16" s="117">
        <f t="shared" si="5"/>
        <v>2</v>
      </c>
      <c r="S16" s="117">
        <f t="shared" si="5"/>
        <v>2</v>
      </c>
      <c r="T16" s="117">
        <f t="shared" si="5"/>
        <v>2</v>
      </c>
      <c r="U16" s="117">
        <f t="shared" si="5"/>
        <v>2</v>
      </c>
      <c r="V16" s="117">
        <f t="shared" si="5"/>
        <v>2</v>
      </c>
      <c r="W16" s="117">
        <f t="shared" si="5"/>
        <v>2</v>
      </c>
      <c r="X16" s="117">
        <f t="shared" si="5"/>
        <v>2</v>
      </c>
      <c r="Y16" s="117">
        <f t="shared" si="5"/>
        <v>22</v>
      </c>
      <c r="Z16" s="117">
        <f t="shared" si="5"/>
        <v>3</v>
      </c>
      <c r="AA16" s="186">
        <f t="shared" si="2"/>
        <v>162</v>
      </c>
      <c r="AB16" s="116" t="str">
        <f t="shared" si="3"/>
        <v>Cavendish</v>
      </c>
    </row>
    <row r="17" spans="2:28">
      <c r="B17" s="210"/>
      <c r="C17" s="204" t="s">
        <v>155</v>
      </c>
      <c r="D17" s="276" t="s">
        <v>11</v>
      </c>
      <c r="E17" s="117">
        <f t="shared" si="4"/>
        <v>0</v>
      </c>
      <c r="F17" s="117">
        <f t="shared" si="4"/>
        <v>0</v>
      </c>
      <c r="G17" s="117">
        <f t="shared" si="4"/>
        <v>0</v>
      </c>
      <c r="H17" s="117">
        <f t="shared" si="4"/>
        <v>0</v>
      </c>
      <c r="I17" s="117">
        <f t="shared" si="4"/>
        <v>19</v>
      </c>
      <c r="J17" s="117">
        <f t="shared" si="4"/>
        <v>0</v>
      </c>
      <c r="K17" s="117">
        <f t="shared" si="4"/>
        <v>20</v>
      </c>
      <c r="L17" s="117">
        <f t="shared" si="4"/>
        <v>0</v>
      </c>
      <c r="M17" s="117">
        <f t="shared" si="4"/>
        <v>0</v>
      </c>
      <c r="N17" s="117">
        <f t="shared" si="4"/>
        <v>0</v>
      </c>
      <c r="O17" s="117">
        <f t="shared" si="5"/>
        <v>0</v>
      </c>
      <c r="P17" s="117">
        <f t="shared" si="5"/>
        <v>0</v>
      </c>
      <c r="Q17" s="117">
        <f t="shared" si="5"/>
        <v>0</v>
      </c>
      <c r="R17" s="117">
        <f t="shared" si="5"/>
        <v>0</v>
      </c>
      <c r="S17" s="117">
        <f t="shared" si="5"/>
        <v>0</v>
      </c>
      <c r="T17" s="117">
        <f t="shared" si="5"/>
        <v>0</v>
      </c>
      <c r="U17" s="117">
        <f t="shared" si="5"/>
        <v>0</v>
      </c>
      <c r="V17" s="117">
        <f t="shared" si="5"/>
        <v>0</v>
      </c>
      <c r="W17" s="117">
        <f t="shared" si="5"/>
        <v>0</v>
      </c>
      <c r="X17" s="117">
        <f t="shared" si="5"/>
        <v>0</v>
      </c>
      <c r="Y17" s="117">
        <f t="shared" si="5"/>
        <v>22</v>
      </c>
      <c r="Z17" s="117">
        <f t="shared" si="5"/>
        <v>0</v>
      </c>
      <c r="AA17" s="186">
        <f t="shared" si="2"/>
        <v>61</v>
      </c>
      <c r="AB17" s="116" t="str">
        <f t="shared" si="3"/>
        <v>Demare</v>
      </c>
    </row>
    <row r="18" spans="2:28">
      <c r="B18" s="210"/>
      <c r="C18" s="204" t="s">
        <v>56</v>
      </c>
      <c r="D18" s="276" t="s">
        <v>11</v>
      </c>
      <c r="E18" s="117">
        <f t="shared" si="4"/>
        <v>0</v>
      </c>
      <c r="F18" s="117">
        <f t="shared" si="4"/>
        <v>40</v>
      </c>
      <c r="G18" s="117">
        <f t="shared" si="4"/>
        <v>5</v>
      </c>
      <c r="H18" s="117">
        <f t="shared" si="4"/>
        <v>5</v>
      </c>
      <c r="I18" s="117">
        <f t="shared" si="4"/>
        <v>40</v>
      </c>
      <c r="J18" s="117">
        <f t="shared" si="4"/>
        <v>5</v>
      </c>
      <c r="K18" s="117">
        <f t="shared" si="4"/>
        <v>35</v>
      </c>
      <c r="L18" s="117">
        <f t="shared" si="4"/>
        <v>4</v>
      </c>
      <c r="M18" s="117">
        <f t="shared" si="4"/>
        <v>0</v>
      </c>
      <c r="N18" s="117">
        <f t="shared" si="4"/>
        <v>5</v>
      </c>
      <c r="O18" s="117">
        <f t="shared" si="5"/>
        <v>4</v>
      </c>
      <c r="P18" s="117">
        <f t="shared" si="5"/>
        <v>4</v>
      </c>
      <c r="Q18" s="117">
        <f t="shared" si="5"/>
        <v>4</v>
      </c>
      <c r="R18" s="117">
        <f t="shared" si="5"/>
        <v>4</v>
      </c>
      <c r="S18" s="117">
        <f t="shared" si="5"/>
        <v>39</v>
      </c>
      <c r="T18" s="117">
        <f t="shared" si="5"/>
        <v>4</v>
      </c>
      <c r="U18" s="117">
        <f t="shared" si="5"/>
        <v>4</v>
      </c>
      <c r="V18" s="117">
        <f t="shared" si="5"/>
        <v>4</v>
      </c>
      <c r="W18" s="117">
        <f t="shared" si="5"/>
        <v>4</v>
      </c>
      <c r="X18" s="117">
        <f t="shared" si="5"/>
        <v>4</v>
      </c>
      <c r="Y18" s="117">
        <f t="shared" si="5"/>
        <v>39</v>
      </c>
      <c r="Z18" s="117">
        <f t="shared" si="5"/>
        <v>7</v>
      </c>
      <c r="AA18" s="186">
        <f t="shared" si="2"/>
        <v>260</v>
      </c>
      <c r="AB18" s="116" t="str">
        <f t="shared" si="3"/>
        <v>Greipel</v>
      </c>
    </row>
    <row r="19" spans="2:28">
      <c r="B19" s="210"/>
      <c r="C19" s="204" t="s">
        <v>97</v>
      </c>
      <c r="D19" s="276" t="s">
        <v>11</v>
      </c>
      <c r="E19" s="117">
        <f t="shared" si="4"/>
        <v>0</v>
      </c>
      <c r="F19" s="117">
        <f t="shared" si="4"/>
        <v>0</v>
      </c>
      <c r="G19" s="117">
        <f t="shared" si="4"/>
        <v>0</v>
      </c>
      <c r="H19" s="117">
        <f t="shared" si="4"/>
        <v>0</v>
      </c>
      <c r="I19" s="117">
        <f t="shared" si="4"/>
        <v>24</v>
      </c>
      <c r="J19" s="117">
        <f t="shared" si="4"/>
        <v>15</v>
      </c>
      <c r="K19" s="117">
        <f t="shared" si="4"/>
        <v>22</v>
      </c>
      <c r="L19" s="117">
        <f t="shared" si="4"/>
        <v>0</v>
      </c>
      <c r="M19" s="117">
        <f t="shared" si="4"/>
        <v>0</v>
      </c>
      <c r="N19" s="117">
        <f t="shared" si="4"/>
        <v>0</v>
      </c>
      <c r="O19" s="117">
        <f t="shared" si="5"/>
        <v>0</v>
      </c>
      <c r="P19" s="117">
        <f t="shared" si="5"/>
        <v>0</v>
      </c>
      <c r="Q19" s="117">
        <f t="shared" si="5"/>
        <v>0</v>
      </c>
      <c r="R19" s="117">
        <f t="shared" si="5"/>
        <v>0</v>
      </c>
      <c r="S19" s="117">
        <f t="shared" si="5"/>
        <v>26</v>
      </c>
      <c r="T19" s="117">
        <f t="shared" si="5"/>
        <v>0</v>
      </c>
      <c r="U19" s="117">
        <f t="shared" si="5"/>
        <v>0</v>
      </c>
      <c r="V19" s="117">
        <f t="shared" si="5"/>
        <v>0</v>
      </c>
      <c r="W19" s="117">
        <f t="shared" si="5"/>
        <v>0</v>
      </c>
      <c r="X19" s="117">
        <f t="shared" si="5"/>
        <v>0</v>
      </c>
      <c r="Y19" s="117">
        <f t="shared" si="5"/>
        <v>26</v>
      </c>
      <c r="Z19" s="117">
        <f t="shared" si="5"/>
        <v>0</v>
      </c>
      <c r="AA19" s="186">
        <f t="shared" si="2"/>
        <v>113</v>
      </c>
      <c r="AB19" s="116" t="str">
        <f>C19</f>
        <v>Kristoff</v>
      </c>
    </row>
    <row r="20" spans="2:28" s="170" customFormat="1" ht="13.5" thickBot="1">
      <c r="B20" s="210"/>
      <c r="C20" s="204" t="s">
        <v>74</v>
      </c>
      <c r="D20" s="276" t="s">
        <v>11</v>
      </c>
      <c r="E20" s="117">
        <f t="shared" si="4"/>
        <v>7</v>
      </c>
      <c r="F20" s="117">
        <f t="shared" si="4"/>
        <v>41</v>
      </c>
      <c r="G20" s="117">
        <f t="shared" si="4"/>
        <v>9</v>
      </c>
      <c r="H20" s="117">
        <f t="shared" si="4"/>
        <v>36</v>
      </c>
      <c r="I20" s="117">
        <f t="shared" si="4"/>
        <v>41</v>
      </c>
      <c r="J20" s="117">
        <f t="shared" si="4"/>
        <v>41</v>
      </c>
      <c r="K20" s="117">
        <f t="shared" si="4"/>
        <v>39</v>
      </c>
      <c r="L20" s="117">
        <f t="shared" si="4"/>
        <v>38</v>
      </c>
      <c r="M20" s="117">
        <f t="shared" si="4"/>
        <v>0</v>
      </c>
      <c r="N20" s="117">
        <f t="shared" si="4"/>
        <v>4</v>
      </c>
      <c r="O20" s="117">
        <f t="shared" si="5"/>
        <v>5</v>
      </c>
      <c r="P20" s="117">
        <f t="shared" si="5"/>
        <v>5</v>
      </c>
      <c r="Q20" s="117">
        <f t="shared" si="5"/>
        <v>35</v>
      </c>
      <c r="R20" s="117">
        <f t="shared" si="5"/>
        <v>27</v>
      </c>
      <c r="S20" s="117">
        <f t="shared" si="5"/>
        <v>29</v>
      </c>
      <c r="T20" s="117">
        <f t="shared" si="5"/>
        <v>35</v>
      </c>
      <c r="U20" s="117">
        <f t="shared" si="5"/>
        <v>5</v>
      </c>
      <c r="V20" s="117">
        <f t="shared" si="5"/>
        <v>5</v>
      </c>
      <c r="W20" s="117">
        <f t="shared" si="5"/>
        <v>5</v>
      </c>
      <c r="X20" s="117">
        <f t="shared" si="5"/>
        <v>5</v>
      </c>
      <c r="Y20" s="117">
        <f t="shared" si="5"/>
        <v>24</v>
      </c>
      <c r="Z20" s="117">
        <f t="shared" si="5"/>
        <v>10</v>
      </c>
      <c r="AA20" s="186">
        <f t="shared" si="2"/>
        <v>446</v>
      </c>
      <c r="AB20" s="116" t="str">
        <f>C20</f>
        <v>Sagan</v>
      </c>
    </row>
    <row r="21" spans="2:28" s="171" customFormat="1">
      <c r="B21" s="211"/>
      <c r="C21" s="205"/>
      <c r="D21" s="271"/>
      <c r="E21" s="180"/>
      <c r="F21" s="180"/>
      <c r="G21" s="180"/>
      <c r="H21" s="180">
        <f>H26</f>
        <v>33</v>
      </c>
      <c r="I21" s="180"/>
      <c r="J21" s="180"/>
      <c r="K21" s="180"/>
      <c r="L21" s="180"/>
      <c r="M21" s="180"/>
      <c r="N21" s="180"/>
      <c r="O21" s="180"/>
      <c r="P21" s="180"/>
      <c r="Q21" s="180"/>
      <c r="R21" s="180"/>
      <c r="S21" s="180"/>
      <c r="T21" s="180"/>
      <c r="U21" s="180"/>
      <c r="V21" s="180"/>
      <c r="W21" s="180"/>
      <c r="X21" s="180"/>
      <c r="Y21" s="180"/>
      <c r="Z21" s="180"/>
      <c r="AA21" s="239"/>
    </row>
    <row r="22" spans="2:28" s="120" customFormat="1">
      <c r="B22" s="212"/>
      <c r="C22" s="206"/>
      <c r="D22" s="206"/>
      <c r="E22" s="172">
        <f t="shared" ref="E22:Z22" si="6">SUM(E4:E21)</f>
        <v>49</v>
      </c>
      <c r="F22" s="172">
        <f t="shared" si="6"/>
        <v>141</v>
      </c>
      <c r="G22" s="172">
        <f>SUM(G4:G21)</f>
        <v>84</v>
      </c>
      <c r="H22" s="172">
        <f t="shared" si="6"/>
        <v>161</v>
      </c>
      <c r="I22" s="172">
        <f t="shared" si="6"/>
        <v>168</v>
      </c>
      <c r="J22" s="172">
        <f t="shared" si="6"/>
        <v>97</v>
      </c>
      <c r="K22" s="172">
        <f t="shared" si="6"/>
        <v>169</v>
      </c>
      <c r="L22" s="172">
        <f t="shared" si="6"/>
        <v>112</v>
      </c>
      <c r="M22" s="172">
        <f t="shared" si="6"/>
        <v>0.1</v>
      </c>
      <c r="N22" s="172">
        <f t="shared" si="6"/>
        <v>67</v>
      </c>
      <c r="O22" s="172">
        <f t="shared" si="6"/>
        <v>96</v>
      </c>
      <c r="P22" s="172">
        <f t="shared" si="6"/>
        <v>98</v>
      </c>
      <c r="Q22" s="172">
        <f t="shared" si="6"/>
        <v>97</v>
      </c>
      <c r="R22" s="172">
        <f t="shared" si="6"/>
        <v>129</v>
      </c>
      <c r="S22" s="172">
        <f t="shared" si="6"/>
        <v>112</v>
      </c>
      <c r="T22" s="172">
        <f t="shared" si="6"/>
        <v>57</v>
      </c>
      <c r="U22" s="172">
        <f t="shared" si="6"/>
        <v>82</v>
      </c>
      <c r="V22" s="172">
        <f t="shared" si="6"/>
        <v>72</v>
      </c>
      <c r="W22" s="172">
        <f t="shared" si="6"/>
        <v>103</v>
      </c>
      <c r="X22" s="172">
        <f t="shared" si="6"/>
        <v>102</v>
      </c>
      <c r="Y22" s="172">
        <f t="shared" si="6"/>
        <v>148</v>
      </c>
      <c r="Z22" s="172">
        <f t="shared" si="6"/>
        <v>134</v>
      </c>
      <c r="AA22" s="236">
        <f>SUM(AA4:AA21)</f>
        <v>2245.1</v>
      </c>
    </row>
    <row r="23" spans="2:28" s="173" customFormat="1">
      <c r="B23" s="213"/>
      <c r="C23" s="207"/>
      <c r="D23" s="207"/>
      <c r="E23" s="151"/>
      <c r="F23" s="151"/>
      <c r="G23" s="151"/>
      <c r="H23" s="174"/>
      <c r="I23" s="151"/>
      <c r="J23" s="151"/>
      <c r="K23" s="151"/>
      <c r="L23" s="151"/>
      <c r="M23" s="151"/>
      <c r="N23" s="151"/>
      <c r="O23" s="151"/>
      <c r="P23" s="151"/>
      <c r="Q23" s="151"/>
      <c r="R23" s="151"/>
      <c r="S23" s="151"/>
      <c r="T23" s="151"/>
      <c r="U23" s="151"/>
      <c r="V23" s="151"/>
      <c r="W23" s="151"/>
      <c r="X23" s="151"/>
      <c r="Y23" s="151"/>
      <c r="Z23" s="151"/>
      <c r="AA23" s="237"/>
    </row>
    <row r="24" spans="2:28" s="175" customFormat="1">
      <c r="B24" s="210"/>
      <c r="C24" s="208" t="s">
        <v>186</v>
      </c>
      <c r="D24" s="208"/>
      <c r="E24" s="193">
        <f t="shared" ref="E24:Z26" si="7">INDEX(scorematrix,MATCH($C24,renners,0),MATCH(E$3,etappes,0))</f>
        <v>43</v>
      </c>
      <c r="F24" s="193">
        <f t="shared" si="7"/>
        <v>27</v>
      </c>
      <c r="G24" s="193">
        <f t="shared" si="7"/>
        <v>9</v>
      </c>
      <c r="H24" s="193">
        <f t="shared" si="7"/>
        <v>47</v>
      </c>
      <c r="I24" s="193">
        <f t="shared" si="7"/>
        <v>11</v>
      </c>
      <c r="J24" s="193">
        <f t="shared" si="7"/>
        <v>10</v>
      </c>
      <c r="K24" s="193">
        <f t="shared" si="7"/>
        <v>0</v>
      </c>
      <c r="L24" s="193">
        <f t="shared" si="7"/>
        <v>0</v>
      </c>
      <c r="M24" s="193">
        <f t="shared" si="7"/>
        <v>0</v>
      </c>
      <c r="N24" s="193">
        <f t="shared" si="7"/>
        <v>0</v>
      </c>
      <c r="O24" s="193">
        <f t="shared" si="7"/>
        <v>0</v>
      </c>
      <c r="P24" s="193">
        <f t="shared" si="7"/>
        <v>0</v>
      </c>
      <c r="Q24" s="193">
        <f t="shared" si="7"/>
        <v>0</v>
      </c>
      <c r="R24" s="193">
        <f t="shared" si="7"/>
        <v>0</v>
      </c>
      <c r="S24" s="193">
        <f t="shared" si="7"/>
        <v>0</v>
      </c>
      <c r="T24" s="193">
        <f t="shared" si="7"/>
        <v>0</v>
      </c>
      <c r="U24" s="193">
        <f t="shared" si="7"/>
        <v>0</v>
      </c>
      <c r="V24" s="193">
        <f t="shared" si="7"/>
        <v>0</v>
      </c>
      <c r="W24" s="193">
        <f t="shared" si="7"/>
        <v>0</v>
      </c>
      <c r="X24" s="193">
        <f t="shared" si="7"/>
        <v>0</v>
      </c>
      <c r="Y24" s="193">
        <f t="shared" si="7"/>
        <v>0</v>
      </c>
      <c r="Z24" s="193">
        <f t="shared" si="7"/>
        <v>0</v>
      </c>
      <c r="AA24" s="238">
        <f>SUM(E24:Z24)</f>
        <v>147</v>
      </c>
    </row>
    <row r="25" spans="2:28" s="175" customFormat="1">
      <c r="B25" s="210"/>
      <c r="C25" s="208" t="s">
        <v>55</v>
      </c>
      <c r="D25" s="208"/>
      <c r="E25" s="193">
        <f t="shared" si="7"/>
        <v>12</v>
      </c>
      <c r="F25" s="193">
        <f t="shared" si="7"/>
        <v>0</v>
      </c>
      <c r="G25" s="193">
        <f t="shared" si="7"/>
        <v>16</v>
      </c>
      <c r="H25" s="193">
        <f t="shared" si="7"/>
        <v>10</v>
      </c>
      <c r="I25" s="193">
        <f t="shared" si="7"/>
        <v>0</v>
      </c>
      <c r="J25" s="193">
        <f t="shared" si="7"/>
        <v>0</v>
      </c>
      <c r="K25" s="193">
        <f t="shared" si="7"/>
        <v>0</v>
      </c>
      <c r="L25" s="193">
        <f t="shared" si="7"/>
        <v>18</v>
      </c>
      <c r="M25" s="193">
        <f t="shared" si="7"/>
        <v>0</v>
      </c>
      <c r="N25" s="193">
        <f t="shared" si="7"/>
        <v>9</v>
      </c>
      <c r="O25" s="193">
        <f t="shared" si="7"/>
        <v>20</v>
      </c>
      <c r="P25" s="193">
        <f t="shared" si="7"/>
        <v>8</v>
      </c>
      <c r="Q25" s="193">
        <f t="shared" si="7"/>
        <v>1</v>
      </c>
      <c r="R25" s="193">
        <f t="shared" si="7"/>
        <v>1</v>
      </c>
      <c r="S25" s="193">
        <f t="shared" si="7"/>
        <v>1</v>
      </c>
      <c r="T25" s="193">
        <f t="shared" si="7"/>
        <v>2</v>
      </c>
      <c r="U25" s="193">
        <f t="shared" si="7"/>
        <v>2</v>
      </c>
      <c r="V25" s="193">
        <f t="shared" si="7"/>
        <v>2</v>
      </c>
      <c r="W25" s="193">
        <f t="shared" si="7"/>
        <v>22</v>
      </c>
      <c r="X25" s="193">
        <f t="shared" si="7"/>
        <v>16</v>
      </c>
      <c r="Y25" s="193">
        <f t="shared" si="7"/>
        <v>4</v>
      </c>
      <c r="Z25" s="193">
        <f t="shared" si="7"/>
        <v>38</v>
      </c>
      <c r="AA25" s="238">
        <f>SUM(E25:Z25)</f>
        <v>182</v>
      </c>
    </row>
    <row r="26" spans="2:28" s="175" customFormat="1">
      <c r="B26" s="210"/>
      <c r="C26" s="208" t="s">
        <v>96</v>
      </c>
      <c r="D26" s="208"/>
      <c r="E26" s="193">
        <f t="shared" si="7"/>
        <v>0</v>
      </c>
      <c r="F26" s="193">
        <f t="shared" si="7"/>
        <v>0</v>
      </c>
      <c r="G26" s="193">
        <f t="shared" si="7"/>
        <v>0</v>
      </c>
      <c r="H26" s="234">
        <f t="shared" si="7"/>
        <v>33</v>
      </c>
      <c r="I26" s="193">
        <f t="shared" si="7"/>
        <v>23</v>
      </c>
      <c r="J26" s="193">
        <f t="shared" si="7"/>
        <v>27</v>
      </c>
      <c r="K26" s="193">
        <f t="shared" si="7"/>
        <v>26</v>
      </c>
      <c r="L26" s="193">
        <f t="shared" si="7"/>
        <v>2</v>
      </c>
      <c r="M26" s="193">
        <f t="shared" si="7"/>
        <v>0</v>
      </c>
      <c r="N26" s="193">
        <f t="shared" si="7"/>
        <v>2</v>
      </c>
      <c r="O26" s="193">
        <f t="shared" si="7"/>
        <v>3</v>
      </c>
      <c r="P26" s="193">
        <f t="shared" si="7"/>
        <v>3</v>
      </c>
      <c r="Q26" s="193">
        <f t="shared" si="7"/>
        <v>27</v>
      </c>
      <c r="R26" s="193">
        <f t="shared" si="7"/>
        <v>3</v>
      </c>
      <c r="S26" s="193">
        <f t="shared" si="7"/>
        <v>33</v>
      </c>
      <c r="T26" s="193">
        <f t="shared" si="7"/>
        <v>3</v>
      </c>
      <c r="U26" s="193">
        <f t="shared" si="7"/>
        <v>3</v>
      </c>
      <c r="V26" s="193">
        <f t="shared" si="7"/>
        <v>3</v>
      </c>
      <c r="W26" s="193">
        <f t="shared" si="7"/>
        <v>3</v>
      </c>
      <c r="X26" s="193">
        <f t="shared" si="7"/>
        <v>3</v>
      </c>
      <c r="Y26" s="193">
        <f t="shared" si="7"/>
        <v>21</v>
      </c>
      <c r="Z26" s="193">
        <f t="shared" si="7"/>
        <v>5</v>
      </c>
      <c r="AA26" s="238">
        <f>SUM(E26:Z26)</f>
        <v>223</v>
      </c>
    </row>
    <row r="28" spans="2:28">
      <c r="C28" s="301" t="s">
        <v>136</v>
      </c>
      <c r="D28" s="302">
        <f>COUNTIF($D$4:$D$21,C28)</f>
        <v>10</v>
      </c>
    </row>
    <row r="29" spans="2:28">
      <c r="C29" s="303" t="s">
        <v>11</v>
      </c>
      <c r="D29" s="302">
        <f>COUNTIF($D$4:$D$21,C29)</f>
        <v>6</v>
      </c>
    </row>
    <row r="30" spans="2:28">
      <c r="C30" s="303" t="s">
        <v>117</v>
      </c>
      <c r="D30" s="302">
        <f>COUNTIF($D$4:$D$21,C30)</f>
        <v>1</v>
      </c>
    </row>
  </sheetData>
  <sheetProtection selectLockedCells="1"/>
  <sortState ref="C4:D20">
    <sortCondition ref="D4:D20"/>
    <sortCondition ref="C4:C20"/>
  </sortState>
  <dataValidations count="1">
    <dataValidation type="list" allowBlank="1" showInputMessage="1" showErrorMessage="1" prompt="selecteer type renner:" sqref="D4:D20">
      <formula1>type_renner</formula1>
    </dataValidation>
  </dataValidation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sheetPr codeName="Blad24" enableFormatConditionsCalculation="0">
    <tabColor indexed="12"/>
  </sheetPr>
  <dimension ref="B1:AB30"/>
  <sheetViews>
    <sheetView showZeros="0" workbookViewId="0">
      <selection activeCell="P24" sqref="P24"/>
    </sheetView>
  </sheetViews>
  <sheetFormatPr defaultRowHeight="12.75"/>
  <cols>
    <col min="1" max="1" width="2.7109375" style="116" customWidth="1"/>
    <col min="2" max="2" width="8.85546875" style="116" customWidth="1"/>
    <col min="3" max="4" width="13" style="121" customWidth="1"/>
    <col min="5" max="7" width="5" style="117" customWidth="1"/>
    <col min="8" max="8" width="5" style="148" customWidth="1"/>
    <col min="9" max="16" width="5" style="136" customWidth="1"/>
    <col min="17" max="17" width="5" style="134" customWidth="1"/>
    <col min="18" max="26" width="5" style="116" customWidth="1"/>
    <col min="27" max="27" width="5" style="120" customWidth="1"/>
    <col min="28" max="28" width="15" style="116" customWidth="1"/>
    <col min="29" max="16384" width="9.140625" style="116"/>
  </cols>
  <sheetData>
    <row r="1" spans="2:28">
      <c r="C1" s="273" t="s">
        <v>44</v>
      </c>
      <c r="D1" s="273"/>
      <c r="E1" s="136"/>
    </row>
    <row r="2" spans="2:28">
      <c r="C2" s="177"/>
      <c r="D2" s="177"/>
      <c r="H2" s="136"/>
    </row>
    <row r="3" spans="2:28" s="134" customFormat="1" ht="13.5" thickBot="1">
      <c r="C3" s="274" t="s">
        <v>107</v>
      </c>
      <c r="D3" s="274"/>
      <c r="E3" s="119">
        <v>1</v>
      </c>
      <c r="F3" s="119">
        <v>2</v>
      </c>
      <c r="G3" s="119">
        <v>3</v>
      </c>
      <c r="H3" s="119">
        <v>4</v>
      </c>
      <c r="I3" s="119">
        <v>5</v>
      </c>
      <c r="J3" s="119">
        <v>6</v>
      </c>
      <c r="K3" s="119">
        <v>7</v>
      </c>
      <c r="L3" s="119">
        <v>8</v>
      </c>
      <c r="M3" s="119">
        <v>9</v>
      </c>
      <c r="N3" s="119">
        <v>10</v>
      </c>
      <c r="O3" s="119">
        <v>11</v>
      </c>
      <c r="P3" s="119">
        <v>12</v>
      </c>
      <c r="Q3" s="119">
        <v>13</v>
      </c>
      <c r="R3" s="119">
        <v>14</v>
      </c>
      <c r="S3" s="119">
        <v>15</v>
      </c>
      <c r="T3" s="119">
        <v>16</v>
      </c>
      <c r="U3" s="119">
        <v>17</v>
      </c>
      <c r="V3" s="119">
        <v>18</v>
      </c>
      <c r="W3" s="119">
        <v>19</v>
      </c>
      <c r="X3" s="119">
        <v>20</v>
      </c>
      <c r="Y3" s="119">
        <v>21</v>
      </c>
      <c r="Z3" s="119" t="s">
        <v>1</v>
      </c>
      <c r="AA3" s="154"/>
    </row>
    <row r="4" spans="2:28">
      <c r="B4" s="169"/>
      <c r="C4" s="275" t="s">
        <v>148</v>
      </c>
      <c r="D4" s="276" t="s">
        <v>117</v>
      </c>
      <c r="E4" s="117">
        <f t="shared" ref="E4:N13" si="0">INDEX(scorematrix,MATCH($C4,renners,0),MATCH(E$3,etappes,0))</f>
        <v>0</v>
      </c>
      <c r="F4" s="117">
        <f t="shared" si="0"/>
        <v>0</v>
      </c>
      <c r="G4" s="117">
        <f t="shared" si="0"/>
        <v>29</v>
      </c>
      <c r="H4" s="117">
        <f t="shared" si="0"/>
        <v>25</v>
      </c>
      <c r="I4" s="117">
        <f t="shared" si="0"/>
        <v>6</v>
      </c>
      <c r="J4" s="117">
        <f t="shared" si="0"/>
        <v>26</v>
      </c>
      <c r="K4" s="117">
        <f t="shared" si="0"/>
        <v>7</v>
      </c>
      <c r="L4" s="117">
        <f t="shared" si="0"/>
        <v>29</v>
      </c>
      <c r="M4" s="117">
        <f t="shared" si="0"/>
        <v>0</v>
      </c>
      <c r="N4" s="117">
        <f t="shared" si="0"/>
        <v>21</v>
      </c>
      <c r="O4" s="117">
        <f t="shared" ref="O4:Z13" si="1">INDEX(scorematrix,MATCH($C4,renners,0),MATCH(O$3,etappes,0))</f>
        <v>13</v>
      </c>
      <c r="P4" s="117">
        <f t="shared" si="1"/>
        <v>3</v>
      </c>
      <c r="Q4" s="117">
        <f t="shared" si="1"/>
        <v>18</v>
      </c>
      <c r="R4" s="117">
        <f t="shared" si="1"/>
        <v>2</v>
      </c>
      <c r="S4" s="117">
        <f t="shared" si="1"/>
        <v>2</v>
      </c>
      <c r="T4" s="117">
        <f t="shared" si="1"/>
        <v>2</v>
      </c>
      <c r="U4" s="117">
        <f t="shared" si="1"/>
        <v>0</v>
      </c>
      <c r="V4" s="117">
        <f t="shared" si="1"/>
        <v>0</v>
      </c>
      <c r="W4" s="117">
        <f t="shared" si="1"/>
        <v>0</v>
      </c>
      <c r="X4" s="117">
        <f t="shared" si="1"/>
        <v>0</v>
      </c>
      <c r="Y4" s="117">
        <f t="shared" si="1"/>
        <v>0</v>
      </c>
      <c r="Z4" s="117">
        <f t="shared" si="1"/>
        <v>0</v>
      </c>
      <c r="AA4" s="186">
        <f t="shared" ref="AA4:AA21" si="2">SUM(E4:Z4)</f>
        <v>183</v>
      </c>
      <c r="AB4" s="116" t="str">
        <f>C4</f>
        <v>Gallopin</v>
      </c>
    </row>
    <row r="5" spans="2:28">
      <c r="B5" s="169"/>
      <c r="C5" s="277" t="s">
        <v>111</v>
      </c>
      <c r="D5" s="276" t="s">
        <v>117</v>
      </c>
      <c r="E5" s="117">
        <f t="shared" si="0"/>
        <v>0</v>
      </c>
      <c r="F5" s="117">
        <f t="shared" si="0"/>
        <v>0</v>
      </c>
      <c r="G5" s="117">
        <f t="shared" si="0"/>
        <v>0</v>
      </c>
      <c r="H5" s="117">
        <f t="shared" si="0"/>
        <v>0</v>
      </c>
      <c r="I5" s="117">
        <f t="shared" si="0"/>
        <v>0</v>
      </c>
      <c r="J5" s="117">
        <f t="shared" si="0"/>
        <v>0</v>
      </c>
      <c r="K5" s="117">
        <f t="shared" si="0"/>
        <v>0</v>
      </c>
      <c r="L5" s="117">
        <f t="shared" si="0"/>
        <v>0</v>
      </c>
      <c r="M5" s="117">
        <f t="shared" si="0"/>
        <v>0</v>
      </c>
      <c r="N5" s="117">
        <f t="shared" si="0"/>
        <v>0</v>
      </c>
      <c r="O5" s="117">
        <f t="shared" si="1"/>
        <v>0</v>
      </c>
      <c r="P5" s="117">
        <f t="shared" si="1"/>
        <v>0</v>
      </c>
      <c r="Q5" s="117">
        <f t="shared" si="1"/>
        <v>0</v>
      </c>
      <c r="R5" s="117">
        <f t="shared" si="1"/>
        <v>0</v>
      </c>
      <c r="S5" s="117">
        <f t="shared" si="1"/>
        <v>0</v>
      </c>
      <c r="T5" s="117">
        <f t="shared" si="1"/>
        <v>0</v>
      </c>
      <c r="U5" s="117">
        <f t="shared" si="1"/>
        <v>0</v>
      </c>
      <c r="V5" s="117">
        <f t="shared" si="1"/>
        <v>0</v>
      </c>
      <c r="W5" s="117">
        <f t="shared" si="1"/>
        <v>0</v>
      </c>
      <c r="X5" s="117">
        <f t="shared" si="1"/>
        <v>0</v>
      </c>
      <c r="Y5" s="117">
        <f t="shared" si="1"/>
        <v>0</v>
      </c>
      <c r="Z5" s="117">
        <f t="shared" si="1"/>
        <v>0</v>
      </c>
      <c r="AA5" s="186">
        <f t="shared" si="2"/>
        <v>0</v>
      </c>
      <c r="AB5" s="116" t="str">
        <f t="shared" ref="AB5:AB20" si="3">C5</f>
        <v>Kwiatkowski</v>
      </c>
    </row>
    <row r="6" spans="2:28">
      <c r="B6" s="169"/>
      <c r="C6" s="277" t="s">
        <v>149</v>
      </c>
      <c r="D6" s="276" t="s">
        <v>136</v>
      </c>
      <c r="E6" s="117">
        <f t="shared" si="0"/>
        <v>0</v>
      </c>
      <c r="F6" s="117">
        <f t="shared" si="0"/>
        <v>0</v>
      </c>
      <c r="G6" s="117">
        <f t="shared" si="0"/>
        <v>0</v>
      </c>
      <c r="H6" s="117">
        <f t="shared" si="0"/>
        <v>0</v>
      </c>
      <c r="I6" s="117">
        <f t="shared" si="0"/>
        <v>0</v>
      </c>
      <c r="J6" s="117">
        <f t="shared" si="0"/>
        <v>0</v>
      </c>
      <c r="K6" s="117">
        <f t="shared" si="0"/>
        <v>0</v>
      </c>
      <c r="L6" s="117">
        <f t="shared" si="0"/>
        <v>0</v>
      </c>
      <c r="M6" s="117">
        <f t="shared" si="0"/>
        <v>0</v>
      </c>
      <c r="N6" s="117">
        <f t="shared" si="0"/>
        <v>0</v>
      </c>
      <c r="O6" s="117">
        <f t="shared" si="1"/>
        <v>26</v>
      </c>
      <c r="P6" s="117">
        <f t="shared" si="1"/>
        <v>0</v>
      </c>
      <c r="Q6" s="117">
        <f t="shared" si="1"/>
        <v>0</v>
      </c>
      <c r="R6" s="117">
        <f t="shared" si="1"/>
        <v>0</v>
      </c>
      <c r="S6" s="117">
        <f t="shared" si="1"/>
        <v>0</v>
      </c>
      <c r="T6" s="117">
        <f t="shared" si="1"/>
        <v>0</v>
      </c>
      <c r="U6" s="117">
        <f t="shared" si="1"/>
        <v>0</v>
      </c>
      <c r="V6" s="117">
        <f t="shared" si="1"/>
        <v>0</v>
      </c>
      <c r="W6" s="117">
        <f t="shared" si="1"/>
        <v>0</v>
      </c>
      <c r="X6" s="117">
        <f t="shared" si="1"/>
        <v>0</v>
      </c>
      <c r="Y6" s="117">
        <f t="shared" si="1"/>
        <v>0</v>
      </c>
      <c r="Z6" s="117">
        <f t="shared" si="1"/>
        <v>0</v>
      </c>
      <c r="AA6" s="186">
        <f t="shared" si="2"/>
        <v>26</v>
      </c>
      <c r="AB6" s="116" t="str">
        <f t="shared" si="3"/>
        <v>Buchmann</v>
      </c>
    </row>
    <row r="7" spans="2:28">
      <c r="B7" s="169"/>
      <c r="C7" s="277" t="s">
        <v>93</v>
      </c>
      <c r="D7" s="276" t="s">
        <v>136</v>
      </c>
      <c r="E7" s="117">
        <f t="shared" si="0"/>
        <v>0</v>
      </c>
      <c r="F7" s="117">
        <f t="shared" si="0"/>
        <v>0</v>
      </c>
      <c r="G7" s="117">
        <f t="shared" si="0"/>
        <v>0</v>
      </c>
      <c r="H7" s="117">
        <f t="shared" si="0"/>
        <v>0</v>
      </c>
      <c r="I7" s="117">
        <f t="shared" si="0"/>
        <v>0</v>
      </c>
      <c r="J7" s="117">
        <f t="shared" si="0"/>
        <v>0</v>
      </c>
      <c r="K7" s="117">
        <f t="shared" si="0"/>
        <v>0</v>
      </c>
      <c r="L7" s="117">
        <f t="shared" si="0"/>
        <v>0</v>
      </c>
      <c r="M7" s="117">
        <f t="shared" si="0"/>
        <v>0</v>
      </c>
      <c r="N7" s="117">
        <f t="shared" si="0"/>
        <v>0</v>
      </c>
      <c r="O7" s="117">
        <f t="shared" si="1"/>
        <v>0</v>
      </c>
      <c r="P7" s="117">
        <f t="shared" si="1"/>
        <v>0</v>
      </c>
      <c r="Q7" s="117">
        <f t="shared" si="1"/>
        <v>0</v>
      </c>
      <c r="R7" s="117">
        <f t="shared" si="1"/>
        <v>0</v>
      </c>
      <c r="S7" s="117">
        <f t="shared" si="1"/>
        <v>0</v>
      </c>
      <c r="T7" s="117">
        <f t="shared" si="1"/>
        <v>0</v>
      </c>
      <c r="U7" s="117">
        <f t="shared" si="1"/>
        <v>0</v>
      </c>
      <c r="V7" s="117">
        <f t="shared" si="1"/>
        <v>0</v>
      </c>
      <c r="W7" s="117">
        <f t="shared" si="1"/>
        <v>0</v>
      </c>
      <c r="X7" s="117">
        <f t="shared" si="1"/>
        <v>0</v>
      </c>
      <c r="Y7" s="117">
        <f t="shared" si="1"/>
        <v>0</v>
      </c>
      <c r="Z7" s="117">
        <f t="shared" si="1"/>
        <v>0</v>
      </c>
      <c r="AA7" s="186">
        <f t="shared" si="2"/>
        <v>0</v>
      </c>
      <c r="AB7" s="116" t="str">
        <f t="shared" si="3"/>
        <v>Costa</v>
      </c>
    </row>
    <row r="8" spans="2:28">
      <c r="B8" s="169"/>
      <c r="C8" s="277" t="s">
        <v>130</v>
      </c>
      <c r="D8" s="276" t="s">
        <v>136</v>
      </c>
      <c r="E8" s="117">
        <f t="shared" si="0"/>
        <v>0</v>
      </c>
      <c r="F8" s="117">
        <f t="shared" si="0"/>
        <v>0</v>
      </c>
      <c r="G8" s="117">
        <f t="shared" si="0"/>
        <v>0</v>
      </c>
      <c r="H8" s="117">
        <f t="shared" si="0"/>
        <v>0</v>
      </c>
      <c r="I8" s="117">
        <f t="shared" si="0"/>
        <v>0</v>
      </c>
      <c r="J8" s="117">
        <f t="shared" si="0"/>
        <v>7</v>
      </c>
      <c r="K8" s="117">
        <f t="shared" si="0"/>
        <v>0</v>
      </c>
      <c r="L8" s="117">
        <f t="shared" si="0"/>
        <v>0</v>
      </c>
      <c r="M8" s="117">
        <f t="shared" si="0"/>
        <v>0</v>
      </c>
      <c r="N8" s="117">
        <f t="shared" si="0"/>
        <v>0</v>
      </c>
      <c r="O8" s="117">
        <f t="shared" si="1"/>
        <v>8</v>
      </c>
      <c r="P8" s="117">
        <f t="shared" si="1"/>
        <v>0</v>
      </c>
      <c r="Q8" s="117">
        <f t="shared" si="1"/>
        <v>8</v>
      </c>
      <c r="R8" s="117">
        <f t="shared" si="1"/>
        <v>0</v>
      </c>
      <c r="S8" s="117">
        <f t="shared" si="1"/>
        <v>0</v>
      </c>
      <c r="T8" s="117">
        <f t="shared" si="1"/>
        <v>0</v>
      </c>
      <c r="U8" s="117">
        <f t="shared" si="1"/>
        <v>25</v>
      </c>
      <c r="V8" s="117">
        <f t="shared" si="1"/>
        <v>13</v>
      </c>
      <c r="W8" s="117">
        <f t="shared" si="1"/>
        <v>16</v>
      </c>
      <c r="X8" s="117">
        <f t="shared" si="1"/>
        <v>3</v>
      </c>
      <c r="Y8" s="117">
        <f t="shared" si="1"/>
        <v>3</v>
      </c>
      <c r="Z8" s="117">
        <f t="shared" si="1"/>
        <v>36</v>
      </c>
      <c r="AA8" s="186">
        <f t="shared" si="2"/>
        <v>119</v>
      </c>
      <c r="AB8" s="116" t="str">
        <f t="shared" si="3"/>
        <v>Frank</v>
      </c>
    </row>
    <row r="9" spans="2:28">
      <c r="B9" s="169"/>
      <c r="C9" s="277" t="s">
        <v>132</v>
      </c>
      <c r="D9" s="276" t="s">
        <v>136</v>
      </c>
      <c r="E9" s="117">
        <f t="shared" si="0"/>
        <v>19</v>
      </c>
      <c r="F9" s="117">
        <f t="shared" si="0"/>
        <v>0</v>
      </c>
      <c r="G9" s="117">
        <f t="shared" si="0"/>
        <v>0</v>
      </c>
      <c r="H9" s="117">
        <f t="shared" si="0"/>
        <v>0</v>
      </c>
      <c r="I9" s="117">
        <f t="shared" si="0"/>
        <v>0</v>
      </c>
      <c r="J9" s="117">
        <f t="shared" si="0"/>
        <v>0</v>
      </c>
      <c r="K9" s="117">
        <f t="shared" si="0"/>
        <v>0</v>
      </c>
      <c r="L9" s="117">
        <f t="shared" si="0"/>
        <v>0</v>
      </c>
      <c r="M9" s="117">
        <f t="shared" si="0"/>
        <v>0</v>
      </c>
      <c r="N9" s="117">
        <f t="shared" si="0"/>
        <v>0</v>
      </c>
      <c r="O9" s="117">
        <f t="shared" si="1"/>
        <v>0</v>
      </c>
      <c r="P9" s="117">
        <f t="shared" si="1"/>
        <v>0</v>
      </c>
      <c r="Q9" s="117">
        <f t="shared" si="1"/>
        <v>6</v>
      </c>
      <c r="R9" s="117">
        <f t="shared" si="1"/>
        <v>0</v>
      </c>
      <c r="S9" s="117">
        <f t="shared" si="1"/>
        <v>0</v>
      </c>
      <c r="T9" s="117">
        <f t="shared" si="1"/>
        <v>0</v>
      </c>
      <c r="U9" s="117">
        <f t="shared" si="1"/>
        <v>0</v>
      </c>
      <c r="V9" s="117">
        <f t="shared" si="1"/>
        <v>0</v>
      </c>
      <c r="W9" s="117">
        <f t="shared" si="1"/>
        <v>0</v>
      </c>
      <c r="X9" s="117">
        <f t="shared" si="1"/>
        <v>0</v>
      </c>
      <c r="Y9" s="117">
        <f t="shared" si="1"/>
        <v>0</v>
      </c>
      <c r="Z9" s="117">
        <f t="shared" si="1"/>
        <v>0</v>
      </c>
      <c r="AA9" s="186">
        <f t="shared" si="2"/>
        <v>25</v>
      </c>
      <c r="AB9" s="116" t="str">
        <f t="shared" si="3"/>
        <v>Kelderman</v>
      </c>
    </row>
    <row r="10" spans="2:28">
      <c r="B10" s="169"/>
      <c r="C10" s="277" t="s">
        <v>55</v>
      </c>
      <c r="D10" s="276" t="s">
        <v>136</v>
      </c>
      <c r="E10" s="117">
        <f t="shared" si="0"/>
        <v>12</v>
      </c>
      <c r="F10" s="117">
        <f t="shared" si="0"/>
        <v>0</v>
      </c>
      <c r="G10" s="117">
        <f t="shared" si="0"/>
        <v>16</v>
      </c>
      <c r="H10" s="117">
        <f t="shared" si="0"/>
        <v>10</v>
      </c>
      <c r="I10" s="117">
        <f t="shared" si="0"/>
        <v>0</v>
      </c>
      <c r="J10" s="117">
        <f t="shared" si="0"/>
        <v>0</v>
      </c>
      <c r="K10" s="117">
        <f t="shared" si="0"/>
        <v>0</v>
      </c>
      <c r="L10" s="117">
        <f t="shared" si="0"/>
        <v>18</v>
      </c>
      <c r="M10" s="117">
        <f t="shared" si="0"/>
        <v>0</v>
      </c>
      <c r="N10" s="117">
        <f t="shared" si="0"/>
        <v>9</v>
      </c>
      <c r="O10" s="117">
        <f t="shared" si="1"/>
        <v>20</v>
      </c>
      <c r="P10" s="117">
        <f t="shared" si="1"/>
        <v>8</v>
      </c>
      <c r="Q10" s="117">
        <f t="shared" si="1"/>
        <v>1</v>
      </c>
      <c r="R10" s="117">
        <f t="shared" si="1"/>
        <v>1</v>
      </c>
      <c r="S10" s="117">
        <f t="shared" si="1"/>
        <v>1</v>
      </c>
      <c r="T10" s="117">
        <f t="shared" si="1"/>
        <v>2</v>
      </c>
      <c r="U10" s="117">
        <f t="shared" si="1"/>
        <v>2</v>
      </c>
      <c r="V10" s="117">
        <f t="shared" si="1"/>
        <v>2</v>
      </c>
      <c r="W10" s="117">
        <f t="shared" si="1"/>
        <v>22</v>
      </c>
      <c r="X10" s="117">
        <f t="shared" si="1"/>
        <v>16</v>
      </c>
      <c r="Y10" s="117">
        <f t="shared" si="1"/>
        <v>4</v>
      </c>
      <c r="Z10" s="117">
        <f t="shared" si="1"/>
        <v>38</v>
      </c>
      <c r="AA10" s="186">
        <f t="shared" si="2"/>
        <v>182</v>
      </c>
      <c r="AB10" s="116" t="str">
        <f t="shared" si="3"/>
        <v>Mollema</v>
      </c>
    </row>
    <row r="11" spans="2:28">
      <c r="B11" s="169"/>
      <c r="C11" s="277" t="s">
        <v>152</v>
      </c>
      <c r="D11" s="276" t="s">
        <v>136</v>
      </c>
      <c r="E11" s="117">
        <f t="shared" si="0"/>
        <v>0</v>
      </c>
      <c r="F11" s="117">
        <f t="shared" si="0"/>
        <v>0</v>
      </c>
      <c r="G11" s="117">
        <f t="shared" si="0"/>
        <v>10</v>
      </c>
      <c r="H11" s="117">
        <f t="shared" si="0"/>
        <v>0</v>
      </c>
      <c r="I11" s="117">
        <f t="shared" si="0"/>
        <v>0</v>
      </c>
      <c r="J11" s="117">
        <f t="shared" si="0"/>
        <v>0</v>
      </c>
      <c r="K11" s="117">
        <f t="shared" si="0"/>
        <v>0</v>
      </c>
      <c r="L11" s="117">
        <f t="shared" si="0"/>
        <v>0</v>
      </c>
      <c r="M11" s="117">
        <f t="shared" si="0"/>
        <v>0</v>
      </c>
      <c r="N11" s="117">
        <f t="shared" si="0"/>
        <v>0</v>
      </c>
      <c r="O11" s="117">
        <f t="shared" si="1"/>
        <v>0</v>
      </c>
      <c r="P11" s="117">
        <f t="shared" si="1"/>
        <v>0</v>
      </c>
      <c r="Q11" s="117">
        <f t="shared" si="1"/>
        <v>0</v>
      </c>
      <c r="R11" s="117">
        <f t="shared" si="1"/>
        <v>0</v>
      </c>
      <c r="S11" s="117">
        <f t="shared" si="1"/>
        <v>0</v>
      </c>
      <c r="T11" s="117">
        <f t="shared" si="1"/>
        <v>0</v>
      </c>
      <c r="U11" s="117">
        <f t="shared" si="1"/>
        <v>0</v>
      </c>
      <c r="V11" s="117">
        <f t="shared" si="1"/>
        <v>0</v>
      </c>
      <c r="W11" s="117">
        <f t="shared" si="1"/>
        <v>0</v>
      </c>
      <c r="X11" s="117">
        <f t="shared" si="1"/>
        <v>0</v>
      </c>
      <c r="Y11" s="117">
        <f t="shared" si="1"/>
        <v>0</v>
      </c>
      <c r="Z11" s="117">
        <f t="shared" si="1"/>
        <v>0</v>
      </c>
      <c r="AA11" s="186">
        <f t="shared" si="2"/>
        <v>10</v>
      </c>
      <c r="AB11" s="116" t="str">
        <f t="shared" si="3"/>
        <v>Peraud</v>
      </c>
    </row>
    <row r="12" spans="2:28">
      <c r="B12" s="169"/>
      <c r="C12" s="277" t="s">
        <v>90</v>
      </c>
      <c r="D12" s="276" t="s">
        <v>136</v>
      </c>
      <c r="E12" s="117">
        <f t="shared" si="0"/>
        <v>8</v>
      </c>
      <c r="F12" s="117">
        <f t="shared" si="0"/>
        <v>0</v>
      </c>
      <c r="G12" s="117">
        <f t="shared" si="0"/>
        <v>0</v>
      </c>
      <c r="H12" s="117">
        <f t="shared" si="0"/>
        <v>0</v>
      </c>
      <c r="I12" s="117">
        <f t="shared" si="0"/>
        <v>0</v>
      </c>
      <c r="J12" s="117">
        <f t="shared" si="0"/>
        <v>0</v>
      </c>
      <c r="K12" s="117">
        <f t="shared" si="0"/>
        <v>0</v>
      </c>
      <c r="L12" s="117">
        <f t="shared" si="0"/>
        <v>0</v>
      </c>
      <c r="M12" s="117">
        <f t="shared" si="0"/>
        <v>0</v>
      </c>
      <c r="N12" s="117">
        <f t="shared" si="0"/>
        <v>0</v>
      </c>
      <c r="O12" s="117">
        <f t="shared" si="1"/>
        <v>0</v>
      </c>
      <c r="P12" s="117">
        <f t="shared" si="1"/>
        <v>14</v>
      </c>
      <c r="Q12" s="117">
        <f t="shared" si="1"/>
        <v>0</v>
      </c>
      <c r="R12" s="117">
        <f t="shared" si="1"/>
        <v>30</v>
      </c>
      <c r="S12" s="117">
        <f t="shared" si="1"/>
        <v>0</v>
      </c>
      <c r="T12" s="117">
        <f t="shared" si="1"/>
        <v>0</v>
      </c>
      <c r="U12" s="117">
        <f t="shared" si="1"/>
        <v>24</v>
      </c>
      <c r="V12" s="117">
        <f t="shared" si="1"/>
        <v>0</v>
      </c>
      <c r="W12" s="117">
        <f t="shared" si="1"/>
        <v>24</v>
      </c>
      <c r="X12" s="117">
        <f t="shared" si="1"/>
        <v>37</v>
      </c>
      <c r="Y12" s="117">
        <f t="shared" si="1"/>
        <v>2</v>
      </c>
      <c r="Z12" s="117">
        <f t="shared" si="1"/>
        <v>23</v>
      </c>
      <c r="AA12" s="186">
        <f t="shared" si="2"/>
        <v>162</v>
      </c>
      <c r="AB12" s="116" t="str">
        <f t="shared" si="3"/>
        <v>Pinot</v>
      </c>
    </row>
    <row r="13" spans="2:28">
      <c r="B13" s="169"/>
      <c r="C13" s="277" t="s">
        <v>94</v>
      </c>
      <c r="D13" s="276" t="s">
        <v>136</v>
      </c>
      <c r="E13" s="117">
        <f t="shared" si="0"/>
        <v>0</v>
      </c>
      <c r="F13" s="117">
        <f t="shared" si="0"/>
        <v>0</v>
      </c>
      <c r="G13" s="117">
        <f t="shared" si="0"/>
        <v>40</v>
      </c>
      <c r="H13" s="117">
        <f t="shared" si="0"/>
        <v>11</v>
      </c>
      <c r="I13" s="117">
        <f t="shared" si="0"/>
        <v>5</v>
      </c>
      <c r="J13" s="117">
        <f t="shared" si="0"/>
        <v>17</v>
      </c>
      <c r="K13" s="117">
        <f t="shared" si="0"/>
        <v>4</v>
      </c>
      <c r="L13" s="117">
        <f t="shared" si="0"/>
        <v>18</v>
      </c>
      <c r="M13" s="117">
        <f t="shared" si="0"/>
        <v>0</v>
      </c>
      <c r="N13" s="117">
        <f t="shared" si="0"/>
        <v>0</v>
      </c>
      <c r="O13" s="117">
        <f t="shared" si="1"/>
        <v>0</v>
      </c>
      <c r="P13" s="117">
        <f t="shared" si="1"/>
        <v>39</v>
      </c>
      <c r="Q13" s="117">
        <f t="shared" si="1"/>
        <v>4</v>
      </c>
      <c r="R13" s="117">
        <f t="shared" si="1"/>
        <v>4</v>
      </c>
      <c r="S13" s="117">
        <f t="shared" si="1"/>
        <v>4</v>
      </c>
      <c r="T13" s="117">
        <f t="shared" si="1"/>
        <v>4</v>
      </c>
      <c r="U13" s="117">
        <f t="shared" si="1"/>
        <v>4</v>
      </c>
      <c r="V13" s="117">
        <f t="shared" si="1"/>
        <v>5</v>
      </c>
      <c r="W13" s="117">
        <f t="shared" si="1"/>
        <v>3</v>
      </c>
      <c r="X13" s="117">
        <f t="shared" si="1"/>
        <v>15</v>
      </c>
      <c r="Y13" s="117">
        <f t="shared" si="1"/>
        <v>1</v>
      </c>
      <c r="Z13" s="117">
        <f t="shared" si="1"/>
        <v>1</v>
      </c>
      <c r="AA13" s="186">
        <f t="shared" si="2"/>
        <v>179</v>
      </c>
      <c r="AB13" s="116" t="str">
        <f t="shared" si="3"/>
        <v>Rodriguez</v>
      </c>
    </row>
    <row r="14" spans="2:28">
      <c r="B14" s="169"/>
      <c r="C14" s="277" t="s">
        <v>81</v>
      </c>
      <c r="D14" s="276" t="s">
        <v>136</v>
      </c>
      <c r="E14" s="117">
        <f t="shared" ref="E14:N20" si="4">INDEX(scorematrix,MATCH($C14,renners,0),MATCH(E$3,etappes,0))</f>
        <v>0</v>
      </c>
      <c r="F14" s="117">
        <f t="shared" si="4"/>
        <v>0</v>
      </c>
      <c r="G14" s="117">
        <f t="shared" si="4"/>
        <v>6</v>
      </c>
      <c r="H14" s="117">
        <f t="shared" si="4"/>
        <v>0</v>
      </c>
      <c r="I14" s="117">
        <f t="shared" si="4"/>
        <v>0</v>
      </c>
      <c r="J14" s="117">
        <f t="shared" si="4"/>
        <v>0</v>
      </c>
      <c r="K14" s="117">
        <f t="shared" si="4"/>
        <v>0</v>
      </c>
      <c r="L14" s="117">
        <f t="shared" si="4"/>
        <v>6</v>
      </c>
      <c r="M14" s="117">
        <f t="shared" si="4"/>
        <v>0</v>
      </c>
      <c r="N14" s="117">
        <f t="shared" si="4"/>
        <v>18</v>
      </c>
      <c r="O14" s="117">
        <f t="shared" ref="O14:Z20" si="5">INDEX(scorematrix,MATCH($C14,renners,0),MATCH(O$3,etappes,0))</f>
        <v>10</v>
      </c>
      <c r="P14" s="117">
        <f t="shared" si="5"/>
        <v>11</v>
      </c>
      <c r="Q14" s="117">
        <f t="shared" si="5"/>
        <v>7</v>
      </c>
      <c r="R14" s="117">
        <f t="shared" si="5"/>
        <v>0</v>
      </c>
      <c r="S14" s="117">
        <f t="shared" si="5"/>
        <v>0</v>
      </c>
      <c r="T14" s="117">
        <f t="shared" si="5"/>
        <v>0</v>
      </c>
      <c r="U14" s="117">
        <f t="shared" si="5"/>
        <v>0</v>
      </c>
      <c r="V14" s="117">
        <f t="shared" si="5"/>
        <v>30</v>
      </c>
      <c r="W14" s="117">
        <f t="shared" si="5"/>
        <v>16</v>
      </c>
      <c r="X14" s="117">
        <f t="shared" si="5"/>
        <v>21</v>
      </c>
      <c r="Y14" s="117">
        <f t="shared" si="5"/>
        <v>1</v>
      </c>
      <c r="Z14" s="117">
        <f t="shared" si="5"/>
        <v>32</v>
      </c>
      <c r="AA14" s="186">
        <f t="shared" si="2"/>
        <v>158</v>
      </c>
      <c r="AB14" s="116" t="str">
        <f t="shared" si="3"/>
        <v>Rolland</v>
      </c>
    </row>
    <row r="15" spans="2:28">
      <c r="B15" s="169"/>
      <c r="C15" s="277" t="s">
        <v>150</v>
      </c>
      <c r="D15" s="276" t="s">
        <v>136</v>
      </c>
      <c r="E15" s="117">
        <f t="shared" si="4"/>
        <v>0</v>
      </c>
      <c r="F15" s="117">
        <f t="shared" si="4"/>
        <v>0</v>
      </c>
      <c r="G15" s="117">
        <f t="shared" si="4"/>
        <v>0</v>
      </c>
      <c r="H15" s="117">
        <f t="shared" si="4"/>
        <v>0</v>
      </c>
      <c r="I15" s="117">
        <f t="shared" si="4"/>
        <v>0</v>
      </c>
      <c r="J15" s="117">
        <f t="shared" si="4"/>
        <v>0</v>
      </c>
      <c r="K15" s="117">
        <f t="shared" si="4"/>
        <v>0</v>
      </c>
      <c r="L15" s="117">
        <f t="shared" si="4"/>
        <v>0</v>
      </c>
      <c r="M15" s="117">
        <f t="shared" si="4"/>
        <v>0</v>
      </c>
      <c r="N15" s="117">
        <f t="shared" si="4"/>
        <v>7</v>
      </c>
      <c r="O15" s="117">
        <f t="shared" si="5"/>
        <v>0</v>
      </c>
      <c r="P15" s="117">
        <f t="shared" si="5"/>
        <v>0</v>
      </c>
      <c r="Q15" s="117">
        <f t="shared" si="5"/>
        <v>0</v>
      </c>
      <c r="R15" s="117">
        <f t="shared" si="5"/>
        <v>0</v>
      </c>
      <c r="S15" s="117">
        <f t="shared" si="5"/>
        <v>0</v>
      </c>
      <c r="T15" s="117">
        <f t="shared" si="5"/>
        <v>0</v>
      </c>
      <c r="U15" s="117">
        <f t="shared" si="5"/>
        <v>0</v>
      </c>
      <c r="V15" s="117">
        <f t="shared" si="5"/>
        <v>0</v>
      </c>
      <c r="W15" s="117">
        <f t="shared" si="5"/>
        <v>0</v>
      </c>
      <c r="X15" s="117">
        <f t="shared" si="5"/>
        <v>0</v>
      </c>
      <c r="Y15" s="117">
        <f t="shared" si="5"/>
        <v>0</v>
      </c>
      <c r="Z15" s="117">
        <f t="shared" si="5"/>
        <v>0</v>
      </c>
      <c r="AA15" s="186">
        <f t="shared" si="2"/>
        <v>7</v>
      </c>
      <c r="AB15" s="116" t="str">
        <f t="shared" si="3"/>
        <v>Sepulveda</v>
      </c>
    </row>
    <row r="16" spans="2:28">
      <c r="B16" s="169"/>
      <c r="C16" s="277" t="s">
        <v>98</v>
      </c>
      <c r="D16" s="276" t="s">
        <v>136</v>
      </c>
      <c r="E16" s="117">
        <f t="shared" si="4"/>
        <v>0</v>
      </c>
      <c r="F16" s="117">
        <f t="shared" si="4"/>
        <v>0</v>
      </c>
      <c r="G16" s="117">
        <f t="shared" si="4"/>
        <v>0</v>
      </c>
      <c r="H16" s="117">
        <f t="shared" si="4"/>
        <v>0</v>
      </c>
      <c r="I16" s="117">
        <f t="shared" si="4"/>
        <v>0</v>
      </c>
      <c r="J16" s="117">
        <f t="shared" si="4"/>
        <v>6</v>
      </c>
      <c r="K16" s="117">
        <f t="shared" si="4"/>
        <v>0</v>
      </c>
      <c r="L16" s="117">
        <f t="shared" si="4"/>
        <v>0</v>
      </c>
      <c r="M16" s="117">
        <f t="shared" si="4"/>
        <v>0</v>
      </c>
      <c r="N16" s="117">
        <f t="shared" si="4"/>
        <v>0</v>
      </c>
      <c r="O16" s="117">
        <f t="shared" si="5"/>
        <v>6</v>
      </c>
      <c r="P16" s="117">
        <f t="shared" si="5"/>
        <v>0</v>
      </c>
      <c r="Q16" s="117">
        <f t="shared" si="5"/>
        <v>0</v>
      </c>
      <c r="R16" s="117">
        <f t="shared" si="5"/>
        <v>0</v>
      </c>
      <c r="S16" s="117">
        <f t="shared" si="5"/>
        <v>0</v>
      </c>
      <c r="T16" s="117">
        <f t="shared" si="5"/>
        <v>0</v>
      </c>
      <c r="U16" s="117">
        <f t="shared" si="5"/>
        <v>30</v>
      </c>
      <c r="V16" s="117">
        <f t="shared" si="5"/>
        <v>17</v>
      </c>
      <c r="W16" s="117">
        <f t="shared" si="5"/>
        <v>14</v>
      </c>
      <c r="X16" s="117">
        <f t="shared" si="5"/>
        <v>0</v>
      </c>
      <c r="Y16" s="117">
        <f t="shared" si="5"/>
        <v>0</v>
      </c>
      <c r="Z16" s="117">
        <f t="shared" si="5"/>
        <v>30</v>
      </c>
      <c r="AA16" s="186">
        <f t="shared" si="2"/>
        <v>103</v>
      </c>
      <c r="AB16" s="116" t="str">
        <f t="shared" si="3"/>
        <v>Talansky</v>
      </c>
    </row>
    <row r="17" spans="2:28">
      <c r="B17" s="169"/>
      <c r="C17" s="296" t="s">
        <v>76</v>
      </c>
      <c r="D17" s="276" t="s">
        <v>136</v>
      </c>
      <c r="E17" s="117">
        <f t="shared" si="4"/>
        <v>0</v>
      </c>
      <c r="F17" s="117">
        <f t="shared" si="4"/>
        <v>0</v>
      </c>
      <c r="G17" s="117">
        <f t="shared" si="4"/>
        <v>15</v>
      </c>
      <c r="H17" s="117">
        <f t="shared" si="4"/>
        <v>15</v>
      </c>
      <c r="I17" s="117">
        <f t="shared" si="4"/>
        <v>0</v>
      </c>
      <c r="J17" s="117">
        <f t="shared" si="4"/>
        <v>11</v>
      </c>
      <c r="K17" s="117">
        <f t="shared" si="4"/>
        <v>0</v>
      </c>
      <c r="L17" s="117">
        <f t="shared" si="4"/>
        <v>26</v>
      </c>
      <c r="M17" s="117">
        <f t="shared" si="4"/>
        <v>0</v>
      </c>
      <c r="N17" s="117">
        <f t="shared" si="4"/>
        <v>30</v>
      </c>
      <c r="O17" s="117">
        <f t="shared" si="5"/>
        <v>25</v>
      </c>
      <c r="P17" s="117">
        <f t="shared" si="5"/>
        <v>24</v>
      </c>
      <c r="Q17" s="117">
        <f t="shared" si="5"/>
        <v>24</v>
      </c>
      <c r="R17" s="117">
        <f t="shared" si="5"/>
        <v>7</v>
      </c>
      <c r="S17" s="117">
        <f t="shared" si="5"/>
        <v>7</v>
      </c>
      <c r="T17" s="117">
        <f t="shared" si="5"/>
        <v>7</v>
      </c>
      <c r="U17" s="117">
        <f t="shared" si="5"/>
        <v>8</v>
      </c>
      <c r="V17" s="117">
        <f t="shared" si="5"/>
        <v>21</v>
      </c>
      <c r="W17" s="117">
        <f t="shared" si="5"/>
        <v>28</v>
      </c>
      <c r="X17" s="117">
        <f t="shared" si="5"/>
        <v>32</v>
      </c>
      <c r="Y17" s="117">
        <f t="shared" si="5"/>
        <v>8</v>
      </c>
      <c r="Z17" s="117">
        <f t="shared" si="5"/>
        <v>52</v>
      </c>
      <c r="AA17" s="186">
        <f t="shared" si="2"/>
        <v>340</v>
      </c>
      <c r="AB17" s="116" t="str">
        <f t="shared" si="3"/>
        <v>Valverde</v>
      </c>
    </row>
    <row r="18" spans="2:28">
      <c r="B18" s="169"/>
      <c r="C18" s="277" t="s">
        <v>95</v>
      </c>
      <c r="D18" s="276" t="s">
        <v>136</v>
      </c>
      <c r="E18" s="117">
        <f t="shared" si="4"/>
        <v>6</v>
      </c>
      <c r="F18" s="117">
        <f t="shared" si="4"/>
        <v>18</v>
      </c>
      <c r="G18" s="117">
        <f t="shared" si="4"/>
        <v>28</v>
      </c>
      <c r="H18" s="117">
        <f t="shared" si="4"/>
        <v>8</v>
      </c>
      <c r="I18" s="117">
        <f t="shared" si="4"/>
        <v>8</v>
      </c>
      <c r="J18" s="117">
        <f t="shared" si="4"/>
        <v>8</v>
      </c>
      <c r="K18" s="117">
        <f t="shared" si="4"/>
        <v>8</v>
      </c>
      <c r="L18" s="117">
        <f t="shared" si="4"/>
        <v>24</v>
      </c>
      <c r="M18" s="117">
        <f t="shared" si="4"/>
        <v>0.1</v>
      </c>
      <c r="N18" s="117">
        <f t="shared" si="4"/>
        <v>25</v>
      </c>
      <c r="O18" s="117">
        <f t="shared" si="5"/>
        <v>22</v>
      </c>
      <c r="P18" s="117">
        <f t="shared" si="5"/>
        <v>22</v>
      </c>
      <c r="Q18" s="117">
        <f t="shared" si="5"/>
        <v>25</v>
      </c>
      <c r="R18" s="117">
        <f t="shared" si="5"/>
        <v>8</v>
      </c>
      <c r="S18" s="117">
        <f t="shared" si="5"/>
        <v>8</v>
      </c>
      <c r="T18" s="117">
        <f t="shared" si="5"/>
        <v>8</v>
      </c>
      <c r="U18" s="117">
        <f t="shared" si="5"/>
        <v>0</v>
      </c>
      <c r="V18" s="117">
        <f t="shared" si="5"/>
        <v>0</v>
      </c>
      <c r="W18" s="117">
        <f t="shared" si="5"/>
        <v>0</v>
      </c>
      <c r="X18" s="117">
        <f t="shared" si="5"/>
        <v>0</v>
      </c>
      <c r="Y18" s="117">
        <f t="shared" si="5"/>
        <v>0</v>
      </c>
      <c r="Z18" s="117">
        <f t="shared" si="5"/>
        <v>0</v>
      </c>
      <c r="AA18" s="186">
        <f t="shared" si="2"/>
        <v>226.1</v>
      </c>
      <c r="AB18" s="116" t="str">
        <f t="shared" si="3"/>
        <v>van Garderen</v>
      </c>
    </row>
    <row r="19" spans="2:28" s="170" customFormat="1">
      <c r="B19" s="169"/>
      <c r="C19" s="277" t="s">
        <v>145</v>
      </c>
      <c r="D19" s="276" t="s">
        <v>11</v>
      </c>
      <c r="E19" s="117">
        <f t="shared" si="4"/>
        <v>0</v>
      </c>
      <c r="F19" s="117">
        <f t="shared" si="4"/>
        <v>0</v>
      </c>
      <c r="G19" s="117">
        <f t="shared" si="4"/>
        <v>0</v>
      </c>
      <c r="H19" s="117">
        <f t="shared" si="4"/>
        <v>20</v>
      </c>
      <c r="I19" s="117">
        <f t="shared" si="4"/>
        <v>0</v>
      </c>
      <c r="J19" s="117">
        <f t="shared" si="4"/>
        <v>0</v>
      </c>
      <c r="K19" s="117">
        <f t="shared" si="4"/>
        <v>0</v>
      </c>
      <c r="L19" s="117">
        <f t="shared" si="4"/>
        <v>0</v>
      </c>
      <c r="M19" s="117">
        <f t="shared" si="4"/>
        <v>0</v>
      </c>
      <c r="N19" s="117">
        <f t="shared" si="4"/>
        <v>0</v>
      </c>
      <c r="O19" s="117">
        <f t="shared" si="5"/>
        <v>0</v>
      </c>
      <c r="P19" s="117">
        <f t="shared" si="5"/>
        <v>0</v>
      </c>
      <c r="Q19" s="117">
        <f t="shared" si="5"/>
        <v>0</v>
      </c>
      <c r="R19" s="117">
        <f t="shared" si="5"/>
        <v>0</v>
      </c>
      <c r="S19" s="117">
        <f t="shared" si="5"/>
        <v>0</v>
      </c>
      <c r="T19" s="117">
        <f t="shared" si="5"/>
        <v>0</v>
      </c>
      <c r="U19" s="117">
        <f t="shared" si="5"/>
        <v>0</v>
      </c>
      <c r="V19" s="117">
        <f t="shared" si="5"/>
        <v>0</v>
      </c>
      <c r="W19" s="117">
        <f t="shared" si="5"/>
        <v>0</v>
      </c>
      <c r="X19" s="117">
        <f t="shared" si="5"/>
        <v>0</v>
      </c>
      <c r="Y19" s="117">
        <f t="shared" si="5"/>
        <v>0</v>
      </c>
      <c r="Z19" s="117">
        <f t="shared" si="5"/>
        <v>0</v>
      </c>
      <c r="AA19" s="186">
        <f t="shared" si="2"/>
        <v>20</v>
      </c>
      <c r="AB19" s="116" t="str">
        <f t="shared" si="3"/>
        <v>Bouhanni</v>
      </c>
    </row>
    <row r="20" spans="2:28" ht="13.5" thickBot="1">
      <c r="B20" s="169"/>
      <c r="C20" s="289" t="s">
        <v>96</v>
      </c>
      <c r="D20" s="276" t="s">
        <v>11</v>
      </c>
      <c r="E20" s="117">
        <f t="shared" si="4"/>
        <v>0</v>
      </c>
      <c r="F20" s="117">
        <f t="shared" si="4"/>
        <v>0</v>
      </c>
      <c r="G20" s="117">
        <f t="shared" si="4"/>
        <v>0</v>
      </c>
      <c r="H20" s="117">
        <f t="shared" si="4"/>
        <v>33</v>
      </c>
      <c r="I20" s="117">
        <f t="shared" si="4"/>
        <v>23</v>
      </c>
      <c r="J20" s="117">
        <f t="shared" si="4"/>
        <v>27</v>
      </c>
      <c r="K20" s="117">
        <f t="shared" si="4"/>
        <v>26</v>
      </c>
      <c r="L20" s="117">
        <f t="shared" si="4"/>
        <v>2</v>
      </c>
      <c r="M20" s="117">
        <f t="shared" si="4"/>
        <v>0</v>
      </c>
      <c r="N20" s="117">
        <f t="shared" si="4"/>
        <v>2</v>
      </c>
      <c r="O20" s="117">
        <f t="shared" si="5"/>
        <v>3</v>
      </c>
      <c r="P20" s="117">
        <f t="shared" si="5"/>
        <v>3</v>
      </c>
      <c r="Q20" s="117">
        <f t="shared" si="5"/>
        <v>27</v>
      </c>
      <c r="R20" s="117">
        <f t="shared" si="5"/>
        <v>3</v>
      </c>
      <c r="S20" s="117">
        <f t="shared" si="5"/>
        <v>33</v>
      </c>
      <c r="T20" s="117">
        <f t="shared" si="5"/>
        <v>3</v>
      </c>
      <c r="U20" s="117">
        <f t="shared" si="5"/>
        <v>3</v>
      </c>
      <c r="V20" s="117">
        <f t="shared" si="5"/>
        <v>3</v>
      </c>
      <c r="W20" s="117">
        <f t="shared" si="5"/>
        <v>3</v>
      </c>
      <c r="X20" s="117">
        <f t="shared" si="5"/>
        <v>3</v>
      </c>
      <c r="Y20" s="117">
        <f t="shared" si="5"/>
        <v>21</v>
      </c>
      <c r="Z20" s="117">
        <f t="shared" si="5"/>
        <v>5</v>
      </c>
      <c r="AA20" s="186">
        <f t="shared" si="2"/>
        <v>223</v>
      </c>
      <c r="AB20" s="116" t="str">
        <f t="shared" si="3"/>
        <v>Degenkolb</v>
      </c>
    </row>
    <row r="21" spans="2:28" s="171" customFormat="1">
      <c r="C21" s="278"/>
      <c r="D21" s="178"/>
      <c r="E21" s="180"/>
      <c r="F21" s="180"/>
      <c r="G21" s="180"/>
      <c r="H21" s="180"/>
      <c r="I21" s="180"/>
      <c r="J21" s="180"/>
      <c r="K21" s="180"/>
      <c r="L21" s="180"/>
      <c r="M21" s="180"/>
      <c r="N21" s="180"/>
      <c r="O21" s="180"/>
      <c r="P21" s="180">
        <f>P24</f>
        <v>2</v>
      </c>
      <c r="Q21" s="180"/>
      <c r="R21" s="180"/>
      <c r="S21" s="180"/>
      <c r="T21" s="180"/>
      <c r="U21" s="180"/>
      <c r="V21" s="180"/>
      <c r="W21" s="180"/>
      <c r="X21" s="180"/>
      <c r="Y21" s="180"/>
      <c r="Z21" s="180"/>
      <c r="AA21" s="235">
        <f t="shared" si="2"/>
        <v>2</v>
      </c>
    </row>
    <row r="22" spans="2:28" s="120" customFormat="1">
      <c r="C22" s="179"/>
      <c r="D22" s="179"/>
      <c r="E22" s="172">
        <f t="shared" ref="E22:AA22" si="6">SUM(E4:E21)</f>
        <v>45</v>
      </c>
      <c r="F22" s="172">
        <f t="shared" ref="F22" si="7">SUM(F4:F21)</f>
        <v>18</v>
      </c>
      <c r="G22" s="172">
        <f>SUM(G4:G21)</f>
        <v>144</v>
      </c>
      <c r="H22" s="172">
        <f t="shared" si="6"/>
        <v>122</v>
      </c>
      <c r="I22" s="172">
        <f t="shared" si="6"/>
        <v>42</v>
      </c>
      <c r="J22" s="172">
        <f t="shared" si="6"/>
        <v>102</v>
      </c>
      <c r="K22" s="172">
        <f t="shared" si="6"/>
        <v>45</v>
      </c>
      <c r="L22" s="172">
        <f t="shared" si="6"/>
        <v>123</v>
      </c>
      <c r="M22" s="172">
        <f t="shared" si="6"/>
        <v>0.1</v>
      </c>
      <c r="N22" s="172">
        <f t="shared" si="6"/>
        <v>112</v>
      </c>
      <c r="O22" s="172">
        <f t="shared" si="6"/>
        <v>133</v>
      </c>
      <c r="P22" s="172">
        <f t="shared" si="6"/>
        <v>126</v>
      </c>
      <c r="Q22" s="172">
        <f t="shared" si="6"/>
        <v>120</v>
      </c>
      <c r="R22" s="172">
        <f t="shared" si="6"/>
        <v>55</v>
      </c>
      <c r="S22" s="172">
        <f t="shared" si="6"/>
        <v>55</v>
      </c>
      <c r="T22" s="172">
        <f t="shared" si="6"/>
        <v>26</v>
      </c>
      <c r="U22" s="172">
        <f t="shared" si="6"/>
        <v>96</v>
      </c>
      <c r="V22" s="172">
        <f t="shared" si="6"/>
        <v>91</v>
      </c>
      <c r="W22" s="172">
        <f t="shared" si="6"/>
        <v>126</v>
      </c>
      <c r="X22" s="172">
        <f t="shared" si="6"/>
        <v>127</v>
      </c>
      <c r="Y22" s="172">
        <f t="shared" si="6"/>
        <v>40</v>
      </c>
      <c r="Z22" s="172">
        <f t="shared" si="6"/>
        <v>217</v>
      </c>
      <c r="AA22" s="236">
        <f t="shared" si="6"/>
        <v>1965.1</v>
      </c>
    </row>
    <row r="23" spans="2:28" s="173" customFormat="1">
      <c r="C23" s="176"/>
      <c r="D23" s="176"/>
      <c r="E23" s="151"/>
      <c r="F23" s="151"/>
      <c r="G23" s="151"/>
      <c r="H23" s="174"/>
      <c r="I23" s="151"/>
      <c r="J23" s="151"/>
      <c r="K23" s="151"/>
      <c r="L23" s="151"/>
      <c r="M23" s="151"/>
      <c r="N23" s="151"/>
      <c r="O23" s="151"/>
      <c r="P23" s="151"/>
      <c r="Q23" s="151"/>
      <c r="R23" s="151"/>
      <c r="S23" s="151"/>
      <c r="T23" s="151"/>
      <c r="U23" s="151"/>
      <c r="V23" s="151"/>
      <c r="W23" s="151"/>
      <c r="X23" s="151"/>
      <c r="Y23" s="151"/>
      <c r="Z23" s="151"/>
      <c r="AA23" s="237"/>
    </row>
    <row r="24" spans="2:28" s="175" customFormat="1">
      <c r="B24" s="169"/>
      <c r="C24" s="279" t="s">
        <v>91</v>
      </c>
      <c r="D24" s="279"/>
      <c r="E24" s="193">
        <f t="shared" ref="E24:Z26" si="8">INDEX(scorematrix,MATCH($C24,renners,0),MATCH(E$3,etappes,0))</f>
        <v>0</v>
      </c>
      <c r="F24" s="193">
        <f t="shared" si="8"/>
        <v>0</v>
      </c>
      <c r="G24" s="193">
        <f t="shared" si="8"/>
        <v>0</v>
      </c>
      <c r="H24" s="193">
        <f t="shared" si="8"/>
        <v>0</v>
      </c>
      <c r="I24" s="193">
        <f t="shared" si="8"/>
        <v>0</v>
      </c>
      <c r="J24" s="193">
        <f t="shared" si="8"/>
        <v>0</v>
      </c>
      <c r="K24" s="193">
        <f t="shared" si="8"/>
        <v>0</v>
      </c>
      <c r="L24" s="193">
        <f t="shared" si="8"/>
        <v>0</v>
      </c>
      <c r="M24" s="193">
        <f t="shared" si="8"/>
        <v>0</v>
      </c>
      <c r="N24" s="193">
        <f t="shared" si="8"/>
        <v>34</v>
      </c>
      <c r="O24" s="193">
        <f t="shared" si="8"/>
        <v>4</v>
      </c>
      <c r="P24" s="234">
        <f t="shared" si="8"/>
        <v>2</v>
      </c>
      <c r="Q24" s="193">
        <f t="shared" si="8"/>
        <v>2</v>
      </c>
      <c r="R24" s="193">
        <f t="shared" si="8"/>
        <v>2</v>
      </c>
      <c r="S24" s="193">
        <f t="shared" si="8"/>
        <v>2</v>
      </c>
      <c r="T24" s="193">
        <f t="shared" si="8"/>
        <v>2</v>
      </c>
      <c r="U24" s="193">
        <f t="shared" si="8"/>
        <v>1</v>
      </c>
      <c r="V24" s="193">
        <f t="shared" si="8"/>
        <v>0</v>
      </c>
      <c r="W24" s="193">
        <f t="shared" si="8"/>
        <v>0</v>
      </c>
      <c r="X24" s="193">
        <f t="shared" si="8"/>
        <v>19</v>
      </c>
      <c r="Y24" s="193">
        <f t="shared" si="8"/>
        <v>0</v>
      </c>
      <c r="Z24" s="193">
        <f t="shared" si="8"/>
        <v>0</v>
      </c>
      <c r="AA24" s="238">
        <f>SUM(E24:Z24)</f>
        <v>68</v>
      </c>
    </row>
    <row r="25" spans="2:28" s="175" customFormat="1">
      <c r="B25" s="169"/>
      <c r="C25" s="279" t="s">
        <v>151</v>
      </c>
      <c r="D25" s="279"/>
      <c r="E25" s="193">
        <f t="shared" si="8"/>
        <v>0</v>
      </c>
      <c r="F25" s="193">
        <f t="shared" si="8"/>
        <v>8</v>
      </c>
      <c r="G25" s="193">
        <f t="shared" si="8"/>
        <v>0</v>
      </c>
      <c r="H25" s="193">
        <f t="shared" si="8"/>
        <v>0</v>
      </c>
      <c r="I25" s="193">
        <f t="shared" si="8"/>
        <v>0</v>
      </c>
      <c r="J25" s="193">
        <f t="shared" si="8"/>
        <v>0</v>
      </c>
      <c r="K25" s="193">
        <f t="shared" si="8"/>
        <v>0</v>
      </c>
      <c r="L25" s="193">
        <f t="shared" si="8"/>
        <v>10</v>
      </c>
      <c r="M25" s="193">
        <f t="shared" si="8"/>
        <v>0</v>
      </c>
      <c r="N25" s="193">
        <f t="shared" si="8"/>
        <v>0</v>
      </c>
      <c r="O25" s="193">
        <f t="shared" si="8"/>
        <v>0</v>
      </c>
      <c r="P25" s="193">
        <f t="shared" si="8"/>
        <v>0</v>
      </c>
      <c r="Q25" s="193">
        <f t="shared" si="8"/>
        <v>0</v>
      </c>
      <c r="R25" s="193">
        <f t="shared" si="8"/>
        <v>0</v>
      </c>
      <c r="S25" s="193">
        <f t="shared" si="8"/>
        <v>0</v>
      </c>
      <c r="T25" s="193">
        <f t="shared" si="8"/>
        <v>0</v>
      </c>
      <c r="U25" s="193">
        <f t="shared" si="8"/>
        <v>0</v>
      </c>
      <c r="V25" s="193">
        <f t="shared" si="8"/>
        <v>0</v>
      </c>
      <c r="W25" s="193">
        <f t="shared" si="8"/>
        <v>9</v>
      </c>
      <c r="X25" s="193">
        <f t="shared" si="8"/>
        <v>0</v>
      </c>
      <c r="Y25" s="193">
        <f t="shared" si="8"/>
        <v>0</v>
      </c>
      <c r="Z25" s="193">
        <f t="shared" si="8"/>
        <v>18</v>
      </c>
      <c r="AA25" s="238">
        <f>SUM(E25:Z25)</f>
        <v>45</v>
      </c>
    </row>
    <row r="26" spans="2:28" s="175" customFormat="1">
      <c r="B26" s="169"/>
      <c r="C26" s="279"/>
      <c r="D26" s="279"/>
      <c r="E26" s="193" t="e">
        <f t="shared" si="8"/>
        <v>#N/A</v>
      </c>
      <c r="F26" s="193" t="e">
        <f t="shared" si="8"/>
        <v>#N/A</v>
      </c>
      <c r="G26" s="193" t="e">
        <f t="shared" si="8"/>
        <v>#N/A</v>
      </c>
      <c r="H26" s="193" t="e">
        <f t="shared" si="8"/>
        <v>#N/A</v>
      </c>
      <c r="I26" s="193" t="e">
        <f t="shared" si="8"/>
        <v>#N/A</v>
      </c>
      <c r="J26" s="193" t="e">
        <f t="shared" si="8"/>
        <v>#N/A</v>
      </c>
      <c r="K26" s="193" t="e">
        <f t="shared" si="8"/>
        <v>#N/A</v>
      </c>
      <c r="L26" s="193" t="e">
        <f t="shared" si="8"/>
        <v>#N/A</v>
      </c>
      <c r="M26" s="193" t="e">
        <f t="shared" si="8"/>
        <v>#N/A</v>
      </c>
      <c r="N26" s="193" t="e">
        <f t="shared" si="8"/>
        <v>#N/A</v>
      </c>
      <c r="O26" s="193" t="e">
        <f t="shared" si="8"/>
        <v>#N/A</v>
      </c>
      <c r="P26" s="193" t="e">
        <f t="shared" si="8"/>
        <v>#N/A</v>
      </c>
      <c r="Q26" s="193" t="e">
        <f t="shared" si="8"/>
        <v>#N/A</v>
      </c>
      <c r="R26" s="193" t="e">
        <f t="shared" si="8"/>
        <v>#N/A</v>
      </c>
      <c r="S26" s="193" t="e">
        <f t="shared" si="8"/>
        <v>#N/A</v>
      </c>
      <c r="T26" s="193" t="e">
        <f t="shared" si="8"/>
        <v>#N/A</v>
      </c>
      <c r="U26" s="193" t="e">
        <f t="shared" si="8"/>
        <v>#N/A</v>
      </c>
      <c r="V26" s="193" t="e">
        <f t="shared" si="8"/>
        <v>#N/A</v>
      </c>
      <c r="W26" s="193" t="e">
        <f t="shared" si="8"/>
        <v>#N/A</v>
      </c>
      <c r="X26" s="193" t="e">
        <f t="shared" si="8"/>
        <v>#N/A</v>
      </c>
      <c r="Y26" s="193" t="e">
        <f t="shared" si="8"/>
        <v>#N/A</v>
      </c>
      <c r="Z26" s="193" t="e">
        <f t="shared" si="8"/>
        <v>#N/A</v>
      </c>
      <c r="AA26" s="238" t="e">
        <f>SUM(E26:Z26)</f>
        <v>#N/A</v>
      </c>
    </row>
    <row r="28" spans="2:28">
      <c r="C28" s="301" t="s">
        <v>136</v>
      </c>
      <c r="D28" s="302">
        <f>COUNTIF($D$4:$D$21,C28)</f>
        <v>13</v>
      </c>
    </row>
    <row r="29" spans="2:28">
      <c r="C29" s="303" t="s">
        <v>11</v>
      </c>
      <c r="D29" s="302">
        <f>COUNTIF($D$4:$D$21,C29)</f>
        <v>2</v>
      </c>
    </row>
    <row r="30" spans="2:28">
      <c r="C30" s="303" t="s">
        <v>117</v>
      </c>
      <c r="D30" s="302">
        <f>COUNTIF($D$4:$D$21,C30)</f>
        <v>2</v>
      </c>
    </row>
  </sheetData>
  <sortState ref="C4:D20">
    <sortCondition ref="D4:D20"/>
    <sortCondition ref="C4:C20"/>
  </sortState>
  <phoneticPr fontId="0" type="noConversion"/>
  <dataValidations count="1">
    <dataValidation type="list" allowBlank="1" showInputMessage="1" showErrorMessage="1" prompt="selecteer type renner:" sqref="D4:D20">
      <formula1>type_renner</formula1>
    </dataValidation>
  </dataValidations>
  <pageMargins left="0.75" right="0.75" top="1" bottom="1" header="0.5" footer="0.5"/>
  <pageSetup orientation="portrait" horizontalDpi="300" verticalDpi="300" r:id="rId1"/>
  <headerFooter alignWithMargins="0"/>
</worksheet>
</file>

<file path=xl/worksheets/sheet22.xml><?xml version="1.0" encoding="utf-8"?>
<worksheet xmlns="http://schemas.openxmlformats.org/spreadsheetml/2006/main" xmlns:r="http://schemas.openxmlformats.org/officeDocument/2006/relationships">
  <sheetPr codeName="Blad25"/>
  <dimension ref="A2:N55"/>
  <sheetViews>
    <sheetView topLeftCell="A4" workbookViewId="0">
      <selection activeCell="A20" sqref="A20:A55"/>
    </sheetView>
  </sheetViews>
  <sheetFormatPr defaultRowHeight="12.75"/>
  <cols>
    <col min="1" max="1" width="5.5703125" customWidth="1"/>
    <col min="2" max="2" width="5.7109375" customWidth="1"/>
  </cols>
  <sheetData>
    <row r="2" spans="1:3">
      <c r="A2">
        <v>1</v>
      </c>
      <c r="B2" s="100" t="s">
        <v>62</v>
      </c>
    </row>
    <row r="3" spans="1:3">
      <c r="A3">
        <v>2</v>
      </c>
      <c r="B3" s="100" t="s">
        <v>63</v>
      </c>
    </row>
    <row r="4" spans="1:3">
      <c r="A4">
        <v>3</v>
      </c>
      <c r="B4" s="100" t="s">
        <v>64</v>
      </c>
    </row>
    <row r="6" spans="1:3">
      <c r="A6">
        <v>4</v>
      </c>
      <c r="B6" s="100" t="s">
        <v>65</v>
      </c>
    </row>
    <row r="8" spans="1:3">
      <c r="B8" s="100" t="s">
        <v>72</v>
      </c>
    </row>
    <row r="10" spans="1:3">
      <c r="B10" s="188" t="s">
        <v>70</v>
      </c>
    </row>
    <row r="11" spans="1:3">
      <c r="B11" s="100"/>
      <c r="C11" s="188" t="s">
        <v>68</v>
      </c>
    </row>
    <row r="12" spans="1:3">
      <c r="C12" s="188" t="s">
        <v>71</v>
      </c>
    </row>
    <row r="14" spans="1:3">
      <c r="B14" s="100"/>
      <c r="C14" s="189" t="s">
        <v>67</v>
      </c>
    </row>
    <row r="16" spans="1:3">
      <c r="B16" s="100" t="s">
        <v>69</v>
      </c>
    </row>
    <row r="17" spans="1:14">
      <c r="B17" s="100" t="s">
        <v>73</v>
      </c>
    </row>
    <row r="20" spans="1:14" s="248" customFormat="1">
      <c r="A20" s="244" t="s">
        <v>115</v>
      </c>
      <c r="B20" s="245" t="s">
        <v>128</v>
      </c>
      <c r="C20" s="245" t="s">
        <v>128</v>
      </c>
      <c r="D20" s="245" t="s">
        <v>128</v>
      </c>
      <c r="E20" s="245" t="s">
        <v>128</v>
      </c>
      <c r="F20" s="245" t="s">
        <v>128</v>
      </c>
      <c r="G20" s="245" t="s">
        <v>128</v>
      </c>
      <c r="H20" s="245" t="s">
        <v>128</v>
      </c>
      <c r="I20" s="245" t="s">
        <v>128</v>
      </c>
      <c r="J20" s="245" t="s">
        <v>128</v>
      </c>
      <c r="K20" s="245" t="s">
        <v>128</v>
      </c>
      <c r="L20" s="245" t="s">
        <v>128</v>
      </c>
      <c r="M20" s="246">
        <v>0</v>
      </c>
      <c r="N20" s="247">
        <v>8.0211885745015282E-2</v>
      </c>
    </row>
    <row r="21" spans="1:14" s="248" customFormat="1">
      <c r="A21" s="249" t="s">
        <v>114</v>
      </c>
      <c r="B21" s="245" t="s">
        <v>128</v>
      </c>
      <c r="C21" s="245" t="s">
        <v>128</v>
      </c>
      <c r="D21" s="245" t="s">
        <v>128</v>
      </c>
      <c r="E21" s="245" t="s">
        <v>128</v>
      </c>
      <c r="F21" s="245" t="s">
        <v>128</v>
      </c>
      <c r="G21" s="245" t="s">
        <v>128</v>
      </c>
      <c r="H21" s="245" t="s">
        <v>128</v>
      </c>
      <c r="I21" s="245" t="s">
        <v>128</v>
      </c>
      <c r="J21" s="245" t="s">
        <v>128</v>
      </c>
      <c r="K21" s="245" t="s">
        <v>128</v>
      </c>
      <c r="L21" s="245" t="s">
        <v>128</v>
      </c>
      <c r="M21" s="246">
        <v>0</v>
      </c>
      <c r="N21" s="247">
        <v>6.3373523559833361E-2</v>
      </c>
    </row>
    <row r="22" spans="1:14" s="243" customFormat="1">
      <c r="A22" s="249" t="s">
        <v>46</v>
      </c>
      <c r="B22" s="245" t="s">
        <v>128</v>
      </c>
      <c r="C22" s="245" t="s">
        <v>128</v>
      </c>
      <c r="D22" s="245" t="s">
        <v>128</v>
      </c>
      <c r="E22" s="245" t="s">
        <v>128</v>
      </c>
      <c r="F22" s="245" t="s">
        <v>128</v>
      </c>
      <c r="G22" s="245" t="s">
        <v>128</v>
      </c>
      <c r="H22" s="245" t="s">
        <v>128</v>
      </c>
      <c r="I22" s="245" t="s">
        <v>128</v>
      </c>
      <c r="J22" s="245" t="s">
        <v>128</v>
      </c>
      <c r="K22" s="245" t="s">
        <v>128</v>
      </c>
      <c r="L22" s="245" t="s">
        <v>128</v>
      </c>
      <c r="M22" s="246">
        <v>0</v>
      </c>
      <c r="N22" s="247">
        <v>5.0158862361515677E-2</v>
      </c>
    </row>
    <row r="23" spans="1:14" s="243" customFormat="1">
      <c r="A23" s="249" t="s">
        <v>81</v>
      </c>
      <c r="B23" s="245" t="s">
        <v>128</v>
      </c>
      <c r="C23" s="245" t="s">
        <v>128</v>
      </c>
      <c r="D23" s="245" t="s">
        <v>128</v>
      </c>
      <c r="E23" s="245" t="s">
        <v>128</v>
      </c>
      <c r="F23" s="245" t="s">
        <v>128</v>
      </c>
      <c r="G23" s="245" t="s">
        <v>128</v>
      </c>
      <c r="H23" s="245" t="s">
        <v>128</v>
      </c>
      <c r="I23" s="245" t="s">
        <v>128</v>
      </c>
      <c r="J23" s="245" t="s">
        <v>128</v>
      </c>
      <c r="K23" s="245" t="s">
        <v>128</v>
      </c>
      <c r="L23" s="245" t="s">
        <v>128</v>
      </c>
      <c r="M23" s="246">
        <v>0</v>
      </c>
      <c r="N23" s="247">
        <v>5.4411731308286894E-2</v>
      </c>
    </row>
    <row r="24" spans="1:14" s="243" customFormat="1">
      <c r="A24" s="249" t="s">
        <v>50</v>
      </c>
      <c r="B24" s="245" t="s">
        <v>128</v>
      </c>
      <c r="C24" s="245" t="s">
        <v>128</v>
      </c>
      <c r="D24" s="245" t="s">
        <v>128</v>
      </c>
      <c r="E24" s="245" t="s">
        <v>128</v>
      </c>
      <c r="F24" s="245" t="s">
        <v>128</v>
      </c>
      <c r="G24" s="245" t="s">
        <v>128</v>
      </c>
      <c r="H24" s="245" t="s">
        <v>128</v>
      </c>
      <c r="I24" s="245" t="s">
        <v>128</v>
      </c>
      <c r="J24" s="245" t="s">
        <v>128</v>
      </c>
      <c r="K24" s="245" t="s">
        <v>128</v>
      </c>
      <c r="L24" s="245" t="s">
        <v>128</v>
      </c>
      <c r="M24" s="246">
        <v>0</v>
      </c>
      <c r="N24" s="247">
        <v>8.3214901097545368E-2</v>
      </c>
    </row>
    <row r="25" spans="1:14" s="243" customFormat="1">
      <c r="A25" s="249" t="s">
        <v>112</v>
      </c>
      <c r="B25" s="245" t="s">
        <v>128</v>
      </c>
      <c r="C25" s="245" t="s">
        <v>128</v>
      </c>
      <c r="D25" s="245" t="s">
        <v>128</v>
      </c>
      <c r="E25" s="245" t="s">
        <v>128</v>
      </c>
      <c r="F25" s="245" t="s">
        <v>128</v>
      </c>
      <c r="G25" s="245" t="s">
        <v>128</v>
      </c>
      <c r="H25" s="245">
        <v>1</v>
      </c>
      <c r="I25" s="245" t="s">
        <v>128</v>
      </c>
      <c r="J25" s="245" t="s">
        <v>128</v>
      </c>
      <c r="K25" s="245" t="s">
        <v>128</v>
      </c>
      <c r="L25" s="245" t="s">
        <v>128</v>
      </c>
      <c r="M25" s="246">
        <v>1</v>
      </c>
      <c r="N25" s="247">
        <v>9.9386633958286646E-2</v>
      </c>
    </row>
    <row r="26" spans="1:14" s="248" customFormat="1">
      <c r="A26" s="249" t="s">
        <v>96</v>
      </c>
      <c r="B26" s="245" t="s">
        <v>128</v>
      </c>
      <c r="C26" s="245" t="s">
        <v>128</v>
      </c>
      <c r="D26" s="245" t="s">
        <v>128</v>
      </c>
      <c r="E26" s="245" t="s">
        <v>128</v>
      </c>
      <c r="F26" s="245" t="s">
        <v>128</v>
      </c>
      <c r="G26" s="245" t="s">
        <v>128</v>
      </c>
      <c r="H26" s="245">
        <v>1</v>
      </c>
      <c r="I26" s="245" t="s">
        <v>128</v>
      </c>
      <c r="J26" s="245" t="s">
        <v>128</v>
      </c>
      <c r="K26" s="245" t="s">
        <v>128</v>
      </c>
      <c r="L26" s="245" t="s">
        <v>128</v>
      </c>
      <c r="M26" s="246">
        <v>1</v>
      </c>
      <c r="N26" s="247">
        <v>5.7642435440206974E-2</v>
      </c>
    </row>
    <row r="27" spans="1:14" s="248" customFormat="1">
      <c r="A27" s="244" t="s">
        <v>92</v>
      </c>
      <c r="B27" s="245" t="s">
        <v>128</v>
      </c>
      <c r="C27" s="245" t="s">
        <v>128</v>
      </c>
      <c r="D27" s="245" t="s">
        <v>128</v>
      </c>
      <c r="E27" s="245" t="s">
        <v>128</v>
      </c>
      <c r="F27" s="245" t="s">
        <v>128</v>
      </c>
      <c r="G27" s="245" t="s">
        <v>128</v>
      </c>
      <c r="H27" s="245" t="s">
        <v>128</v>
      </c>
      <c r="I27" s="245" t="s">
        <v>128</v>
      </c>
      <c r="J27" s="245">
        <v>1</v>
      </c>
      <c r="K27" s="245" t="s">
        <v>128</v>
      </c>
      <c r="L27" s="245" t="s">
        <v>128</v>
      </c>
      <c r="M27" s="246">
        <v>1</v>
      </c>
      <c r="N27" s="247">
        <v>8.130831029917944E-2</v>
      </c>
    </row>
    <row r="28" spans="1:14" s="250" customFormat="1">
      <c r="A28" s="249" t="s">
        <v>57</v>
      </c>
      <c r="B28" s="245" t="s">
        <v>128</v>
      </c>
      <c r="C28" s="245" t="s">
        <v>128</v>
      </c>
      <c r="D28" s="245" t="s">
        <v>128</v>
      </c>
      <c r="E28" s="245" t="s">
        <v>128</v>
      </c>
      <c r="F28" s="245">
        <v>1</v>
      </c>
      <c r="G28" s="245" t="s">
        <v>128</v>
      </c>
      <c r="H28" s="245" t="s">
        <v>128</v>
      </c>
      <c r="I28" s="245" t="s">
        <v>128</v>
      </c>
      <c r="J28" s="245" t="s">
        <v>128</v>
      </c>
      <c r="K28" s="245" t="s">
        <v>128</v>
      </c>
      <c r="L28" s="245" t="s">
        <v>128</v>
      </c>
      <c r="M28" s="246">
        <v>1</v>
      </c>
      <c r="N28" s="247">
        <v>4.585223531319986E-2</v>
      </c>
    </row>
    <row r="29" spans="1:14" s="250" customFormat="1">
      <c r="A29" s="244" t="s">
        <v>118</v>
      </c>
      <c r="B29" s="245" t="s">
        <v>128</v>
      </c>
      <c r="C29" s="245" t="s">
        <v>128</v>
      </c>
      <c r="D29" s="245" t="s">
        <v>128</v>
      </c>
      <c r="E29" s="245" t="s">
        <v>128</v>
      </c>
      <c r="F29" s="245" t="s">
        <v>128</v>
      </c>
      <c r="G29" s="245" t="s">
        <v>128</v>
      </c>
      <c r="H29" s="245" t="s">
        <v>128</v>
      </c>
      <c r="I29" s="245" t="s">
        <v>128</v>
      </c>
      <c r="J29" s="245">
        <v>1</v>
      </c>
      <c r="K29" s="245" t="s">
        <v>128</v>
      </c>
      <c r="L29" s="245" t="s">
        <v>128</v>
      </c>
      <c r="M29" s="246">
        <v>1</v>
      </c>
      <c r="N29" s="247">
        <v>3.1454345949478137E-2</v>
      </c>
    </row>
    <row r="30" spans="1:14" s="243" customFormat="1">
      <c r="A30" s="249" t="s">
        <v>125</v>
      </c>
      <c r="B30" s="245" t="s">
        <v>128</v>
      </c>
      <c r="C30" s="245" t="s">
        <v>128</v>
      </c>
      <c r="D30" s="245" t="s">
        <v>128</v>
      </c>
      <c r="E30" s="245" t="s">
        <v>128</v>
      </c>
      <c r="F30" s="245" t="s">
        <v>128</v>
      </c>
      <c r="G30" s="245">
        <v>1</v>
      </c>
      <c r="H30" s="245" t="s">
        <v>128</v>
      </c>
      <c r="I30" s="245" t="s">
        <v>128</v>
      </c>
      <c r="J30" s="245" t="s">
        <v>128</v>
      </c>
      <c r="K30" s="245" t="s">
        <v>128</v>
      </c>
      <c r="L30" s="245" t="s">
        <v>128</v>
      </c>
      <c r="M30" s="246">
        <v>1</v>
      </c>
      <c r="N30" s="247">
        <v>2.6920558989109812E-2</v>
      </c>
    </row>
    <row r="31" spans="1:14" s="243" customFormat="1">
      <c r="A31" s="251" t="s">
        <v>122</v>
      </c>
      <c r="B31" s="252" t="s">
        <v>128</v>
      </c>
      <c r="C31" s="252" t="s">
        <v>128</v>
      </c>
      <c r="D31" s="252" t="s">
        <v>128</v>
      </c>
      <c r="E31" s="252" t="s">
        <v>128</v>
      </c>
      <c r="F31" s="252" t="s">
        <v>128</v>
      </c>
      <c r="G31" s="252" t="s">
        <v>128</v>
      </c>
      <c r="H31" s="252" t="s">
        <v>128</v>
      </c>
      <c r="I31" s="252">
        <v>1</v>
      </c>
      <c r="J31" s="252" t="s">
        <v>128</v>
      </c>
      <c r="K31" s="252" t="s">
        <v>128</v>
      </c>
      <c r="L31" s="252" t="s">
        <v>128</v>
      </c>
      <c r="M31" s="246">
        <v>1</v>
      </c>
      <c r="N31" s="247">
        <v>8.0977892412266356E-2</v>
      </c>
    </row>
    <row r="32" spans="1:14" s="243" customFormat="1">
      <c r="A32" s="244" t="s">
        <v>123</v>
      </c>
      <c r="B32" s="245" t="s">
        <v>128</v>
      </c>
      <c r="C32" s="245" t="s">
        <v>128</v>
      </c>
      <c r="D32" s="245" t="s">
        <v>128</v>
      </c>
      <c r="E32" s="245" t="s">
        <v>128</v>
      </c>
      <c r="F32" s="245" t="s">
        <v>128</v>
      </c>
      <c r="G32" s="245">
        <v>1</v>
      </c>
      <c r="H32" s="245" t="s">
        <v>128</v>
      </c>
      <c r="I32" s="245" t="s">
        <v>128</v>
      </c>
      <c r="J32" s="245" t="s">
        <v>128</v>
      </c>
      <c r="K32" s="245" t="s">
        <v>128</v>
      </c>
      <c r="L32" s="245" t="s">
        <v>128</v>
      </c>
      <c r="M32" s="246">
        <v>1</v>
      </c>
      <c r="N32" s="247">
        <v>1.9051925015542003E-2</v>
      </c>
    </row>
    <row r="33" spans="1:14" s="243" customFormat="1">
      <c r="A33" s="253" t="s">
        <v>94</v>
      </c>
      <c r="B33" s="245" t="s">
        <v>128</v>
      </c>
      <c r="C33" s="245" t="s">
        <v>128</v>
      </c>
      <c r="D33" s="245" t="s">
        <v>128</v>
      </c>
      <c r="E33" s="245" t="s">
        <v>128</v>
      </c>
      <c r="F33" s="245" t="s">
        <v>128</v>
      </c>
      <c r="G33" s="245" t="s">
        <v>128</v>
      </c>
      <c r="H33" s="245" t="s">
        <v>128</v>
      </c>
      <c r="I33" s="245" t="s">
        <v>128</v>
      </c>
      <c r="J33" s="245">
        <v>1</v>
      </c>
      <c r="K33" s="245" t="s">
        <v>128</v>
      </c>
      <c r="L33" s="245" t="s">
        <v>128</v>
      </c>
      <c r="M33" s="246">
        <v>1</v>
      </c>
      <c r="N33" s="247">
        <v>4.5727913309143983E-2</v>
      </c>
    </row>
    <row r="34" spans="1:14" s="248" customFormat="1">
      <c r="A34" s="254" t="s">
        <v>126</v>
      </c>
      <c r="B34" s="255" t="s">
        <v>128</v>
      </c>
      <c r="C34" s="255" t="s">
        <v>128</v>
      </c>
      <c r="D34" s="255" t="s">
        <v>128</v>
      </c>
      <c r="E34" s="255" t="s">
        <v>128</v>
      </c>
      <c r="F34" s="255">
        <v>1</v>
      </c>
      <c r="G34" s="255" t="s">
        <v>128</v>
      </c>
      <c r="H34" s="255" t="s">
        <v>128</v>
      </c>
      <c r="I34" s="255" t="s">
        <v>128</v>
      </c>
      <c r="J34" s="255" t="s">
        <v>128</v>
      </c>
      <c r="K34" s="255" t="s">
        <v>128</v>
      </c>
      <c r="L34" s="255" t="s">
        <v>128</v>
      </c>
      <c r="M34" s="246">
        <v>1</v>
      </c>
      <c r="N34" s="247">
        <v>9.7942359632361378E-2</v>
      </c>
    </row>
    <row r="35" spans="1:14" s="243" customFormat="1">
      <c r="A35" s="256" t="s">
        <v>121</v>
      </c>
      <c r="B35" s="245" t="s">
        <v>128</v>
      </c>
      <c r="C35" s="245" t="s">
        <v>128</v>
      </c>
      <c r="D35" s="245" t="s">
        <v>128</v>
      </c>
      <c r="E35" s="245">
        <v>2</v>
      </c>
      <c r="F35" s="245" t="s">
        <v>128</v>
      </c>
      <c r="G35" s="245" t="s">
        <v>128</v>
      </c>
      <c r="H35" s="245" t="s">
        <v>128</v>
      </c>
      <c r="I35" s="245">
        <v>2</v>
      </c>
      <c r="J35" s="245" t="s">
        <v>128</v>
      </c>
      <c r="K35" s="245" t="s">
        <v>128</v>
      </c>
      <c r="L35" s="245" t="s">
        <v>128</v>
      </c>
      <c r="M35" s="246">
        <v>2</v>
      </c>
      <c r="N35" s="247">
        <v>5.2686491037504002E-2</v>
      </c>
    </row>
    <row r="36" spans="1:14" s="243" customFormat="1">
      <c r="A36" s="256" t="s">
        <v>90</v>
      </c>
      <c r="B36" s="245" t="s">
        <v>128</v>
      </c>
      <c r="C36" s="245" t="s">
        <v>128</v>
      </c>
      <c r="D36" s="245">
        <v>3</v>
      </c>
      <c r="E36" s="245">
        <v>3</v>
      </c>
      <c r="F36" s="245" t="s">
        <v>128</v>
      </c>
      <c r="G36" s="245" t="s">
        <v>128</v>
      </c>
      <c r="H36" s="245" t="s">
        <v>128</v>
      </c>
      <c r="I36" s="245">
        <v>3</v>
      </c>
      <c r="J36" s="245" t="s">
        <v>128</v>
      </c>
      <c r="K36" s="245" t="s">
        <v>128</v>
      </c>
      <c r="L36" s="245" t="s">
        <v>128</v>
      </c>
      <c r="M36" s="246">
        <v>3</v>
      </c>
      <c r="N36" s="247">
        <v>1.8884896193973599E-2</v>
      </c>
    </row>
    <row r="37" spans="1:14" s="243" customFormat="1">
      <c r="A37" s="257" t="s">
        <v>91</v>
      </c>
      <c r="B37" s="252" t="s">
        <v>128</v>
      </c>
      <c r="C37" s="252">
        <v>3</v>
      </c>
      <c r="D37" s="252" t="s">
        <v>128</v>
      </c>
      <c r="E37" s="252" t="s">
        <v>128</v>
      </c>
      <c r="F37" s="252" t="s">
        <v>128</v>
      </c>
      <c r="G37" s="252" t="s">
        <v>128</v>
      </c>
      <c r="H37" s="252">
        <v>3</v>
      </c>
      <c r="I37" s="252" t="s">
        <v>128</v>
      </c>
      <c r="J37" s="252">
        <v>3</v>
      </c>
      <c r="K37" s="252" t="s">
        <v>128</v>
      </c>
      <c r="L37" s="252" t="s">
        <v>128</v>
      </c>
      <c r="M37" s="246">
        <v>3</v>
      </c>
      <c r="N37" s="247">
        <v>8.4468080927495331E-2</v>
      </c>
    </row>
    <row r="38" spans="1:14" s="243" customFormat="1">
      <c r="A38" s="254" t="s">
        <v>116</v>
      </c>
      <c r="B38" s="255">
        <v>4</v>
      </c>
      <c r="C38" s="255" t="s">
        <v>128</v>
      </c>
      <c r="D38" s="255">
        <v>4</v>
      </c>
      <c r="E38" s="255" t="s">
        <v>128</v>
      </c>
      <c r="F38" s="255" t="s">
        <v>128</v>
      </c>
      <c r="G38" s="255">
        <v>4</v>
      </c>
      <c r="H38" s="255" t="s">
        <v>128</v>
      </c>
      <c r="I38" s="255" t="s">
        <v>128</v>
      </c>
      <c r="J38" s="255">
        <v>4</v>
      </c>
      <c r="K38" s="255" t="s">
        <v>128</v>
      </c>
      <c r="L38" s="255" t="s">
        <v>128</v>
      </c>
      <c r="M38" s="246">
        <v>4</v>
      </c>
      <c r="N38" s="247">
        <v>2.1081891760592875E-2</v>
      </c>
    </row>
    <row r="39" spans="1:14" s="243" customFormat="1">
      <c r="A39" s="257" t="s">
        <v>49</v>
      </c>
      <c r="B39" s="252">
        <v>4</v>
      </c>
      <c r="C39" s="252">
        <v>4</v>
      </c>
      <c r="D39" s="252" t="s">
        <v>128</v>
      </c>
      <c r="E39" s="252">
        <v>4</v>
      </c>
      <c r="F39" s="252" t="s">
        <v>128</v>
      </c>
      <c r="G39" s="252" t="s">
        <v>128</v>
      </c>
      <c r="H39" s="252">
        <v>4</v>
      </c>
      <c r="I39" s="252" t="s">
        <v>128</v>
      </c>
      <c r="J39" s="252" t="s">
        <v>128</v>
      </c>
      <c r="K39" s="252" t="s">
        <v>128</v>
      </c>
      <c r="L39" s="252" t="s">
        <v>128</v>
      </c>
      <c r="M39" s="246">
        <v>4</v>
      </c>
      <c r="N39" s="247">
        <v>9.3380839619214756E-2</v>
      </c>
    </row>
    <row r="40" spans="1:14" s="243" customFormat="1">
      <c r="A40" s="256" t="s">
        <v>58</v>
      </c>
      <c r="B40" s="245">
        <v>4</v>
      </c>
      <c r="C40" s="245" t="s">
        <v>128</v>
      </c>
      <c r="D40" s="245" t="s">
        <v>128</v>
      </c>
      <c r="E40" s="245" t="s">
        <v>128</v>
      </c>
      <c r="F40" s="245">
        <v>4</v>
      </c>
      <c r="G40" s="245">
        <v>4</v>
      </c>
      <c r="H40" s="245" t="s">
        <v>128</v>
      </c>
      <c r="I40" s="245">
        <v>4</v>
      </c>
      <c r="J40" s="245" t="s">
        <v>128</v>
      </c>
      <c r="K40" s="245" t="s">
        <v>128</v>
      </c>
      <c r="L40" s="245" t="s">
        <v>128</v>
      </c>
      <c r="M40" s="246">
        <v>4</v>
      </c>
      <c r="N40" s="247">
        <v>7.2743830407472523E-2</v>
      </c>
    </row>
    <row r="41" spans="1:14" s="243" customFormat="1">
      <c r="A41" s="285" t="s">
        <v>95</v>
      </c>
      <c r="B41" s="259" t="s">
        <v>128</v>
      </c>
      <c r="C41" s="259">
        <v>4</v>
      </c>
      <c r="D41" s="259">
        <v>4</v>
      </c>
      <c r="E41" s="259">
        <v>4</v>
      </c>
      <c r="F41" s="259" t="s">
        <v>128</v>
      </c>
      <c r="G41" s="259" t="s">
        <v>128</v>
      </c>
      <c r="H41" s="259" t="s">
        <v>128</v>
      </c>
      <c r="I41" s="259">
        <v>4</v>
      </c>
      <c r="J41" s="259" t="s">
        <v>128</v>
      </c>
      <c r="K41" s="259" t="s">
        <v>128</v>
      </c>
      <c r="L41" s="259" t="s">
        <v>128</v>
      </c>
      <c r="M41" s="246">
        <v>4</v>
      </c>
      <c r="N41" s="247">
        <v>9.742574634936399E-2</v>
      </c>
    </row>
    <row r="42" spans="1:14" s="243" customFormat="1">
      <c r="A42" s="244" t="s">
        <v>111</v>
      </c>
      <c r="B42" s="245">
        <v>6</v>
      </c>
      <c r="C42" s="245">
        <v>6</v>
      </c>
      <c r="D42" s="245">
        <v>6</v>
      </c>
      <c r="E42" s="245" t="s">
        <v>128</v>
      </c>
      <c r="F42" s="245">
        <v>6</v>
      </c>
      <c r="G42" s="245" t="s">
        <v>128</v>
      </c>
      <c r="H42" s="245">
        <v>6</v>
      </c>
      <c r="I42" s="245" t="s">
        <v>128</v>
      </c>
      <c r="J42" s="245">
        <v>6</v>
      </c>
      <c r="K42" s="245" t="s">
        <v>128</v>
      </c>
      <c r="L42" s="245" t="s">
        <v>128</v>
      </c>
      <c r="M42" s="246">
        <v>6</v>
      </c>
      <c r="N42" s="247">
        <v>5.9368114217937418E-2</v>
      </c>
    </row>
    <row r="43" spans="1:14" s="243" customFormat="1">
      <c r="A43" s="249" t="s">
        <v>110</v>
      </c>
      <c r="B43" s="245">
        <v>8</v>
      </c>
      <c r="C43" s="245">
        <v>8</v>
      </c>
      <c r="D43" s="245">
        <v>8</v>
      </c>
      <c r="E43" s="245">
        <v>8</v>
      </c>
      <c r="F43" s="245">
        <v>8</v>
      </c>
      <c r="G43" s="245">
        <v>8</v>
      </c>
      <c r="H43" s="245">
        <v>8</v>
      </c>
      <c r="I43" s="245" t="s">
        <v>128</v>
      </c>
      <c r="J43" s="245">
        <v>8</v>
      </c>
      <c r="K43" s="245" t="s">
        <v>128</v>
      </c>
      <c r="L43" s="245" t="s">
        <v>128</v>
      </c>
      <c r="M43" s="246">
        <v>8</v>
      </c>
      <c r="N43" s="247">
        <v>6.3092294016981312E-2</v>
      </c>
    </row>
    <row r="44" spans="1:14" s="243" customFormat="1">
      <c r="A44" s="244" t="s">
        <v>55</v>
      </c>
      <c r="B44" s="245">
        <v>8</v>
      </c>
      <c r="C44" s="245">
        <v>8</v>
      </c>
      <c r="D44" s="245">
        <v>8</v>
      </c>
      <c r="E44" s="245">
        <v>8</v>
      </c>
      <c r="F44" s="245">
        <v>8</v>
      </c>
      <c r="G44" s="245">
        <v>8</v>
      </c>
      <c r="H44" s="245" t="s">
        <v>128</v>
      </c>
      <c r="I44" s="245">
        <v>8</v>
      </c>
      <c r="J44" s="245">
        <v>8</v>
      </c>
      <c r="K44" s="245" t="s">
        <v>128</v>
      </c>
      <c r="L44" s="245" t="s">
        <v>128</v>
      </c>
      <c r="M44" s="246">
        <v>8</v>
      </c>
      <c r="N44" s="247">
        <v>6.2776706537620436E-2</v>
      </c>
    </row>
    <row r="45" spans="1:14" s="243" customFormat="1">
      <c r="A45" s="249" t="s">
        <v>74</v>
      </c>
      <c r="B45" s="245">
        <v>8</v>
      </c>
      <c r="C45" s="245">
        <v>8</v>
      </c>
      <c r="D45" s="245">
        <v>8</v>
      </c>
      <c r="E45" s="245">
        <v>8</v>
      </c>
      <c r="F45" s="245">
        <v>8</v>
      </c>
      <c r="G45" s="245">
        <v>8</v>
      </c>
      <c r="H45" s="245">
        <v>8</v>
      </c>
      <c r="I45" s="245">
        <v>8</v>
      </c>
      <c r="J45" s="245" t="s">
        <v>128</v>
      </c>
      <c r="K45" s="245" t="s">
        <v>128</v>
      </c>
      <c r="L45" s="245" t="s">
        <v>128</v>
      </c>
      <c r="M45" s="246">
        <v>8</v>
      </c>
      <c r="N45" s="247">
        <v>3.5168856627903103E-2</v>
      </c>
    </row>
    <row r="46" spans="1:14" s="243" customFormat="1">
      <c r="A46" s="260" t="s">
        <v>76</v>
      </c>
      <c r="B46" s="252">
        <v>8</v>
      </c>
      <c r="C46" s="252">
        <v>8</v>
      </c>
      <c r="D46" s="252">
        <v>8</v>
      </c>
      <c r="E46" s="252">
        <v>8</v>
      </c>
      <c r="F46" s="252">
        <v>8</v>
      </c>
      <c r="G46" s="252">
        <v>8</v>
      </c>
      <c r="H46" s="252">
        <v>8</v>
      </c>
      <c r="I46" s="252">
        <v>8</v>
      </c>
      <c r="J46" s="252" t="s">
        <v>128</v>
      </c>
      <c r="K46" s="252" t="s">
        <v>128</v>
      </c>
      <c r="L46" s="252" t="s">
        <v>128</v>
      </c>
      <c r="M46" s="246">
        <v>8</v>
      </c>
      <c r="N46" s="247">
        <v>6.1795322557010549E-2</v>
      </c>
    </row>
    <row r="47" spans="1:14" s="243" customFormat="1">
      <c r="A47" s="262" t="s">
        <v>45</v>
      </c>
      <c r="B47" s="255">
        <v>9</v>
      </c>
      <c r="C47" s="255">
        <v>9</v>
      </c>
      <c r="D47" s="255">
        <v>9</v>
      </c>
      <c r="E47" s="255">
        <v>9</v>
      </c>
      <c r="F47" s="255">
        <v>9</v>
      </c>
      <c r="G47" s="255">
        <v>9</v>
      </c>
      <c r="H47" s="255">
        <v>9</v>
      </c>
      <c r="I47" s="255">
        <v>9</v>
      </c>
      <c r="J47" s="255">
        <v>9</v>
      </c>
      <c r="K47" s="255" t="s">
        <v>128</v>
      </c>
      <c r="L47" s="255" t="s">
        <v>128</v>
      </c>
      <c r="M47" s="246">
        <v>9</v>
      </c>
      <c r="N47" s="247">
        <v>8.943698444927721E-2</v>
      </c>
    </row>
    <row r="48" spans="1:14" s="243" customFormat="1">
      <c r="A48" s="251" t="s">
        <v>89</v>
      </c>
      <c r="B48" s="252">
        <v>9</v>
      </c>
      <c r="C48" s="252">
        <v>9</v>
      </c>
      <c r="D48" s="252">
        <v>9</v>
      </c>
      <c r="E48" s="252">
        <v>9</v>
      </c>
      <c r="F48" s="252">
        <v>9</v>
      </c>
      <c r="G48" s="252">
        <v>9</v>
      </c>
      <c r="H48" s="252">
        <v>9</v>
      </c>
      <c r="I48" s="252">
        <v>9</v>
      </c>
      <c r="J48" s="252">
        <v>9</v>
      </c>
      <c r="K48" s="252" t="s">
        <v>128</v>
      </c>
      <c r="L48" s="252" t="s">
        <v>128</v>
      </c>
      <c r="M48" s="246">
        <v>9</v>
      </c>
      <c r="N48" s="247">
        <v>4.4185813809047757E-2</v>
      </c>
    </row>
    <row r="49" spans="1:14" s="243" customFormat="1">
      <c r="A49" s="244" t="s">
        <v>93</v>
      </c>
      <c r="B49" s="245">
        <v>9</v>
      </c>
      <c r="C49" s="245">
        <v>9</v>
      </c>
      <c r="D49" s="245">
        <v>9</v>
      </c>
      <c r="E49" s="245">
        <v>9</v>
      </c>
      <c r="F49" s="245">
        <v>9</v>
      </c>
      <c r="G49" s="245">
        <v>9</v>
      </c>
      <c r="H49" s="245">
        <v>9</v>
      </c>
      <c r="I49" s="245">
        <v>9</v>
      </c>
      <c r="J49" s="245">
        <v>9</v>
      </c>
      <c r="K49" s="245" t="s">
        <v>128</v>
      </c>
      <c r="L49" s="245" t="s">
        <v>128</v>
      </c>
      <c r="M49" s="246">
        <v>9</v>
      </c>
      <c r="N49" s="247">
        <v>9.0368057056667284E-2</v>
      </c>
    </row>
    <row r="50" spans="1:14" s="243" customFormat="1">
      <c r="A50" s="285" t="s">
        <v>77</v>
      </c>
      <c r="B50" s="259">
        <v>9</v>
      </c>
      <c r="C50" s="259">
        <v>9</v>
      </c>
      <c r="D50" s="259">
        <v>9</v>
      </c>
      <c r="E50" s="259">
        <v>9</v>
      </c>
      <c r="F50" s="259">
        <v>9</v>
      </c>
      <c r="G50" s="259">
        <v>9</v>
      </c>
      <c r="H50" s="259">
        <v>9</v>
      </c>
      <c r="I50" s="259">
        <v>9</v>
      </c>
      <c r="J50" s="259">
        <v>9</v>
      </c>
      <c r="K50" s="259" t="s">
        <v>128</v>
      </c>
      <c r="L50" s="259" t="s">
        <v>128</v>
      </c>
      <c r="M50" s="246">
        <v>9</v>
      </c>
      <c r="N50" s="247">
        <v>7.5226658749721759E-2</v>
      </c>
    </row>
    <row r="51" spans="1:14" s="243" customFormat="1">
      <c r="A51" s="258" t="s">
        <v>56</v>
      </c>
      <c r="B51" s="259">
        <v>9</v>
      </c>
      <c r="C51" s="259">
        <v>9</v>
      </c>
      <c r="D51" s="259">
        <v>9</v>
      </c>
      <c r="E51" s="259">
        <v>9</v>
      </c>
      <c r="F51" s="259">
        <v>9</v>
      </c>
      <c r="G51" s="259">
        <v>9</v>
      </c>
      <c r="H51" s="259">
        <v>9</v>
      </c>
      <c r="I51" s="259">
        <v>9</v>
      </c>
      <c r="J51" s="259">
        <v>9</v>
      </c>
      <c r="K51" s="259" t="s">
        <v>128</v>
      </c>
      <c r="L51" s="259" t="s">
        <v>128</v>
      </c>
      <c r="M51" s="246">
        <v>9</v>
      </c>
      <c r="N51" s="247">
        <v>5.6260630680892196E-2</v>
      </c>
    </row>
    <row r="52" spans="1:14" s="243" customFormat="1">
      <c r="A52" s="249" t="s">
        <v>75</v>
      </c>
      <c r="B52" s="245">
        <v>9</v>
      </c>
      <c r="C52" s="245">
        <v>9</v>
      </c>
      <c r="D52" s="245">
        <v>9</v>
      </c>
      <c r="E52" s="245">
        <v>9</v>
      </c>
      <c r="F52" s="245">
        <v>9</v>
      </c>
      <c r="G52" s="245">
        <v>9</v>
      </c>
      <c r="H52" s="245">
        <v>9</v>
      </c>
      <c r="I52" s="245">
        <v>9</v>
      </c>
      <c r="J52" s="245">
        <v>9</v>
      </c>
      <c r="K52" s="245" t="s">
        <v>128</v>
      </c>
      <c r="L52" s="245" t="s">
        <v>128</v>
      </c>
      <c r="M52" s="246">
        <v>9</v>
      </c>
      <c r="N52" s="247">
        <v>7.5407384867682392E-2</v>
      </c>
    </row>
    <row r="53" spans="1:14" s="243" customFormat="1">
      <c r="A53" s="249" t="s">
        <v>97</v>
      </c>
      <c r="B53" s="245">
        <v>9</v>
      </c>
      <c r="C53" s="245">
        <v>9</v>
      </c>
      <c r="D53" s="245">
        <v>9</v>
      </c>
      <c r="E53" s="245">
        <v>9</v>
      </c>
      <c r="F53" s="245">
        <v>9</v>
      </c>
      <c r="G53" s="245">
        <v>9</v>
      </c>
      <c r="H53" s="245">
        <v>9</v>
      </c>
      <c r="I53" s="245">
        <v>9</v>
      </c>
      <c r="J53" s="245">
        <v>9</v>
      </c>
      <c r="K53" s="245" t="s">
        <v>128</v>
      </c>
      <c r="L53" s="245" t="s">
        <v>128</v>
      </c>
      <c r="M53" s="246">
        <v>9</v>
      </c>
      <c r="N53" s="247">
        <v>9.969408152754014E-2</v>
      </c>
    </row>
    <row r="54" spans="1:14" s="250" customFormat="1">
      <c r="A54" s="249" t="s">
        <v>113</v>
      </c>
      <c r="B54" s="245">
        <v>9</v>
      </c>
      <c r="C54" s="245">
        <v>9</v>
      </c>
      <c r="D54" s="245">
        <v>9</v>
      </c>
      <c r="E54" s="245">
        <v>9</v>
      </c>
      <c r="F54" s="245">
        <v>9</v>
      </c>
      <c r="G54" s="245">
        <v>9</v>
      </c>
      <c r="H54" s="245">
        <v>9</v>
      </c>
      <c r="I54" s="245">
        <v>9</v>
      </c>
      <c r="J54" s="245">
        <v>9</v>
      </c>
      <c r="K54" s="245" t="s">
        <v>128</v>
      </c>
      <c r="L54" s="245" t="s">
        <v>128</v>
      </c>
      <c r="M54" s="246">
        <v>9</v>
      </c>
      <c r="N54" s="247">
        <v>9.7682963835206499E-2</v>
      </c>
    </row>
    <row r="55" spans="1:14" s="250" customFormat="1">
      <c r="A55" s="244" t="s">
        <v>98</v>
      </c>
      <c r="B55" s="245">
        <v>9</v>
      </c>
      <c r="C55" s="245">
        <v>9</v>
      </c>
      <c r="D55" s="245">
        <v>9</v>
      </c>
      <c r="E55" s="245">
        <v>9</v>
      </c>
      <c r="F55" s="245">
        <v>9</v>
      </c>
      <c r="G55" s="245">
        <v>9</v>
      </c>
      <c r="H55" s="245">
        <v>9</v>
      </c>
      <c r="I55" s="245">
        <v>9</v>
      </c>
      <c r="J55" s="245">
        <v>9</v>
      </c>
      <c r="K55" s="245" t="s">
        <v>128</v>
      </c>
      <c r="L55" s="245" t="s">
        <v>128</v>
      </c>
      <c r="M55" s="246">
        <v>9</v>
      </c>
      <c r="N55" s="247">
        <v>9.0449834697571313E-2</v>
      </c>
    </row>
  </sheetData>
  <sortState ref="A20:N55">
    <sortCondition ref="M20:M55"/>
    <sortCondition ref="A20:A55"/>
  </sortState>
  <conditionalFormatting sqref="A44:L44">
    <cfRule type="expression" dxfId="69" priority="1">
      <formula>$M44&lt;$M45</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sheetPr codeName="Blad6" enableFormatConditionsCalculation="0">
    <tabColor indexed="32"/>
  </sheetPr>
  <dimension ref="A1:CZ81"/>
  <sheetViews>
    <sheetView showGridLines="0" showZeros="0" zoomScale="90" zoomScaleNormal="90" workbookViewId="0">
      <pane xSplit="2" ySplit="1" topLeftCell="C2" activePane="bottomRight" state="frozen"/>
      <selection activeCell="B47" sqref="B47"/>
      <selection pane="topRight" activeCell="B47" sqref="B47"/>
      <selection pane="bottomLeft" activeCell="B47" sqref="B47"/>
      <selection pane="bottomRight" activeCell="AE18" sqref="AD2:AE18"/>
    </sheetView>
  </sheetViews>
  <sheetFormatPr defaultRowHeight="12.75"/>
  <cols>
    <col min="1" max="1" width="8" style="84" customWidth="1"/>
    <col min="2" max="2" width="13.85546875" style="34" customWidth="1"/>
    <col min="3" max="4" width="5.28515625" style="88" customWidth="1"/>
    <col min="5" max="5" width="5.28515625" style="91" customWidth="1"/>
    <col min="6" max="8" width="5.28515625" style="90" customWidth="1"/>
    <col min="9" max="17" width="5.28515625" style="88" customWidth="1"/>
    <col min="18" max="18" width="5.28515625" style="90" customWidth="1"/>
    <col min="19" max="20" width="5.28515625" style="88" customWidth="1"/>
    <col min="21" max="23" width="5.28515625" style="90" customWidth="1"/>
    <col min="24" max="24" width="5.28515625" style="157" customWidth="1"/>
    <col min="25" max="25" width="5.28515625" style="74" customWidth="1"/>
    <col min="26" max="26" width="5.7109375" style="35" customWidth="1"/>
    <col min="27" max="27" width="10.7109375" style="106" customWidth="1"/>
    <col min="28" max="28" width="5.85546875" style="106" customWidth="1"/>
    <col min="29" max="29" width="4.7109375" style="184" customWidth="1"/>
    <col min="30" max="30" width="17" style="75" customWidth="1"/>
    <col min="31" max="31" width="6.140625" style="75" customWidth="1"/>
    <col min="32" max="61" width="9.140625" style="75"/>
    <col min="62" max="104" width="9.140625" style="76"/>
    <col min="105" max="16384" width="9.140625" style="77"/>
  </cols>
  <sheetData>
    <row r="1" spans="1:104" ht="13.5" thickBot="1">
      <c r="A1" s="73"/>
      <c r="C1" s="119">
        <v>1</v>
      </c>
      <c r="D1" s="119">
        <v>2</v>
      </c>
      <c r="E1" s="119">
        <v>3</v>
      </c>
      <c r="F1" s="119">
        <v>4</v>
      </c>
      <c r="G1" s="119">
        <v>5</v>
      </c>
      <c r="H1" s="119">
        <v>6</v>
      </c>
      <c r="I1" s="119">
        <v>7</v>
      </c>
      <c r="J1" s="119">
        <v>8</v>
      </c>
      <c r="K1" s="119">
        <v>9</v>
      </c>
      <c r="L1" s="119">
        <v>10</v>
      </c>
      <c r="M1" s="119">
        <v>11</v>
      </c>
      <c r="N1" s="119">
        <v>12</v>
      </c>
      <c r="O1" s="119">
        <v>13</v>
      </c>
      <c r="P1" s="119">
        <v>14</v>
      </c>
      <c r="Q1" s="119">
        <v>15</v>
      </c>
      <c r="R1" s="119">
        <v>16</v>
      </c>
      <c r="S1" s="119">
        <v>17</v>
      </c>
      <c r="T1" s="119">
        <v>18</v>
      </c>
      <c r="U1" s="119">
        <v>19</v>
      </c>
      <c r="V1" s="119">
        <v>20</v>
      </c>
      <c r="W1" s="119">
        <v>21</v>
      </c>
      <c r="Y1" s="74" t="s">
        <v>1</v>
      </c>
      <c r="Z1" s="33"/>
      <c r="AA1" s="106" t="s">
        <v>51</v>
      </c>
      <c r="AB1" s="106" t="s">
        <v>66</v>
      </c>
    </row>
    <row r="2" spans="1:104" s="78" customFormat="1">
      <c r="A2" s="103"/>
      <c r="B2" s="104" t="s">
        <v>135</v>
      </c>
      <c r="C2" s="98"/>
      <c r="D2" s="98"/>
      <c r="E2" s="98">
        <f>13</f>
        <v>13</v>
      </c>
      <c r="F2" s="98"/>
      <c r="G2" s="98"/>
      <c r="H2" s="98"/>
      <c r="I2" s="98"/>
      <c r="J2" s="98">
        <f>15</f>
        <v>15</v>
      </c>
      <c r="K2" s="98"/>
      <c r="L2" s="98"/>
      <c r="M2" s="98"/>
      <c r="N2" s="98"/>
      <c r="O2" s="98"/>
      <c r="P2" s="98"/>
      <c r="Q2" s="98"/>
      <c r="R2" s="98"/>
      <c r="S2" s="98"/>
      <c r="T2" s="98"/>
      <c r="U2" s="98"/>
      <c r="V2" s="98"/>
      <c r="W2" s="98"/>
      <c r="X2" s="158">
        <f ca="1">SUM(C2:W2)+RAND()/10</f>
        <v>28.025130256466799</v>
      </c>
      <c r="Y2" s="99"/>
      <c r="Z2" s="161">
        <f t="shared" ref="Z2:Z22" ca="1" si="0">SUM(X2:Y2)</f>
        <v>28.025130256466799</v>
      </c>
      <c r="AA2" s="106">
        <f ca="1">COUNTIF(Teams!$4:$20,B2)</f>
        <v>1</v>
      </c>
      <c r="AB2" s="106">
        <f t="shared" ref="AB2:AB15" ca="1" si="1">RANK(Z2,$Z$2:$Z$54)</f>
        <v>37</v>
      </c>
      <c r="AC2" s="184">
        <v>1</v>
      </c>
      <c r="AD2" s="185" t="str">
        <f ca="1">INDEX($B$2:$B$54,MATCH(AC2,$AB$2:$AB$54,0))</f>
        <v>Sagan</v>
      </c>
      <c r="AE2" s="232">
        <f t="shared" ref="AE2:AE54" ca="1" si="2">INDEX($Z$2:$Z$54,MATCH(AC2,$AB$2:$AB$54,0))</f>
        <v>446.01544144758032</v>
      </c>
      <c r="AF2" s="75">
        <f ca="1">COUNTIF(Teams!$4:$20,AD2)</f>
        <v>10</v>
      </c>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6"/>
      <c r="BK2" s="76"/>
      <c r="BL2" s="76"/>
      <c r="BM2" s="76"/>
      <c r="BN2" s="76"/>
      <c r="BO2" s="76"/>
      <c r="BP2" s="76"/>
      <c r="BQ2" s="76"/>
      <c r="BR2" s="76"/>
      <c r="BS2" s="76"/>
      <c r="BT2" s="76"/>
      <c r="BU2" s="76"/>
      <c r="BV2" s="76"/>
      <c r="BW2" s="76"/>
      <c r="BX2" s="76"/>
      <c r="BY2" s="76"/>
      <c r="BZ2" s="76"/>
      <c r="CA2" s="76"/>
      <c r="CB2" s="76"/>
      <c r="CC2" s="76"/>
      <c r="CD2" s="76"/>
      <c r="CE2" s="76"/>
      <c r="CF2" s="76"/>
      <c r="CG2" s="76"/>
      <c r="CH2" s="76"/>
      <c r="CI2" s="76"/>
      <c r="CJ2" s="76"/>
      <c r="CK2" s="76"/>
      <c r="CL2" s="76"/>
      <c r="CM2" s="76"/>
      <c r="CN2" s="76"/>
      <c r="CO2" s="76"/>
      <c r="CP2" s="76"/>
      <c r="CQ2" s="76"/>
      <c r="CR2" s="76"/>
      <c r="CS2" s="76"/>
      <c r="CT2" s="76"/>
      <c r="CU2" s="76"/>
      <c r="CV2" s="76"/>
      <c r="CW2" s="76"/>
      <c r="CX2" s="76"/>
      <c r="CY2" s="76"/>
      <c r="CZ2" s="76"/>
    </row>
    <row r="3" spans="1:104" s="78" customFormat="1">
      <c r="A3" s="107"/>
      <c r="B3" s="108" t="s">
        <v>116</v>
      </c>
      <c r="C3" s="109"/>
      <c r="D3" s="109"/>
      <c r="E3" s="109"/>
      <c r="F3" s="109">
        <v>8</v>
      </c>
      <c r="G3" s="109"/>
      <c r="H3" s="109"/>
      <c r="I3" s="109"/>
      <c r="J3" s="109"/>
      <c r="K3" s="109"/>
      <c r="L3" s="109"/>
      <c r="M3" s="109"/>
      <c r="N3" s="109">
        <f>26+1</f>
        <v>27</v>
      </c>
      <c r="O3" s="109">
        <v>1</v>
      </c>
      <c r="P3" s="109">
        <f>26+1</f>
        <v>27</v>
      </c>
      <c r="Q3" s="109">
        <v>1</v>
      </c>
      <c r="R3" s="109">
        <v>1</v>
      </c>
      <c r="S3" s="109"/>
      <c r="T3" s="109">
        <f>35+1+4</f>
        <v>40</v>
      </c>
      <c r="U3" s="109">
        <f>22+2+5</f>
        <v>29</v>
      </c>
      <c r="V3" s="109">
        <f>8+2+3</f>
        <v>13</v>
      </c>
      <c r="W3" s="109">
        <f>2+3</f>
        <v>5</v>
      </c>
      <c r="X3" s="159">
        <f t="shared" ref="X3:X54" ca="1" si="3">SUM(C3:W3)+RAND()/10</f>
        <v>152.09857885058679</v>
      </c>
      <c r="Y3" s="110">
        <f>5+34</f>
        <v>39</v>
      </c>
      <c r="Z3" s="162">
        <f t="shared" ca="1" si="0"/>
        <v>191.09857885058679</v>
      </c>
      <c r="AA3" s="106">
        <f ca="1">COUNTIF(Teams!$4:$20,B3)</f>
        <v>9</v>
      </c>
      <c r="AB3" s="106">
        <f t="shared" ca="1" si="1"/>
        <v>8</v>
      </c>
      <c r="AC3" s="184">
        <v>2</v>
      </c>
      <c r="AD3" s="185" t="str">
        <f t="shared" ref="AD3:AD18" ca="1" si="4">INDEX($B$2:$B$54,MATCH(AC3,$AB$2:$AB$54,0))</f>
        <v>Valverde</v>
      </c>
      <c r="AE3" s="232">
        <f t="shared" ca="1" si="2"/>
        <v>340.0308528257716</v>
      </c>
      <c r="AF3" s="75">
        <f ca="1">COUNTIF(Teams!$4:$20,AD3)</f>
        <v>10</v>
      </c>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row>
    <row r="4" spans="1:104" s="78" customFormat="1">
      <c r="A4" s="103"/>
      <c r="B4" s="104" t="s">
        <v>143</v>
      </c>
      <c r="C4" s="98"/>
      <c r="D4" s="98">
        <v>16</v>
      </c>
      <c r="E4" s="98">
        <v>9</v>
      </c>
      <c r="F4" s="98"/>
      <c r="G4" s="98"/>
      <c r="H4" s="98"/>
      <c r="I4" s="98">
        <f>9+1</f>
        <v>10</v>
      </c>
      <c r="J4" s="98">
        <f>13+3</f>
        <v>16</v>
      </c>
      <c r="K4" s="98"/>
      <c r="L4" s="98">
        <f>11+2</f>
        <v>13</v>
      </c>
      <c r="M4" s="98">
        <v>2</v>
      </c>
      <c r="N4" s="98"/>
      <c r="O4" s="98">
        <v>10</v>
      </c>
      <c r="P4" s="98"/>
      <c r="Q4" s="98"/>
      <c r="R4" s="98">
        <v>1</v>
      </c>
      <c r="S4" s="98">
        <v>1</v>
      </c>
      <c r="T4" s="98">
        <f>16</f>
        <v>16</v>
      </c>
      <c r="U4" s="98"/>
      <c r="V4" s="98"/>
      <c r="W4" s="98"/>
      <c r="X4" s="158">
        <f t="shared" ca="1" si="3"/>
        <v>94.025177333395334</v>
      </c>
      <c r="Y4" s="99">
        <v>24</v>
      </c>
      <c r="Z4" s="161">
        <f t="shared" ca="1" si="0"/>
        <v>118.02517733339533</v>
      </c>
      <c r="AA4" s="106">
        <f ca="1">COUNTIF(Teams!$4:$20,B4)</f>
        <v>1</v>
      </c>
      <c r="AB4" s="106">
        <f t="shared" ca="1" si="1"/>
        <v>19</v>
      </c>
      <c r="AC4" s="184">
        <v>3</v>
      </c>
      <c r="AD4" s="185" t="str">
        <f t="shared" ca="1" si="4"/>
        <v>Greipel</v>
      </c>
      <c r="AE4" s="232">
        <f t="shared" ca="1" si="2"/>
        <v>260.0929480193098</v>
      </c>
      <c r="AF4" s="75">
        <f ca="1">COUNTIF(Teams!$4:$20,AD4)</f>
        <v>5</v>
      </c>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6"/>
      <c r="BK4" s="76"/>
      <c r="BL4" s="76"/>
      <c r="BM4" s="76"/>
      <c r="BN4" s="76"/>
      <c r="BO4" s="76"/>
      <c r="BP4" s="76"/>
      <c r="BQ4" s="76"/>
      <c r="BR4" s="76"/>
      <c r="BS4" s="76"/>
      <c r="BT4" s="76"/>
      <c r="BU4" s="76"/>
      <c r="BV4" s="76"/>
      <c r="BW4" s="76"/>
      <c r="BX4" s="76"/>
      <c r="BY4" s="76"/>
      <c r="BZ4" s="76"/>
      <c r="CA4" s="76"/>
      <c r="CB4" s="76"/>
      <c r="CC4" s="76"/>
      <c r="CD4" s="76"/>
      <c r="CE4" s="76"/>
      <c r="CF4" s="76"/>
      <c r="CG4" s="76"/>
      <c r="CH4" s="76"/>
      <c r="CI4" s="76"/>
      <c r="CJ4" s="76"/>
      <c r="CK4" s="76"/>
      <c r="CL4" s="76"/>
      <c r="CM4" s="76"/>
      <c r="CN4" s="76"/>
      <c r="CO4" s="76"/>
      <c r="CP4" s="76"/>
      <c r="CQ4" s="76"/>
      <c r="CR4" s="76"/>
      <c r="CS4" s="76"/>
      <c r="CT4" s="76"/>
      <c r="CU4" s="76"/>
      <c r="CV4" s="76"/>
      <c r="CW4" s="76"/>
      <c r="CX4" s="76"/>
      <c r="CY4" s="76"/>
      <c r="CZ4" s="76"/>
    </row>
    <row r="5" spans="1:104" s="78" customFormat="1">
      <c r="A5" s="107"/>
      <c r="B5" s="108" t="s">
        <v>178</v>
      </c>
      <c r="C5" s="109"/>
      <c r="D5" s="109"/>
      <c r="E5" s="109"/>
      <c r="F5" s="109"/>
      <c r="G5" s="109"/>
      <c r="H5" s="109"/>
      <c r="I5" s="109"/>
      <c r="J5" s="109"/>
      <c r="K5" s="109"/>
      <c r="L5" s="109"/>
      <c r="M5" s="109"/>
      <c r="N5" s="109"/>
      <c r="O5" s="109"/>
      <c r="P5" s="109"/>
      <c r="Q5" s="109"/>
      <c r="R5" s="109"/>
      <c r="S5" s="109"/>
      <c r="T5" s="109"/>
      <c r="U5" s="109"/>
      <c r="V5" s="109"/>
      <c r="W5" s="109"/>
      <c r="X5" s="159">
        <f t="shared" ca="1" si="3"/>
        <v>6.8926163849955674E-2</v>
      </c>
      <c r="Y5" s="110"/>
      <c r="Z5" s="162">
        <f t="shared" ca="1" si="0"/>
        <v>6.8926163849955674E-2</v>
      </c>
      <c r="AA5" s="106">
        <f ca="1">COUNTIF(Teams!$4:$20,B5)</f>
        <v>1</v>
      </c>
      <c r="AB5" s="106">
        <f t="shared" ca="1" si="1"/>
        <v>48</v>
      </c>
      <c r="AC5" s="184">
        <v>4</v>
      </c>
      <c r="AD5" s="185" t="str">
        <f t="shared" ca="1" si="4"/>
        <v>Gesink</v>
      </c>
      <c r="AE5" s="232">
        <f t="shared" ca="1" si="2"/>
        <v>249.01238302441232</v>
      </c>
      <c r="AF5" s="75">
        <f ca="1">COUNTIF(Teams!$4:$20,AD5)</f>
        <v>3</v>
      </c>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6"/>
      <c r="BK5" s="76"/>
      <c r="BL5" s="76"/>
      <c r="BM5" s="76"/>
      <c r="BN5" s="76"/>
      <c r="BO5" s="76"/>
      <c r="BP5" s="76"/>
      <c r="BQ5" s="76"/>
      <c r="BR5" s="76"/>
      <c r="BS5" s="76"/>
      <c r="BT5" s="76"/>
      <c r="BU5" s="76"/>
      <c r="BV5" s="76"/>
      <c r="BW5" s="76"/>
      <c r="BX5" s="76"/>
      <c r="BY5" s="76"/>
      <c r="BZ5" s="76"/>
      <c r="CA5" s="76"/>
      <c r="CB5" s="76"/>
      <c r="CC5" s="76"/>
      <c r="CD5" s="76"/>
      <c r="CE5" s="76"/>
      <c r="CF5" s="76"/>
      <c r="CG5" s="76"/>
      <c r="CH5" s="76"/>
      <c r="CI5" s="76"/>
      <c r="CJ5" s="76"/>
      <c r="CK5" s="76"/>
      <c r="CL5" s="76"/>
      <c r="CM5" s="76"/>
      <c r="CN5" s="76"/>
      <c r="CO5" s="76"/>
      <c r="CP5" s="76"/>
      <c r="CQ5" s="76"/>
      <c r="CR5" s="76"/>
      <c r="CS5" s="76"/>
      <c r="CT5" s="76"/>
      <c r="CU5" s="76"/>
      <c r="CV5" s="76"/>
      <c r="CW5" s="76"/>
      <c r="CX5" s="76"/>
      <c r="CY5" s="76"/>
      <c r="CZ5" s="76"/>
    </row>
    <row r="6" spans="1:104" s="78" customFormat="1">
      <c r="A6" s="103"/>
      <c r="B6" s="104" t="s">
        <v>134</v>
      </c>
      <c r="C6" s="98"/>
      <c r="D6" s="98"/>
      <c r="E6" s="98"/>
      <c r="F6" s="98">
        <f>22</f>
        <v>22</v>
      </c>
      <c r="G6" s="98">
        <f>22</f>
        <v>22</v>
      </c>
      <c r="H6" s="98">
        <f>19</f>
        <v>19</v>
      </c>
      <c r="I6" s="98"/>
      <c r="J6" s="98"/>
      <c r="K6" s="98"/>
      <c r="L6" s="98"/>
      <c r="M6" s="98"/>
      <c r="N6" s="98"/>
      <c r="O6" s="98"/>
      <c r="P6" s="98"/>
      <c r="Q6" s="98">
        <v>22</v>
      </c>
      <c r="R6" s="98">
        <v>7</v>
      </c>
      <c r="S6" s="98"/>
      <c r="T6" s="98"/>
      <c r="U6" s="98"/>
      <c r="V6" s="98"/>
      <c r="W6" s="98">
        <f>24</f>
        <v>24</v>
      </c>
      <c r="X6" s="158">
        <f t="shared" ca="1" si="3"/>
        <v>116.0230697155452</v>
      </c>
      <c r="Y6" s="99"/>
      <c r="Z6" s="161">
        <f t="shared" ca="1" si="0"/>
        <v>116.0230697155452</v>
      </c>
      <c r="AA6" s="106">
        <f ca="1">COUNTIF(Teams!$4:$20,B6)</f>
        <v>4</v>
      </c>
      <c r="AB6" s="106">
        <f t="shared" ca="1" si="1"/>
        <v>20</v>
      </c>
      <c r="AC6" s="184">
        <v>5</v>
      </c>
      <c r="AD6" s="185" t="str">
        <f t="shared" ca="1" si="4"/>
        <v>van Garderen</v>
      </c>
      <c r="AE6" s="232">
        <f t="shared" ca="1" si="2"/>
        <v>226.18908810956881</v>
      </c>
      <c r="AF6" s="75">
        <f ca="1">COUNTIF(Teams!$4:$20,AD6)</f>
        <v>11</v>
      </c>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6"/>
      <c r="BK6" s="76"/>
      <c r="BL6" s="76"/>
      <c r="BM6" s="76"/>
      <c r="BN6" s="76"/>
      <c r="BO6" s="76"/>
      <c r="BP6" s="76"/>
      <c r="BQ6" s="76"/>
      <c r="BR6" s="76"/>
      <c r="BS6" s="76"/>
      <c r="BT6" s="76"/>
      <c r="BU6" s="76"/>
      <c r="BV6" s="76"/>
      <c r="BW6" s="76"/>
      <c r="BX6" s="76"/>
      <c r="BY6" s="76"/>
      <c r="BZ6" s="76"/>
      <c r="CA6" s="76"/>
      <c r="CB6" s="76"/>
      <c r="CC6" s="76"/>
      <c r="CD6" s="76"/>
      <c r="CE6" s="76"/>
      <c r="CF6" s="76"/>
      <c r="CG6" s="76"/>
      <c r="CH6" s="76"/>
      <c r="CI6" s="76"/>
      <c r="CJ6" s="76"/>
      <c r="CK6" s="76"/>
      <c r="CL6" s="76"/>
      <c r="CM6" s="76"/>
      <c r="CN6" s="76"/>
      <c r="CO6" s="76"/>
      <c r="CP6" s="76"/>
      <c r="CQ6" s="76"/>
      <c r="CR6" s="76"/>
      <c r="CS6" s="76"/>
      <c r="CT6" s="76"/>
      <c r="CU6" s="76"/>
      <c r="CV6" s="76"/>
      <c r="CW6" s="76"/>
      <c r="CX6" s="76"/>
      <c r="CY6" s="76"/>
      <c r="CZ6" s="76"/>
    </row>
    <row r="7" spans="1:104" s="78" customFormat="1">
      <c r="A7" s="107"/>
      <c r="B7" s="108" t="s">
        <v>145</v>
      </c>
      <c r="C7" s="109"/>
      <c r="D7" s="109"/>
      <c r="E7" s="109"/>
      <c r="F7" s="109">
        <f>20</f>
        <v>20</v>
      </c>
      <c r="G7" s="109"/>
      <c r="H7" s="109"/>
      <c r="I7" s="109"/>
      <c r="J7" s="109"/>
      <c r="K7" s="109"/>
      <c r="L7" s="109"/>
      <c r="M7" s="109"/>
      <c r="N7" s="109"/>
      <c r="O7" s="109"/>
      <c r="P7" s="109"/>
      <c r="Q7" s="109"/>
      <c r="R7" s="109"/>
      <c r="S7" s="109"/>
      <c r="T7" s="109"/>
      <c r="U7" s="109"/>
      <c r="V7" s="109"/>
      <c r="W7" s="109"/>
      <c r="X7" s="159">
        <f t="shared" ca="1" si="3"/>
        <v>20.056860563974624</v>
      </c>
      <c r="Y7" s="110"/>
      <c r="Z7" s="162">
        <f t="shared" ca="1" si="0"/>
        <v>20.056860563974624</v>
      </c>
      <c r="AA7" s="106">
        <f ca="1">COUNTIF(Teams!$4:$20,B7)</f>
        <v>2</v>
      </c>
      <c r="AB7" s="106">
        <f t="shared" ca="1" si="1"/>
        <v>42</v>
      </c>
      <c r="AC7" s="184">
        <v>6</v>
      </c>
      <c r="AD7" s="185" t="str">
        <f t="shared" ca="1" si="4"/>
        <v>Degenkolb</v>
      </c>
      <c r="AE7" s="232">
        <f t="shared" ca="1" si="2"/>
        <v>223.00714110252321</v>
      </c>
      <c r="AF7" s="75">
        <f ca="1">COUNTIF(Teams!$4:$20,AD7)</f>
        <v>9</v>
      </c>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6"/>
      <c r="BK7" s="76"/>
      <c r="BL7" s="76"/>
      <c r="BM7" s="76"/>
      <c r="BN7" s="76"/>
      <c r="BO7" s="76"/>
      <c r="BP7" s="76"/>
      <c r="BQ7" s="76"/>
      <c r="BR7" s="76"/>
      <c r="BS7" s="76"/>
      <c r="BT7" s="76"/>
      <c r="BU7" s="76"/>
      <c r="BV7" s="76"/>
      <c r="BW7" s="76"/>
      <c r="BX7" s="76"/>
      <c r="BY7" s="76"/>
      <c r="BZ7" s="76"/>
      <c r="CA7" s="76"/>
      <c r="CB7" s="76"/>
      <c r="CC7" s="76"/>
      <c r="CD7" s="76"/>
      <c r="CE7" s="76"/>
      <c r="CF7" s="76"/>
      <c r="CG7" s="76"/>
      <c r="CH7" s="76"/>
      <c r="CI7" s="76"/>
      <c r="CJ7" s="76"/>
      <c r="CK7" s="76"/>
      <c r="CL7" s="76"/>
      <c r="CM7" s="76"/>
      <c r="CN7" s="76"/>
      <c r="CO7" s="76"/>
      <c r="CP7" s="76"/>
      <c r="CQ7" s="76"/>
      <c r="CR7" s="76"/>
      <c r="CS7" s="76"/>
      <c r="CT7" s="76"/>
      <c r="CU7" s="76"/>
      <c r="CV7" s="76"/>
      <c r="CW7" s="76"/>
      <c r="CX7" s="76"/>
      <c r="CY7" s="76"/>
      <c r="CZ7" s="76"/>
    </row>
    <row r="8" spans="1:104" s="78" customFormat="1">
      <c r="A8" s="103"/>
      <c r="B8" s="104" t="s">
        <v>149</v>
      </c>
      <c r="C8" s="98"/>
      <c r="D8" s="98"/>
      <c r="E8" s="98"/>
      <c r="F8" s="98"/>
      <c r="G8" s="98"/>
      <c r="H8" s="98"/>
      <c r="I8" s="98"/>
      <c r="J8" s="98"/>
      <c r="K8" s="98"/>
      <c r="L8" s="98"/>
      <c r="M8" s="98">
        <f>26</f>
        <v>26</v>
      </c>
      <c r="N8" s="98"/>
      <c r="O8" s="98"/>
      <c r="P8" s="98"/>
      <c r="Q8" s="98"/>
      <c r="R8" s="98"/>
      <c r="S8" s="98"/>
      <c r="T8" s="98"/>
      <c r="U8" s="98"/>
      <c r="V8" s="98"/>
      <c r="W8" s="98"/>
      <c r="X8" s="158">
        <f t="shared" ca="1" si="3"/>
        <v>26.062222845787456</v>
      </c>
      <c r="Y8" s="99"/>
      <c r="Z8" s="161">
        <f t="shared" ca="1" si="0"/>
        <v>26.062222845787456</v>
      </c>
      <c r="AA8" s="106">
        <f ca="1">COUNTIF(Teams!$4:$20,B8)</f>
        <v>1</v>
      </c>
      <c r="AB8" s="106">
        <f t="shared" ca="1" si="1"/>
        <v>39</v>
      </c>
      <c r="AC8" s="184">
        <v>7</v>
      </c>
      <c r="AD8" s="185" t="str">
        <f t="shared" ca="1" si="4"/>
        <v>van Avermaet</v>
      </c>
      <c r="AE8" s="232">
        <f t="shared" ca="1" si="2"/>
        <v>193.05122585079224</v>
      </c>
      <c r="AF8" s="75">
        <f ca="1">COUNTIF(Teams!$4:$20,AD8)</f>
        <v>1</v>
      </c>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6"/>
      <c r="BK8" s="76"/>
      <c r="BL8" s="76"/>
      <c r="BM8" s="76"/>
      <c r="BN8" s="76"/>
      <c r="BO8" s="76"/>
      <c r="BP8" s="76"/>
      <c r="BQ8" s="76"/>
      <c r="BR8" s="76"/>
      <c r="BS8" s="76"/>
      <c r="BT8" s="76"/>
      <c r="BU8" s="76"/>
      <c r="BV8" s="76"/>
      <c r="BW8" s="76"/>
      <c r="BX8" s="76"/>
      <c r="BY8" s="76"/>
      <c r="BZ8" s="76"/>
      <c r="CA8" s="76"/>
      <c r="CB8" s="76"/>
      <c r="CC8" s="76"/>
      <c r="CD8" s="76"/>
      <c r="CE8" s="76"/>
      <c r="CF8" s="76"/>
      <c r="CG8" s="76"/>
      <c r="CH8" s="76"/>
      <c r="CI8" s="76"/>
      <c r="CJ8" s="76"/>
      <c r="CK8" s="76"/>
      <c r="CL8" s="76"/>
      <c r="CM8" s="76"/>
      <c r="CN8" s="76"/>
      <c r="CO8" s="76"/>
      <c r="CP8" s="76"/>
      <c r="CQ8" s="76"/>
      <c r="CR8" s="76"/>
      <c r="CS8" s="76"/>
      <c r="CT8" s="76"/>
      <c r="CU8" s="76"/>
      <c r="CV8" s="76"/>
      <c r="CW8" s="76"/>
      <c r="CX8" s="76"/>
      <c r="CY8" s="76"/>
      <c r="CZ8" s="76"/>
    </row>
    <row r="9" spans="1:104" s="78" customFormat="1">
      <c r="A9" s="107"/>
      <c r="B9" s="108" t="s">
        <v>115</v>
      </c>
      <c r="C9" s="109">
        <f>26+8+3</f>
        <v>37</v>
      </c>
      <c r="D9" s="109">
        <f>26+10+3</f>
        <v>39</v>
      </c>
      <c r="E9" s="109">
        <v>1</v>
      </c>
      <c r="F9" s="109"/>
      <c r="G9" s="109"/>
      <c r="H9" s="109"/>
      <c r="I9" s="109"/>
      <c r="J9" s="109"/>
      <c r="K9" s="109"/>
      <c r="L9" s="109"/>
      <c r="M9" s="109"/>
      <c r="N9" s="109"/>
      <c r="O9" s="109"/>
      <c r="P9" s="109"/>
      <c r="Q9" s="109"/>
      <c r="R9" s="109"/>
      <c r="S9" s="109"/>
      <c r="T9" s="109"/>
      <c r="U9" s="109"/>
      <c r="V9" s="109"/>
      <c r="W9" s="109"/>
      <c r="X9" s="159">
        <f t="shared" ca="1" si="3"/>
        <v>77.028092940482708</v>
      </c>
      <c r="Y9" s="110"/>
      <c r="Z9" s="162">
        <f t="shared" ca="1" si="0"/>
        <v>77.028092940482708</v>
      </c>
      <c r="AA9" s="106">
        <f ca="1">COUNTIF(Teams!$4:$20,B9)</f>
        <v>2</v>
      </c>
      <c r="AB9" s="106">
        <f t="shared" ca="1" si="1"/>
        <v>26</v>
      </c>
      <c r="AC9" s="184">
        <v>8</v>
      </c>
      <c r="AD9" s="185" t="str">
        <f t="shared" ca="1" si="4"/>
        <v>Bardet</v>
      </c>
      <c r="AE9" s="232">
        <f t="shared" ca="1" si="2"/>
        <v>191.09857885058679</v>
      </c>
      <c r="AF9" s="75">
        <f ca="1">COUNTIF(Teams!$4:$20,AD9)</f>
        <v>9</v>
      </c>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6"/>
      <c r="BK9" s="76"/>
      <c r="BL9" s="76"/>
      <c r="BM9" s="76"/>
      <c r="BN9" s="76"/>
      <c r="BO9" s="76"/>
      <c r="BP9" s="76"/>
      <c r="BQ9" s="76"/>
      <c r="BR9" s="76"/>
      <c r="BS9" s="76"/>
      <c r="BT9" s="76"/>
      <c r="BU9" s="76"/>
      <c r="BV9" s="76"/>
      <c r="BW9" s="76"/>
      <c r="BX9" s="76"/>
      <c r="BY9" s="76"/>
      <c r="BZ9" s="76"/>
      <c r="CA9" s="76"/>
      <c r="CB9" s="76"/>
      <c r="CC9" s="76"/>
      <c r="CD9" s="76"/>
      <c r="CE9" s="76"/>
      <c r="CF9" s="76"/>
      <c r="CG9" s="76"/>
      <c r="CH9" s="76"/>
      <c r="CI9" s="76"/>
      <c r="CJ9" s="76"/>
      <c r="CK9" s="76"/>
      <c r="CL9" s="76"/>
      <c r="CM9" s="76"/>
      <c r="CN9" s="76"/>
      <c r="CO9" s="76"/>
      <c r="CP9" s="76"/>
      <c r="CQ9" s="76"/>
      <c r="CR9" s="76"/>
      <c r="CS9" s="76"/>
      <c r="CT9" s="76"/>
      <c r="CU9" s="76"/>
      <c r="CV9" s="76"/>
      <c r="CW9" s="76"/>
      <c r="CX9" s="76"/>
      <c r="CY9" s="76"/>
      <c r="CZ9" s="76"/>
    </row>
    <row r="10" spans="1:104" s="78" customFormat="1">
      <c r="A10" s="103"/>
      <c r="B10" s="104" t="s">
        <v>45</v>
      </c>
      <c r="C10" s="98"/>
      <c r="D10" s="98">
        <f>24+2</f>
        <v>26</v>
      </c>
      <c r="E10" s="98">
        <v>2</v>
      </c>
      <c r="F10" s="98">
        <f>14+1</f>
        <v>15</v>
      </c>
      <c r="G10" s="98">
        <f>26+2</f>
        <v>28</v>
      </c>
      <c r="H10" s="98">
        <v>2</v>
      </c>
      <c r="I10" s="98">
        <f>35+3</f>
        <v>38</v>
      </c>
      <c r="J10" s="98">
        <v>3</v>
      </c>
      <c r="K10" s="98"/>
      <c r="L10" s="98">
        <v>3</v>
      </c>
      <c r="M10" s="98">
        <v>2</v>
      </c>
      <c r="N10" s="98">
        <v>2</v>
      </c>
      <c r="O10" s="98">
        <v>2</v>
      </c>
      <c r="P10" s="98">
        <f>2</f>
        <v>2</v>
      </c>
      <c r="Q10" s="98">
        <f>2</f>
        <v>2</v>
      </c>
      <c r="R10" s="98">
        <f>2</f>
        <v>2</v>
      </c>
      <c r="S10" s="98">
        <v>2</v>
      </c>
      <c r="T10" s="98">
        <v>2</v>
      </c>
      <c r="U10" s="98">
        <v>2</v>
      </c>
      <c r="V10" s="98">
        <v>2</v>
      </c>
      <c r="W10" s="98">
        <f>20+2</f>
        <v>22</v>
      </c>
      <c r="X10" s="158">
        <f t="shared" ca="1" si="3"/>
        <v>159.09430241757497</v>
      </c>
      <c r="Y10" s="99">
        <v>3</v>
      </c>
      <c r="Z10" s="161">
        <f t="shared" ca="1" si="0"/>
        <v>162.09430241757497</v>
      </c>
      <c r="AA10" s="106">
        <f ca="1">COUNTIF(Teams!$4:$20,B10)</f>
        <v>8</v>
      </c>
      <c r="AB10" s="106">
        <f t="shared" ca="1" si="1"/>
        <v>12</v>
      </c>
      <c r="AC10" s="184">
        <v>9</v>
      </c>
      <c r="AD10" s="185" t="str">
        <f t="shared" ca="1" si="4"/>
        <v>Gallopin</v>
      </c>
      <c r="AE10" s="232">
        <f t="shared" ca="1" si="2"/>
        <v>183.03917019247459</v>
      </c>
      <c r="AF10" s="75">
        <f ca="1">COUNTIF(Teams!$4:$20,AD10)</f>
        <v>1</v>
      </c>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6"/>
      <c r="CN10" s="76"/>
      <c r="CO10" s="76"/>
      <c r="CP10" s="76"/>
      <c r="CQ10" s="76"/>
      <c r="CR10" s="76"/>
      <c r="CS10" s="76"/>
      <c r="CT10" s="76"/>
      <c r="CU10" s="76"/>
      <c r="CV10" s="76"/>
      <c r="CW10" s="76"/>
      <c r="CX10" s="76"/>
      <c r="CY10" s="76"/>
      <c r="CZ10" s="76"/>
    </row>
    <row r="11" spans="1:104" s="78" customFormat="1">
      <c r="A11" s="107"/>
      <c r="B11" s="108" t="s">
        <v>154</v>
      </c>
      <c r="C11" s="109"/>
      <c r="D11" s="109"/>
      <c r="E11" s="109"/>
      <c r="F11" s="109"/>
      <c r="G11" s="109">
        <f>17</f>
        <v>17</v>
      </c>
      <c r="H11" s="109">
        <v>18</v>
      </c>
      <c r="I11" s="109">
        <v>17</v>
      </c>
      <c r="J11" s="109"/>
      <c r="K11" s="109"/>
      <c r="L11" s="109"/>
      <c r="M11" s="109"/>
      <c r="N11" s="109"/>
      <c r="O11" s="109"/>
      <c r="P11" s="109"/>
      <c r="Q11" s="109">
        <v>17</v>
      </c>
      <c r="R11" s="109"/>
      <c r="S11" s="109"/>
      <c r="T11" s="109"/>
      <c r="U11" s="109"/>
      <c r="V11" s="109"/>
      <c r="W11" s="109">
        <v>7</v>
      </c>
      <c r="X11" s="159">
        <f t="shared" ca="1" si="3"/>
        <v>76.060731459019337</v>
      </c>
      <c r="Y11" s="110"/>
      <c r="Z11" s="162">
        <f t="shared" ca="1" si="0"/>
        <v>76.060731459019337</v>
      </c>
      <c r="AA11" s="106">
        <f ca="1">COUNTIF(Teams!$4:$20,B11)</f>
        <v>1</v>
      </c>
      <c r="AB11" s="106">
        <f t="shared" ca="1" si="1"/>
        <v>27</v>
      </c>
      <c r="AC11" s="184">
        <v>10</v>
      </c>
      <c r="AD11" s="185" t="str">
        <f t="shared" ca="1" si="4"/>
        <v>Mollema</v>
      </c>
      <c r="AE11" s="232">
        <f t="shared" ca="1" si="2"/>
        <v>182.09364151412717</v>
      </c>
      <c r="AF11" s="75">
        <f ca="1">COUNTIF(Teams!$4:$20,AD11)</f>
        <v>5</v>
      </c>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6"/>
      <c r="BK11" s="76"/>
      <c r="BL11" s="76"/>
      <c r="BM11" s="76"/>
      <c r="BN11" s="76"/>
      <c r="BO11" s="76"/>
      <c r="BP11" s="76"/>
      <c r="BQ11" s="76"/>
      <c r="BR11" s="76"/>
      <c r="BS11" s="76"/>
      <c r="BT11" s="76"/>
      <c r="BU11" s="76"/>
      <c r="BV11" s="76"/>
      <c r="BW11" s="76"/>
      <c r="BX11" s="76"/>
      <c r="BY11" s="76"/>
      <c r="BZ11" s="76"/>
      <c r="CA11" s="76"/>
      <c r="CB11" s="76"/>
      <c r="CC11" s="76"/>
      <c r="CD11" s="76"/>
      <c r="CE11" s="76"/>
      <c r="CF11" s="76"/>
      <c r="CG11" s="76"/>
      <c r="CH11" s="76"/>
      <c r="CI11" s="76"/>
      <c r="CJ11" s="76"/>
      <c r="CK11" s="76"/>
      <c r="CL11" s="76"/>
      <c r="CM11" s="76"/>
      <c r="CN11" s="76"/>
      <c r="CO11" s="76"/>
      <c r="CP11" s="76"/>
      <c r="CQ11" s="76"/>
      <c r="CR11" s="76"/>
      <c r="CS11" s="76"/>
      <c r="CT11" s="76"/>
      <c r="CU11" s="76"/>
      <c r="CV11" s="76"/>
      <c r="CW11" s="76"/>
      <c r="CX11" s="76"/>
      <c r="CY11" s="76"/>
      <c r="CZ11" s="76"/>
    </row>
    <row r="12" spans="1:104" s="78" customFormat="1">
      <c r="A12" s="103"/>
      <c r="B12" s="104" t="s">
        <v>112</v>
      </c>
      <c r="C12" s="98"/>
      <c r="D12" s="98"/>
      <c r="E12" s="98"/>
      <c r="F12" s="98">
        <v>16</v>
      </c>
      <c r="G12" s="98">
        <f>18</f>
        <v>18</v>
      </c>
      <c r="H12" s="98">
        <f>26+1</f>
        <v>27</v>
      </c>
      <c r="I12" s="98">
        <f>14+1</f>
        <v>15</v>
      </c>
      <c r="J12" s="98">
        <v>1</v>
      </c>
      <c r="K12" s="98"/>
      <c r="L12" s="98">
        <v>1</v>
      </c>
      <c r="M12" s="98">
        <v>1</v>
      </c>
      <c r="N12" s="98">
        <v>1</v>
      </c>
      <c r="O12" s="98">
        <v>1</v>
      </c>
      <c r="P12" s="98">
        <f>1</f>
        <v>1</v>
      </c>
      <c r="Q12" s="98">
        <f>1+11</f>
        <v>12</v>
      </c>
      <c r="R12" s="98">
        <f>1</f>
        <v>1</v>
      </c>
      <c r="S12" s="98">
        <v>1</v>
      </c>
      <c r="T12" s="98">
        <v>1</v>
      </c>
      <c r="U12" s="98"/>
      <c r="V12" s="98"/>
      <c r="W12" s="98">
        <f>30+1</f>
        <v>31</v>
      </c>
      <c r="X12" s="158">
        <f t="shared" ca="1" si="3"/>
        <v>128.05315453887638</v>
      </c>
      <c r="Y12" s="99">
        <v>1</v>
      </c>
      <c r="Z12" s="161">
        <f t="shared" ca="1" si="0"/>
        <v>129.05315453887638</v>
      </c>
      <c r="AA12" s="106">
        <f ca="1">COUNTIF(Teams!$4:$20,B12)</f>
        <v>2</v>
      </c>
      <c r="AB12" s="106">
        <f t="shared" ca="1" si="1"/>
        <v>17</v>
      </c>
      <c r="AC12" s="184">
        <v>11</v>
      </c>
      <c r="AD12" s="185" t="str">
        <f t="shared" ca="1" si="4"/>
        <v>Rodriguez</v>
      </c>
      <c r="AE12" s="232">
        <f t="shared" ca="1" si="2"/>
        <v>179.01066917445166</v>
      </c>
      <c r="AF12" s="75">
        <f ca="1">COUNTIF(Teams!$4:$20,AD12)</f>
        <v>8</v>
      </c>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6"/>
      <c r="CN12" s="76"/>
      <c r="CO12" s="76"/>
      <c r="CP12" s="76"/>
      <c r="CQ12" s="76"/>
      <c r="CR12" s="76"/>
      <c r="CS12" s="76"/>
      <c r="CT12" s="76"/>
      <c r="CU12" s="76"/>
      <c r="CV12" s="76"/>
      <c r="CW12" s="76"/>
      <c r="CX12" s="76"/>
      <c r="CY12" s="76"/>
      <c r="CZ12" s="76"/>
    </row>
    <row r="13" spans="1:104" s="78" customFormat="1">
      <c r="A13" s="107"/>
      <c r="B13" s="108" t="s">
        <v>93</v>
      </c>
      <c r="C13" s="109"/>
      <c r="D13" s="109"/>
      <c r="E13" s="109"/>
      <c r="F13" s="109"/>
      <c r="G13" s="109"/>
      <c r="H13" s="109"/>
      <c r="I13" s="109"/>
      <c r="J13" s="109"/>
      <c r="K13" s="109"/>
      <c r="L13" s="109"/>
      <c r="M13" s="109"/>
      <c r="N13" s="109"/>
      <c r="O13" s="109"/>
      <c r="P13" s="109"/>
      <c r="Q13" s="109"/>
      <c r="R13" s="109"/>
      <c r="S13" s="109"/>
      <c r="T13" s="109"/>
      <c r="U13" s="109"/>
      <c r="V13" s="109"/>
      <c r="W13" s="109"/>
      <c r="X13" s="159">
        <f t="shared" ca="1" si="3"/>
        <v>8.0369351678980475E-2</v>
      </c>
      <c r="Y13" s="110"/>
      <c r="Z13" s="162">
        <f t="shared" ca="1" si="0"/>
        <v>8.0369351678980475E-2</v>
      </c>
      <c r="AA13" s="106">
        <f ca="1">COUNTIF(Teams!$4:$20,B13)</f>
        <v>6</v>
      </c>
      <c r="AB13" s="106">
        <f t="shared" ca="1" si="1"/>
        <v>46</v>
      </c>
      <c r="AC13" s="184">
        <v>12</v>
      </c>
      <c r="AD13" s="185" t="str">
        <f t="shared" ca="1" si="4"/>
        <v>Cavendish</v>
      </c>
      <c r="AE13" s="232">
        <f t="shared" ca="1" si="2"/>
        <v>162.09430241757497</v>
      </c>
      <c r="AF13" s="75">
        <f ca="1">COUNTIF(Teams!$4:$20,AD13)</f>
        <v>8</v>
      </c>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6"/>
      <c r="BK13" s="76"/>
      <c r="BL13" s="76"/>
      <c r="BM13" s="76"/>
      <c r="BN13" s="76"/>
      <c r="BO13" s="76"/>
      <c r="BP13" s="76"/>
      <c r="BQ13" s="76"/>
      <c r="BR13" s="76"/>
      <c r="BS13" s="76"/>
      <c r="BT13" s="76"/>
      <c r="BU13" s="76"/>
      <c r="BV13" s="76"/>
      <c r="BW13" s="76"/>
      <c r="BX13" s="76"/>
      <c r="BY13" s="76"/>
      <c r="BZ13" s="76"/>
      <c r="CA13" s="76"/>
      <c r="CB13" s="76"/>
      <c r="CC13" s="76"/>
      <c r="CD13" s="76"/>
      <c r="CE13" s="76"/>
      <c r="CF13" s="76"/>
      <c r="CG13" s="76"/>
      <c r="CH13" s="76"/>
      <c r="CI13" s="76"/>
      <c r="CJ13" s="76"/>
      <c r="CK13" s="76"/>
      <c r="CL13" s="76"/>
      <c r="CM13" s="76"/>
      <c r="CN13" s="76"/>
      <c r="CO13" s="76"/>
      <c r="CP13" s="76"/>
      <c r="CQ13" s="76"/>
      <c r="CR13" s="76"/>
      <c r="CS13" s="76"/>
      <c r="CT13" s="76"/>
      <c r="CU13" s="76"/>
      <c r="CV13" s="76"/>
      <c r="CW13" s="76"/>
      <c r="CX13" s="76"/>
      <c r="CY13" s="76"/>
      <c r="CZ13" s="76"/>
    </row>
    <row r="14" spans="1:104" s="78" customFormat="1">
      <c r="A14" s="103"/>
      <c r="B14" s="104" t="s">
        <v>96</v>
      </c>
      <c r="C14" s="98"/>
      <c r="D14" s="98"/>
      <c r="E14" s="98"/>
      <c r="F14" s="98">
        <f>30+3</f>
        <v>33</v>
      </c>
      <c r="G14" s="98">
        <f>20+3</f>
        <v>23</v>
      </c>
      <c r="H14" s="98">
        <f>24+3</f>
        <v>27</v>
      </c>
      <c r="I14" s="98">
        <f>24+2</f>
        <v>26</v>
      </c>
      <c r="J14" s="98">
        <v>2</v>
      </c>
      <c r="K14" s="98"/>
      <c r="L14" s="98">
        <v>2</v>
      </c>
      <c r="M14" s="98">
        <v>3</v>
      </c>
      <c r="N14" s="98">
        <v>3</v>
      </c>
      <c r="O14" s="98">
        <f>24+3</f>
        <v>27</v>
      </c>
      <c r="P14" s="98">
        <f>3</f>
        <v>3</v>
      </c>
      <c r="Q14" s="98">
        <f>3+30</f>
        <v>33</v>
      </c>
      <c r="R14" s="98">
        <f>3</f>
        <v>3</v>
      </c>
      <c r="S14" s="98">
        <v>3</v>
      </c>
      <c r="T14" s="98">
        <v>3</v>
      </c>
      <c r="U14" s="98">
        <v>3</v>
      </c>
      <c r="V14" s="98">
        <v>3</v>
      </c>
      <c r="W14" s="98">
        <f>18+3</f>
        <v>21</v>
      </c>
      <c r="X14" s="158">
        <f t="shared" ca="1" si="3"/>
        <v>218.00714110252321</v>
      </c>
      <c r="Y14" s="99">
        <v>5</v>
      </c>
      <c r="Z14" s="161">
        <f t="shared" ca="1" si="0"/>
        <v>223.00714110252321</v>
      </c>
      <c r="AA14" s="106">
        <f ca="1">COUNTIF(Teams!$4:$20,B14)</f>
        <v>9</v>
      </c>
      <c r="AB14" s="106">
        <f t="shared" ca="1" si="1"/>
        <v>6</v>
      </c>
      <c r="AC14" s="184">
        <v>13</v>
      </c>
      <c r="AD14" s="185" t="str">
        <f t="shared" ca="1" si="4"/>
        <v>Pinot</v>
      </c>
      <c r="AE14" s="232">
        <f t="shared" ca="1" si="2"/>
        <v>162.00067678008929</v>
      </c>
      <c r="AF14" s="75">
        <f ca="1">COUNTIF(Teams!$4:$20,AD14)</f>
        <v>10</v>
      </c>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6"/>
      <c r="BK14" s="76"/>
      <c r="BL14" s="76"/>
      <c r="BM14" s="76"/>
      <c r="BN14" s="76"/>
      <c r="BO14" s="76"/>
      <c r="BP14" s="76"/>
      <c r="BQ14" s="76"/>
      <c r="BR14" s="76"/>
      <c r="BS14" s="76"/>
      <c r="BT14" s="76"/>
      <c r="BU14" s="76"/>
      <c r="BV14" s="76"/>
      <c r="BW14" s="76"/>
      <c r="BX14" s="76"/>
      <c r="BY14" s="76"/>
      <c r="BZ14" s="76"/>
      <c r="CA14" s="76"/>
      <c r="CB14" s="76"/>
      <c r="CC14" s="76"/>
      <c r="CD14" s="76"/>
      <c r="CE14" s="76"/>
      <c r="CF14" s="76"/>
      <c r="CG14" s="76"/>
      <c r="CH14" s="76"/>
      <c r="CI14" s="76"/>
      <c r="CJ14" s="76"/>
      <c r="CK14" s="76"/>
      <c r="CL14" s="76"/>
      <c r="CM14" s="76"/>
      <c r="CN14" s="76"/>
      <c r="CO14" s="76"/>
      <c r="CP14" s="76"/>
      <c r="CQ14" s="76"/>
      <c r="CR14" s="76"/>
      <c r="CS14" s="76"/>
      <c r="CT14" s="76"/>
      <c r="CU14" s="76"/>
      <c r="CV14" s="76"/>
      <c r="CW14" s="76"/>
      <c r="CX14" s="76"/>
      <c r="CY14" s="76"/>
      <c r="CZ14" s="76"/>
    </row>
    <row r="15" spans="1:104" s="78" customFormat="1">
      <c r="A15" s="107"/>
      <c r="B15" s="108" t="s">
        <v>155</v>
      </c>
      <c r="C15" s="109"/>
      <c r="D15" s="109"/>
      <c r="E15" s="109"/>
      <c r="F15" s="109"/>
      <c r="G15" s="109">
        <f>19</f>
        <v>19</v>
      </c>
      <c r="H15" s="109"/>
      <c r="I15" s="109">
        <v>20</v>
      </c>
      <c r="J15" s="109"/>
      <c r="K15" s="109"/>
      <c r="L15" s="109"/>
      <c r="M15" s="109"/>
      <c r="N15" s="109"/>
      <c r="O15" s="109"/>
      <c r="P15" s="109"/>
      <c r="Q15" s="109"/>
      <c r="R15" s="109"/>
      <c r="S15" s="109"/>
      <c r="T15" s="109"/>
      <c r="U15" s="109"/>
      <c r="V15" s="109"/>
      <c r="W15" s="109">
        <f>22</f>
        <v>22</v>
      </c>
      <c r="X15" s="159">
        <f t="shared" ca="1" si="3"/>
        <v>61.083544147459484</v>
      </c>
      <c r="Y15" s="110"/>
      <c r="Z15" s="162">
        <f t="shared" ca="1" si="0"/>
        <v>61.083544147459484</v>
      </c>
      <c r="AA15" s="106">
        <f ca="1">COUNTIF(Teams!$4:$20,B15)</f>
        <v>3</v>
      </c>
      <c r="AB15" s="106">
        <f t="shared" ca="1" si="1"/>
        <v>29</v>
      </c>
      <c r="AC15" s="184">
        <v>14</v>
      </c>
      <c r="AD15" s="185" t="str">
        <f t="shared" ca="1" si="4"/>
        <v>Rolland</v>
      </c>
      <c r="AE15" s="232">
        <f t="shared" ca="1" si="2"/>
        <v>158.02617611132291</v>
      </c>
      <c r="AF15" s="75">
        <f ca="1">COUNTIF(Teams!$4:$20,AD15)</f>
        <v>6</v>
      </c>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6"/>
      <c r="BK15" s="76"/>
      <c r="BL15" s="76"/>
      <c r="BM15" s="76"/>
      <c r="BN15" s="76"/>
      <c r="BO15" s="76"/>
      <c r="BP15" s="76"/>
      <c r="BQ15" s="76"/>
      <c r="BR15" s="76"/>
      <c r="BS15" s="76"/>
      <c r="BT15" s="76"/>
      <c r="BU15" s="76"/>
      <c r="BV15" s="76"/>
      <c r="BW15" s="76"/>
      <c r="BX15" s="76"/>
      <c r="BY15" s="76"/>
      <c r="BZ15" s="76"/>
      <c r="CA15" s="76"/>
      <c r="CB15" s="76"/>
      <c r="CC15" s="76"/>
      <c r="CD15" s="76"/>
      <c r="CE15" s="76"/>
      <c r="CF15" s="76"/>
      <c r="CG15" s="76"/>
      <c r="CH15" s="76"/>
      <c r="CI15" s="76"/>
      <c r="CJ15" s="76"/>
      <c r="CK15" s="76"/>
      <c r="CL15" s="76"/>
      <c r="CM15" s="76"/>
      <c r="CN15" s="76"/>
      <c r="CO15" s="76"/>
      <c r="CP15" s="76"/>
      <c r="CQ15" s="76"/>
      <c r="CR15" s="76"/>
      <c r="CS15" s="76"/>
      <c r="CT15" s="76"/>
      <c r="CU15" s="76"/>
      <c r="CV15" s="76"/>
      <c r="CW15" s="76"/>
      <c r="CX15" s="76"/>
      <c r="CY15" s="76"/>
      <c r="CZ15" s="76"/>
    </row>
    <row r="16" spans="1:104" s="78" customFormat="1">
      <c r="A16" s="103"/>
      <c r="B16" s="104" t="s">
        <v>114</v>
      </c>
      <c r="C16" s="98">
        <f>24+7+2</f>
        <v>33</v>
      </c>
      <c r="D16" s="98">
        <f>18+8</f>
        <v>26</v>
      </c>
      <c r="E16" s="98"/>
      <c r="F16" s="98"/>
      <c r="G16" s="98"/>
      <c r="H16" s="98"/>
      <c r="I16" s="98"/>
      <c r="J16" s="98"/>
      <c r="K16" s="98"/>
      <c r="L16" s="98"/>
      <c r="M16" s="98"/>
      <c r="N16" s="98"/>
      <c r="O16" s="98"/>
      <c r="P16" s="98"/>
      <c r="Q16" s="98"/>
      <c r="R16" s="98"/>
      <c r="S16" s="98"/>
      <c r="T16" s="98"/>
      <c r="U16" s="98"/>
      <c r="V16" s="98"/>
      <c r="W16" s="98"/>
      <c r="X16" s="158">
        <f t="shared" ca="1" si="3"/>
        <v>59.066929365810573</v>
      </c>
      <c r="Y16" s="99"/>
      <c r="Z16" s="161">
        <f t="shared" ca="1" si="0"/>
        <v>59.066929365810573</v>
      </c>
      <c r="AA16" s="106">
        <f ca="1">COUNTIF(Teams!$4:$20,B16)</f>
        <v>0</v>
      </c>
      <c r="AB16" s="106">
        <f ca="1">RANK(Z16,$Z$2:$Z$54)</f>
        <v>30</v>
      </c>
      <c r="AC16" s="184">
        <v>15</v>
      </c>
      <c r="AD16" s="185" t="str">
        <f t="shared" ca="1" si="4"/>
        <v>T.Martin</v>
      </c>
      <c r="AE16" s="232">
        <f t="shared" ca="1" si="2"/>
        <v>147.06732715684512</v>
      </c>
      <c r="AF16" s="75">
        <f ca="1">COUNTIF(Teams!$4:$20,AD16)</f>
        <v>3</v>
      </c>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6"/>
      <c r="BK16" s="76"/>
      <c r="BL16" s="76"/>
      <c r="BM16" s="76"/>
      <c r="BN16" s="76"/>
      <c r="BO16" s="76"/>
      <c r="BP16" s="76"/>
      <c r="BQ16" s="76"/>
      <c r="BR16" s="76"/>
      <c r="BS16" s="76"/>
      <c r="BT16" s="76"/>
      <c r="BU16" s="76"/>
      <c r="BV16" s="76"/>
      <c r="BW16" s="76"/>
      <c r="BX16" s="76"/>
      <c r="BY16" s="76"/>
      <c r="BZ16" s="76"/>
      <c r="CA16" s="76"/>
      <c r="CB16" s="76"/>
      <c r="CC16" s="76"/>
      <c r="CD16" s="76"/>
      <c r="CE16" s="76"/>
      <c r="CF16" s="76"/>
      <c r="CG16" s="76"/>
      <c r="CH16" s="76"/>
      <c r="CI16" s="76"/>
      <c r="CJ16" s="76"/>
      <c r="CK16" s="76"/>
      <c r="CL16" s="76"/>
      <c r="CM16" s="76"/>
      <c r="CN16" s="76"/>
      <c r="CO16" s="76"/>
      <c r="CP16" s="76"/>
      <c r="CQ16" s="76"/>
      <c r="CR16" s="76"/>
      <c r="CS16" s="76"/>
      <c r="CT16" s="76"/>
      <c r="CU16" s="76"/>
      <c r="CV16" s="76"/>
      <c r="CW16" s="76"/>
      <c r="CX16" s="76"/>
      <c r="CY16" s="76"/>
      <c r="CZ16" s="76"/>
    </row>
    <row r="17" spans="1:104" s="78" customFormat="1">
      <c r="A17" s="107"/>
      <c r="B17" s="108" t="s">
        <v>130</v>
      </c>
      <c r="C17" s="109"/>
      <c r="D17" s="109"/>
      <c r="E17" s="109"/>
      <c r="F17" s="109"/>
      <c r="G17" s="109"/>
      <c r="H17" s="109">
        <v>7</v>
      </c>
      <c r="I17" s="109"/>
      <c r="J17" s="109"/>
      <c r="K17" s="109"/>
      <c r="L17" s="109"/>
      <c r="M17" s="109">
        <f>8</f>
        <v>8</v>
      </c>
      <c r="N17" s="109"/>
      <c r="O17" s="109">
        <v>8</v>
      </c>
      <c r="P17" s="109"/>
      <c r="Q17" s="109"/>
      <c r="R17" s="109"/>
      <c r="S17" s="109">
        <f>22+3</f>
        <v>25</v>
      </c>
      <c r="T17" s="109">
        <f>10+3</f>
        <v>13</v>
      </c>
      <c r="U17" s="109">
        <f>12+4</f>
        <v>16</v>
      </c>
      <c r="V17" s="109">
        <v>3</v>
      </c>
      <c r="W17" s="109">
        <v>3</v>
      </c>
      <c r="X17" s="159">
        <f t="shared" ca="1" si="3"/>
        <v>83.046675452487932</v>
      </c>
      <c r="Y17" s="110">
        <v>36</v>
      </c>
      <c r="Z17" s="162">
        <f t="shared" ca="1" si="0"/>
        <v>119.04667545248793</v>
      </c>
      <c r="AA17" s="106">
        <f ca="1">COUNTIF(Teams!$4:$20,B17)</f>
        <v>2</v>
      </c>
      <c r="AB17" s="106">
        <f t="shared" ref="AB17:AB54" ca="1" si="5">RANK(Z17,$Z$2:$Z$54)</f>
        <v>18</v>
      </c>
      <c r="AC17" s="184">
        <v>16</v>
      </c>
      <c r="AD17" s="185" t="str">
        <f t="shared" ca="1" si="4"/>
        <v>Uran</v>
      </c>
      <c r="AE17" s="232">
        <f t="shared" ca="1" si="2"/>
        <v>141.00536290997948</v>
      </c>
      <c r="AF17" s="75">
        <f ca="1">COUNTIF(Teams!$4:$20,AD17)</f>
        <v>3</v>
      </c>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row>
    <row r="18" spans="1:104" s="105" customFormat="1">
      <c r="A18" s="103"/>
      <c r="B18" s="104" t="s">
        <v>92</v>
      </c>
      <c r="C18" s="98"/>
      <c r="D18" s="98"/>
      <c r="E18" s="98"/>
      <c r="F18" s="98"/>
      <c r="G18" s="98"/>
      <c r="H18" s="98"/>
      <c r="I18" s="98"/>
      <c r="J18" s="98"/>
      <c r="K18" s="98"/>
      <c r="L18" s="98">
        <f>13</f>
        <v>13</v>
      </c>
      <c r="M18" s="98"/>
      <c r="N18" s="98">
        <f>30+3</f>
        <v>33</v>
      </c>
      <c r="O18" s="98">
        <v>3</v>
      </c>
      <c r="P18" s="98">
        <v>3</v>
      </c>
      <c r="Q18" s="98">
        <v>3</v>
      </c>
      <c r="R18" s="98">
        <v>3</v>
      </c>
      <c r="S18" s="98">
        <v>3</v>
      </c>
      <c r="T18" s="98">
        <f>22+3</f>
        <v>25</v>
      </c>
      <c r="U18" s="98">
        <v>2</v>
      </c>
      <c r="V18" s="98"/>
      <c r="W18" s="98"/>
      <c r="X18" s="158">
        <f t="shared" ca="1" si="3"/>
        <v>88.019994407842191</v>
      </c>
      <c r="Y18" s="99"/>
      <c r="Z18" s="161">
        <f t="shared" ca="1" si="0"/>
        <v>88.019994407842191</v>
      </c>
      <c r="AA18" s="106">
        <f ca="1">COUNTIF(Teams!$4:$20,B18)</f>
        <v>3</v>
      </c>
      <c r="AB18" s="106">
        <f t="shared" ca="1" si="5"/>
        <v>24</v>
      </c>
      <c r="AC18" s="184">
        <v>17</v>
      </c>
      <c r="AD18" s="185" t="str">
        <f t="shared" ca="1" si="4"/>
        <v>Coquard</v>
      </c>
      <c r="AE18" s="233">
        <f t="shared" ca="1" si="2"/>
        <v>129.05315453887638</v>
      </c>
      <c r="AF18" s="75">
        <f ca="1">COUNTIF(Teams!$4:$20,AD18)</f>
        <v>2</v>
      </c>
      <c r="AG18" s="192">
        <f ca="1">SUM($AE$2:$AE$18)</f>
        <v>3571.8881400262862</v>
      </c>
    </row>
    <row r="19" spans="1:104" s="78" customFormat="1">
      <c r="A19" s="107"/>
      <c r="B19" s="108" t="s">
        <v>148</v>
      </c>
      <c r="C19" s="109"/>
      <c r="D19" s="109"/>
      <c r="E19" s="109">
        <f>22+7</f>
        <v>29</v>
      </c>
      <c r="F19" s="109">
        <f>18+7</f>
        <v>25</v>
      </c>
      <c r="G19" s="109">
        <v>6</v>
      </c>
      <c r="H19" s="109">
        <f>20+6</f>
        <v>26</v>
      </c>
      <c r="I19" s="109">
        <v>7</v>
      </c>
      <c r="J19" s="109">
        <f>22+7</f>
        <v>29</v>
      </c>
      <c r="K19" s="109"/>
      <c r="L19" s="109">
        <f>17+4</f>
        <v>21</v>
      </c>
      <c r="M19" s="109">
        <f>9+4</f>
        <v>13</v>
      </c>
      <c r="N19" s="109">
        <v>3</v>
      </c>
      <c r="O19" s="109">
        <f>15+3</f>
        <v>18</v>
      </c>
      <c r="P19" s="109">
        <f>2</f>
        <v>2</v>
      </c>
      <c r="Q19" s="109">
        <f>2</f>
        <v>2</v>
      </c>
      <c r="R19" s="109">
        <f>2</f>
        <v>2</v>
      </c>
      <c r="S19" s="109"/>
      <c r="T19" s="109"/>
      <c r="U19" s="109"/>
      <c r="V19" s="109"/>
      <c r="W19" s="109"/>
      <c r="X19" s="159">
        <f t="shared" ca="1" si="3"/>
        <v>183.03917019247459</v>
      </c>
      <c r="Y19" s="110"/>
      <c r="Z19" s="162">
        <f t="shared" ca="1" si="0"/>
        <v>183.03917019247459</v>
      </c>
      <c r="AA19" s="106">
        <f ca="1">COUNTIF(Teams!$4:$20,B19)</f>
        <v>1</v>
      </c>
      <c r="AB19" s="106">
        <f t="shared" ca="1" si="5"/>
        <v>9</v>
      </c>
      <c r="AC19" s="184">
        <v>18</v>
      </c>
      <c r="AD19" s="75" t="str">
        <f t="shared" ref="AD19:AD54" ca="1" si="6">INDEX($B$2:$B$54,MATCH(AC19,$AB$2:$AB$54,0))</f>
        <v>Frank</v>
      </c>
      <c r="AE19" s="191">
        <f t="shared" ca="1" si="2"/>
        <v>119.04667545248793</v>
      </c>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6"/>
      <c r="BK19" s="76"/>
      <c r="BL19" s="76"/>
      <c r="BM19" s="76"/>
      <c r="BN19" s="76"/>
      <c r="BO19" s="76"/>
      <c r="BP19" s="76"/>
      <c r="BQ19" s="76"/>
      <c r="BR19" s="76"/>
      <c r="BS19" s="76"/>
      <c r="BT19" s="76"/>
      <c r="BU19" s="76"/>
      <c r="BV19" s="76"/>
      <c r="BW19" s="76"/>
      <c r="BX19" s="76"/>
      <c r="BY19" s="76"/>
      <c r="BZ19" s="76"/>
      <c r="CA19" s="76"/>
      <c r="CB19" s="76"/>
      <c r="CC19" s="76"/>
      <c r="CD19" s="76"/>
      <c r="CE19" s="76"/>
      <c r="CF19" s="76"/>
      <c r="CG19" s="76"/>
      <c r="CH19" s="76"/>
      <c r="CI19" s="76"/>
      <c r="CJ19" s="76"/>
      <c r="CK19" s="76"/>
      <c r="CL19" s="76"/>
      <c r="CM19" s="76"/>
      <c r="CN19" s="76"/>
      <c r="CO19" s="76"/>
      <c r="CP19" s="76"/>
      <c r="CQ19" s="76"/>
      <c r="CR19" s="76"/>
      <c r="CS19" s="76"/>
      <c r="CT19" s="76"/>
      <c r="CU19" s="76"/>
      <c r="CV19" s="76"/>
      <c r="CW19" s="76"/>
      <c r="CX19" s="76"/>
      <c r="CY19" s="76"/>
      <c r="CZ19" s="76"/>
    </row>
    <row r="20" spans="1:104" s="79" customFormat="1">
      <c r="A20" s="103"/>
      <c r="B20" s="104" t="s">
        <v>121</v>
      </c>
      <c r="C20" s="98"/>
      <c r="D20" s="98"/>
      <c r="E20" s="98"/>
      <c r="F20" s="98"/>
      <c r="G20" s="98"/>
      <c r="H20" s="98"/>
      <c r="I20" s="98"/>
      <c r="J20" s="98"/>
      <c r="K20" s="98"/>
      <c r="L20" s="98"/>
      <c r="M20" s="98"/>
      <c r="N20" s="98"/>
      <c r="O20" s="98"/>
      <c r="P20" s="98"/>
      <c r="Q20" s="98"/>
      <c r="R20" s="98"/>
      <c r="S20" s="98"/>
      <c r="T20" s="98"/>
      <c r="U20" s="98"/>
      <c r="V20" s="98"/>
      <c r="W20" s="98"/>
      <c r="X20" s="158">
        <f t="shared" ca="1" si="3"/>
        <v>3.1635152600679659E-2</v>
      </c>
      <c r="Y20" s="99"/>
      <c r="Z20" s="161">
        <f t="shared" ca="1" si="0"/>
        <v>3.1635152600679659E-2</v>
      </c>
      <c r="AA20" s="106">
        <f ca="1">COUNTIF(Teams!$4:$20,B20)</f>
        <v>0</v>
      </c>
      <c r="AB20" s="106">
        <f t="shared" ca="1" si="5"/>
        <v>51</v>
      </c>
      <c r="AC20" s="184">
        <v>19</v>
      </c>
      <c r="AD20" s="75" t="str">
        <f t="shared" ca="1" si="6"/>
        <v>Barguil</v>
      </c>
      <c r="AE20" s="191">
        <f t="shared" ca="1" si="2"/>
        <v>118.02517733339533</v>
      </c>
    </row>
    <row r="21" spans="1:104" s="78" customFormat="1">
      <c r="A21" s="107"/>
      <c r="B21" s="108" t="s">
        <v>131</v>
      </c>
      <c r="C21" s="109">
        <f>15</f>
        <v>15</v>
      </c>
      <c r="D21" s="109"/>
      <c r="E21" s="109">
        <f>12</f>
        <v>12</v>
      </c>
      <c r="F21" s="109">
        <v>12</v>
      </c>
      <c r="G21" s="109"/>
      <c r="H21" s="109">
        <f>14</f>
        <v>14</v>
      </c>
      <c r="I21" s="109"/>
      <c r="J21" s="109">
        <f>7</f>
        <v>7</v>
      </c>
      <c r="K21" s="109"/>
      <c r="L21" s="109">
        <f>24+2+3</f>
        <v>29</v>
      </c>
      <c r="M21" s="109">
        <f>11+3+1</f>
        <v>15</v>
      </c>
      <c r="N21" s="109">
        <f>8+4</f>
        <v>12</v>
      </c>
      <c r="O21" s="109">
        <f>13+4</f>
        <v>17</v>
      </c>
      <c r="P21" s="109">
        <f>4</f>
        <v>4</v>
      </c>
      <c r="Q21" s="109">
        <f>4</f>
        <v>4</v>
      </c>
      <c r="R21" s="109">
        <f>4</f>
        <v>4</v>
      </c>
      <c r="S21" s="109">
        <v>5</v>
      </c>
      <c r="T21" s="109">
        <f>15+5</f>
        <v>20</v>
      </c>
      <c r="U21" s="109">
        <f>18+5</f>
        <v>23</v>
      </c>
      <c r="V21" s="109">
        <f>6+5</f>
        <v>11</v>
      </c>
      <c r="W21" s="109">
        <v>5</v>
      </c>
      <c r="X21" s="159">
        <f t="shared" ca="1" si="3"/>
        <v>209.01238302441232</v>
      </c>
      <c r="Y21" s="110">
        <v>40</v>
      </c>
      <c r="Z21" s="162">
        <f t="shared" ca="1" si="0"/>
        <v>249.01238302441232</v>
      </c>
      <c r="AA21" s="106">
        <f ca="1">COUNTIF(Teams!$4:$20,B21)</f>
        <v>3</v>
      </c>
      <c r="AB21" s="106">
        <f t="shared" ca="1" si="5"/>
        <v>4</v>
      </c>
      <c r="AC21" s="184">
        <v>20</v>
      </c>
      <c r="AD21" s="75" t="str">
        <f t="shared" ca="1" si="6"/>
        <v>Boasson Hagen</v>
      </c>
      <c r="AE21" s="191">
        <f t="shared" ca="1" si="2"/>
        <v>116.0230697155452</v>
      </c>
      <c r="AF21" s="75"/>
      <c r="AG21" s="75"/>
      <c r="AH21" s="75"/>
      <c r="AI21" s="75"/>
      <c r="AJ21" s="75"/>
      <c r="AK21" s="75"/>
      <c r="AL21" s="75"/>
      <c r="AM21" s="75"/>
      <c r="AN21" s="75"/>
      <c r="AO21" s="75"/>
      <c r="AP21" s="75"/>
      <c r="AQ21" s="75"/>
      <c r="AR21" s="75"/>
      <c r="AS21" s="75"/>
      <c r="AT21" s="75"/>
      <c r="AU21" s="75"/>
      <c r="AV21" s="75"/>
      <c r="AW21" s="75"/>
      <c r="AX21" s="75"/>
      <c r="AY21" s="75"/>
      <c r="AZ21" s="75"/>
      <c r="BA21" s="75"/>
      <c r="BB21" s="75"/>
      <c r="BC21" s="75"/>
      <c r="BD21" s="75"/>
      <c r="BE21" s="75"/>
      <c r="BF21" s="75"/>
      <c r="BG21" s="75"/>
      <c r="BH21" s="75"/>
      <c r="BI21" s="75"/>
      <c r="BJ21" s="76"/>
      <c r="BK21" s="76"/>
      <c r="BL21" s="76"/>
      <c r="BM21" s="76"/>
      <c r="BN21" s="76"/>
      <c r="BO21" s="76"/>
      <c r="BP21" s="76"/>
      <c r="BQ21" s="76"/>
      <c r="BR21" s="76"/>
      <c r="BS21" s="76"/>
      <c r="BT21" s="76"/>
      <c r="BU21" s="76"/>
      <c r="BV21" s="76"/>
      <c r="BW21" s="76"/>
      <c r="BX21" s="76"/>
      <c r="BY21" s="76"/>
      <c r="BZ21" s="76"/>
      <c r="CA21" s="76"/>
      <c r="CB21" s="76"/>
      <c r="CC21" s="76"/>
      <c r="CD21" s="76"/>
      <c r="CE21" s="76"/>
      <c r="CF21" s="76"/>
      <c r="CG21" s="76"/>
      <c r="CH21" s="76"/>
      <c r="CI21" s="76"/>
      <c r="CJ21" s="76"/>
      <c r="CK21" s="76"/>
      <c r="CL21" s="76"/>
      <c r="CM21" s="76"/>
      <c r="CN21" s="76"/>
      <c r="CO21" s="76"/>
      <c r="CP21" s="76"/>
      <c r="CQ21" s="76"/>
      <c r="CR21" s="76"/>
      <c r="CS21" s="76"/>
      <c r="CT21" s="76"/>
      <c r="CU21" s="76"/>
      <c r="CV21" s="76"/>
      <c r="CW21" s="76"/>
      <c r="CX21" s="76"/>
      <c r="CY21" s="76"/>
      <c r="CZ21" s="76"/>
    </row>
    <row r="22" spans="1:104" s="79" customFormat="1">
      <c r="A22" s="103"/>
      <c r="B22" s="104" t="s">
        <v>56</v>
      </c>
      <c r="C22" s="98"/>
      <c r="D22" s="98">
        <f>35+5</f>
        <v>40</v>
      </c>
      <c r="E22" s="98">
        <v>5</v>
      </c>
      <c r="F22" s="98">
        <v>5</v>
      </c>
      <c r="G22" s="98">
        <f>35+5</f>
        <v>40</v>
      </c>
      <c r="H22" s="98">
        <v>5</v>
      </c>
      <c r="I22" s="98">
        <f>30+5</f>
        <v>35</v>
      </c>
      <c r="J22" s="98">
        <v>4</v>
      </c>
      <c r="K22" s="98"/>
      <c r="L22" s="98">
        <v>5</v>
      </c>
      <c r="M22" s="98">
        <v>4</v>
      </c>
      <c r="N22" s="98">
        <v>4</v>
      </c>
      <c r="O22" s="98">
        <v>4</v>
      </c>
      <c r="P22" s="98">
        <f>4</f>
        <v>4</v>
      </c>
      <c r="Q22" s="98">
        <f>4+35</f>
        <v>39</v>
      </c>
      <c r="R22" s="98">
        <f>4</f>
        <v>4</v>
      </c>
      <c r="S22" s="98">
        <v>4</v>
      </c>
      <c r="T22" s="98">
        <v>4</v>
      </c>
      <c r="U22" s="98">
        <v>4</v>
      </c>
      <c r="V22" s="98">
        <v>4</v>
      </c>
      <c r="W22" s="98">
        <f>35+4</f>
        <v>39</v>
      </c>
      <c r="X22" s="158">
        <f t="shared" ca="1" si="3"/>
        <v>253.09294801930983</v>
      </c>
      <c r="Y22" s="99">
        <v>7</v>
      </c>
      <c r="Z22" s="161">
        <f t="shared" ca="1" si="0"/>
        <v>260.0929480193098</v>
      </c>
      <c r="AA22" s="106">
        <f ca="1">COUNTIF(Teams!$4:$20,B22)</f>
        <v>5</v>
      </c>
      <c r="AB22" s="106">
        <f t="shared" ca="1" si="5"/>
        <v>3</v>
      </c>
      <c r="AC22" s="184">
        <v>21</v>
      </c>
      <c r="AD22" s="75" t="str">
        <f t="shared" ca="1" si="6"/>
        <v>Kristoff</v>
      </c>
      <c r="AE22" s="191">
        <f t="shared" ca="1" si="2"/>
        <v>113.09749620163156</v>
      </c>
    </row>
    <row r="23" spans="1:104" s="78" customFormat="1">
      <c r="A23" s="107"/>
      <c r="B23" s="108" t="s">
        <v>179</v>
      </c>
      <c r="C23" s="109"/>
      <c r="D23" s="109"/>
      <c r="E23" s="109"/>
      <c r="F23" s="109"/>
      <c r="G23" s="109"/>
      <c r="H23" s="109"/>
      <c r="I23" s="109"/>
      <c r="J23" s="109"/>
      <c r="K23" s="109"/>
      <c r="L23" s="109"/>
      <c r="M23" s="109"/>
      <c r="N23" s="109"/>
      <c r="O23" s="109"/>
      <c r="P23" s="109"/>
      <c r="Q23" s="109"/>
      <c r="R23" s="109"/>
      <c r="S23" s="109">
        <v>11</v>
      </c>
      <c r="T23" s="109"/>
      <c r="U23" s="109"/>
      <c r="V23" s="109">
        <v>26</v>
      </c>
      <c r="W23" s="109"/>
      <c r="X23" s="159">
        <f t="shared" ref="X23" ca="1" si="7">SUM(C23:W23)+RAND()/10</f>
        <v>37.07008480701024</v>
      </c>
      <c r="Y23" s="110"/>
      <c r="Z23" s="162">
        <f t="shared" ref="Z23" ca="1" si="8">SUM(X23:Y23)</f>
        <v>37.07008480701024</v>
      </c>
      <c r="AA23" s="106">
        <f ca="1">COUNTIF(Teams!$4:$20,B23)</f>
        <v>1</v>
      </c>
      <c r="AB23" s="106">
        <f t="shared" ca="1" si="5"/>
        <v>35</v>
      </c>
      <c r="AC23" s="184">
        <v>22</v>
      </c>
      <c r="AD23" s="75" t="str">
        <f t="shared" ca="1" si="6"/>
        <v>Talansky</v>
      </c>
      <c r="AE23" s="191">
        <f t="shared" ca="1" si="2"/>
        <v>103.02325734091917</v>
      </c>
      <c r="AF23" s="75"/>
      <c r="AG23" s="75"/>
      <c r="AH23" s="75"/>
      <c r="AI23" s="75"/>
      <c r="AJ23" s="75"/>
      <c r="AK23" s="75"/>
      <c r="AL23" s="75"/>
      <c r="AM23" s="75"/>
      <c r="AN23" s="75"/>
      <c r="AO23" s="75"/>
      <c r="AP23" s="75"/>
      <c r="AQ23" s="75"/>
      <c r="AR23" s="75"/>
      <c r="AS23" s="75"/>
      <c r="AT23" s="75"/>
      <c r="AU23" s="75"/>
      <c r="AV23" s="75"/>
      <c r="AW23" s="75"/>
      <c r="AX23" s="75"/>
      <c r="AY23" s="75"/>
      <c r="AZ23" s="75"/>
      <c r="BA23" s="75"/>
      <c r="BB23" s="75"/>
      <c r="BC23" s="75"/>
      <c r="BD23" s="75"/>
      <c r="BE23" s="75"/>
      <c r="BF23" s="75"/>
      <c r="BG23" s="75"/>
      <c r="BH23" s="75"/>
      <c r="BI23" s="75"/>
      <c r="BJ23" s="76"/>
      <c r="BK23" s="76"/>
      <c r="BL23" s="76"/>
      <c r="BM23" s="76"/>
      <c r="BN23" s="76"/>
      <c r="BO23" s="76"/>
      <c r="BP23" s="76"/>
      <c r="BQ23" s="76"/>
      <c r="BR23" s="76"/>
      <c r="BS23" s="76"/>
      <c r="BT23" s="76"/>
      <c r="BU23" s="76"/>
      <c r="BV23" s="76"/>
      <c r="BW23" s="76"/>
      <c r="BX23" s="76"/>
      <c r="BY23" s="76"/>
      <c r="BZ23" s="76"/>
      <c r="CA23" s="76"/>
      <c r="CB23" s="76"/>
      <c r="CC23" s="76"/>
      <c r="CD23" s="76"/>
      <c r="CE23" s="76"/>
      <c r="CF23" s="76"/>
      <c r="CG23" s="76"/>
      <c r="CH23" s="76"/>
      <c r="CI23" s="76"/>
      <c r="CJ23" s="76"/>
      <c r="CK23" s="76"/>
      <c r="CL23" s="76"/>
      <c r="CM23" s="76"/>
      <c r="CN23" s="76"/>
      <c r="CO23" s="76"/>
      <c r="CP23" s="76"/>
      <c r="CQ23" s="76"/>
      <c r="CR23" s="76"/>
      <c r="CS23" s="76"/>
      <c r="CT23" s="76"/>
      <c r="CU23" s="76"/>
      <c r="CV23" s="76"/>
      <c r="CW23" s="76"/>
      <c r="CX23" s="76"/>
      <c r="CY23" s="76"/>
      <c r="CZ23" s="76"/>
    </row>
    <row r="24" spans="1:104" s="79" customFormat="1">
      <c r="A24" s="103"/>
      <c r="B24" s="104" t="s">
        <v>118</v>
      </c>
      <c r="C24" s="98"/>
      <c r="D24" s="98"/>
      <c r="E24" s="98"/>
      <c r="F24" s="98"/>
      <c r="G24" s="98">
        <v>9</v>
      </c>
      <c r="H24" s="98"/>
      <c r="I24" s="98"/>
      <c r="J24" s="98"/>
      <c r="K24" s="98"/>
      <c r="L24" s="98"/>
      <c r="M24" s="98"/>
      <c r="N24" s="98"/>
      <c r="O24" s="98"/>
      <c r="P24" s="98"/>
      <c r="Q24" s="98"/>
      <c r="R24" s="98"/>
      <c r="S24" s="98"/>
      <c r="T24" s="98"/>
      <c r="U24" s="98"/>
      <c r="V24" s="98"/>
      <c r="W24" s="98"/>
      <c r="X24" s="158">
        <f t="shared" ca="1" si="3"/>
        <v>9.0223350412144683</v>
      </c>
      <c r="Y24" s="99"/>
      <c r="Z24" s="161">
        <f t="shared" ref="Z24:Z54" ca="1" si="9">SUM(X24:Y24)</f>
        <v>9.0223350412144683</v>
      </c>
      <c r="AA24" s="106">
        <f ca="1">COUNTIF(Teams!$4:$20,B24)</f>
        <v>1</v>
      </c>
      <c r="AB24" s="106">
        <f t="shared" ca="1" si="5"/>
        <v>44</v>
      </c>
      <c r="AC24" s="184">
        <v>23</v>
      </c>
      <c r="AD24" s="75" t="str">
        <f t="shared" ca="1" si="6"/>
        <v>Majka</v>
      </c>
      <c r="AE24" s="191">
        <f t="shared" ca="1" si="2"/>
        <v>88.089619655998845</v>
      </c>
    </row>
    <row r="25" spans="1:104" s="78" customFormat="1">
      <c r="A25" s="107"/>
      <c r="B25" s="108" t="s">
        <v>132</v>
      </c>
      <c r="C25" s="109">
        <f>17+2</f>
        <v>19</v>
      </c>
      <c r="D25" s="109"/>
      <c r="E25" s="109"/>
      <c r="F25" s="109"/>
      <c r="G25" s="109"/>
      <c r="H25" s="109"/>
      <c r="I25" s="109"/>
      <c r="J25" s="109"/>
      <c r="K25" s="109"/>
      <c r="L25" s="109"/>
      <c r="M25" s="109"/>
      <c r="N25" s="109"/>
      <c r="O25" s="109">
        <v>6</v>
      </c>
      <c r="P25" s="109"/>
      <c r="Q25" s="109"/>
      <c r="R25" s="109"/>
      <c r="S25" s="109"/>
      <c r="T25" s="109"/>
      <c r="U25" s="109"/>
      <c r="V25" s="109"/>
      <c r="W25" s="109"/>
      <c r="X25" s="159">
        <f t="shared" ca="1" si="3"/>
        <v>25.058341169026072</v>
      </c>
      <c r="Y25" s="110"/>
      <c r="Z25" s="162">
        <f t="shared" ca="1" si="9"/>
        <v>25.058341169026072</v>
      </c>
      <c r="AA25" s="106">
        <f ca="1">COUNTIF(Teams!$4:$20,B25)</f>
        <v>4</v>
      </c>
      <c r="AB25" s="106">
        <f t="shared" ca="1" si="5"/>
        <v>40</v>
      </c>
      <c r="AC25" s="184">
        <v>24</v>
      </c>
      <c r="AD25" s="75" t="str">
        <f t="shared" ca="1" si="6"/>
        <v>Fuglsang</v>
      </c>
      <c r="AE25" s="191">
        <f t="shared" ca="1" si="2"/>
        <v>88.019994407842191</v>
      </c>
      <c r="AF25" s="75"/>
      <c r="AG25" s="75"/>
      <c r="AH25" s="75"/>
      <c r="AI25" s="75"/>
      <c r="AJ25" s="75"/>
      <c r="AK25" s="75"/>
      <c r="AL25" s="75"/>
      <c r="AM25" s="75"/>
      <c r="AN25" s="75"/>
      <c r="AO25" s="75"/>
      <c r="AP25" s="75"/>
      <c r="AQ25" s="75"/>
      <c r="AR25" s="75"/>
      <c r="AS25" s="75"/>
      <c r="AT25" s="75"/>
      <c r="AU25" s="75"/>
      <c r="AV25" s="75"/>
      <c r="AW25" s="75"/>
      <c r="AX25" s="75"/>
      <c r="AY25" s="75"/>
      <c r="AZ25" s="75"/>
      <c r="BA25" s="75"/>
      <c r="BB25" s="75"/>
      <c r="BC25" s="75"/>
      <c r="BD25" s="75"/>
      <c r="BE25" s="75"/>
      <c r="BF25" s="75"/>
      <c r="BG25" s="75"/>
      <c r="BH25" s="75"/>
      <c r="BI25" s="75"/>
      <c r="BJ25" s="76"/>
      <c r="BK25" s="76"/>
      <c r="BL25" s="76"/>
      <c r="BM25" s="76"/>
      <c r="BN25" s="76"/>
      <c r="BO25" s="76"/>
      <c r="BP25" s="76"/>
      <c r="BQ25" s="76"/>
      <c r="BR25" s="76"/>
      <c r="BS25" s="76"/>
      <c r="BT25" s="76"/>
      <c r="BU25" s="76"/>
      <c r="BV25" s="76"/>
      <c r="BW25" s="76"/>
      <c r="BX25" s="76"/>
      <c r="BY25" s="76"/>
      <c r="BZ25" s="76"/>
      <c r="CA25" s="76"/>
      <c r="CB25" s="76"/>
      <c r="CC25" s="76"/>
      <c r="CD25" s="76"/>
      <c r="CE25" s="76"/>
      <c r="CF25" s="76"/>
      <c r="CG25" s="76"/>
      <c r="CH25" s="76"/>
      <c r="CI25" s="76"/>
      <c r="CJ25" s="76"/>
      <c r="CK25" s="76"/>
      <c r="CL25" s="76"/>
      <c r="CM25" s="76"/>
      <c r="CN25" s="76"/>
      <c r="CO25" s="76"/>
      <c r="CP25" s="76"/>
      <c r="CQ25" s="76"/>
      <c r="CR25" s="76"/>
      <c r="CS25" s="76"/>
      <c r="CT25" s="76"/>
      <c r="CU25" s="76"/>
      <c r="CV25" s="76"/>
      <c r="CW25" s="76"/>
      <c r="CX25" s="76"/>
      <c r="CY25" s="76"/>
      <c r="CZ25" s="76"/>
    </row>
    <row r="26" spans="1:104" s="79" customFormat="1">
      <c r="A26" s="103"/>
      <c r="B26" s="104" t="s">
        <v>133</v>
      </c>
      <c r="C26" s="98"/>
      <c r="D26" s="98"/>
      <c r="E26" s="98"/>
      <c r="F26" s="98"/>
      <c r="G26" s="98"/>
      <c r="H26" s="98"/>
      <c r="I26" s="98"/>
      <c r="J26" s="98"/>
      <c r="K26" s="98"/>
      <c r="L26" s="98"/>
      <c r="M26" s="98"/>
      <c r="N26" s="98"/>
      <c r="O26" s="98"/>
      <c r="P26" s="98"/>
      <c r="Q26" s="98"/>
      <c r="R26" s="98"/>
      <c r="S26" s="98"/>
      <c r="T26" s="98"/>
      <c r="U26" s="98"/>
      <c r="V26" s="98"/>
      <c r="W26" s="98"/>
      <c r="X26" s="158">
        <f t="shared" ca="1" si="3"/>
        <v>3.3016557519409059E-2</v>
      </c>
      <c r="Y26" s="99"/>
      <c r="Z26" s="161">
        <f t="shared" ca="1" si="9"/>
        <v>3.3016557519409059E-2</v>
      </c>
      <c r="AA26" s="106">
        <f ca="1">COUNTIF(Teams!$4:$20,B26)</f>
        <v>2</v>
      </c>
      <c r="AB26" s="106">
        <f t="shared" ca="1" si="5"/>
        <v>50</v>
      </c>
      <c r="AC26" s="184">
        <v>25</v>
      </c>
      <c r="AD26" s="75" t="str">
        <f t="shared" ca="1" si="6"/>
        <v>D.Martin</v>
      </c>
      <c r="AE26" s="191">
        <f t="shared" ca="1" si="2"/>
        <v>84.078852876928579</v>
      </c>
    </row>
    <row r="27" spans="1:104" s="78" customFormat="1">
      <c r="A27" s="107"/>
      <c r="B27" s="108" t="s">
        <v>151</v>
      </c>
      <c r="C27" s="109"/>
      <c r="D27" s="109">
        <v>8</v>
      </c>
      <c r="E27" s="109"/>
      <c r="F27" s="109"/>
      <c r="G27" s="109"/>
      <c r="H27" s="109"/>
      <c r="I27" s="109"/>
      <c r="J27" s="109">
        <f>10</f>
        <v>10</v>
      </c>
      <c r="K27" s="109"/>
      <c r="L27" s="109"/>
      <c r="M27" s="109"/>
      <c r="N27" s="109"/>
      <c r="O27" s="109"/>
      <c r="P27" s="109"/>
      <c r="Q27" s="109"/>
      <c r="R27" s="109"/>
      <c r="S27" s="109"/>
      <c r="T27" s="109"/>
      <c r="U27" s="109">
        <v>9</v>
      </c>
      <c r="V27" s="109"/>
      <c r="W27" s="109"/>
      <c r="X27" s="159">
        <f t="shared" ca="1" si="3"/>
        <v>27.077011532304212</v>
      </c>
      <c r="Y27" s="110">
        <v>18</v>
      </c>
      <c r="Z27" s="162">
        <f t="shared" ca="1" si="9"/>
        <v>45.077011532304212</v>
      </c>
      <c r="AA27" s="106">
        <f ca="1">COUNTIF(Teams!$4:$20,B27)</f>
        <v>0</v>
      </c>
      <c r="AB27" s="106">
        <f t="shared" ca="1" si="5"/>
        <v>33</v>
      </c>
      <c r="AC27" s="184">
        <v>26</v>
      </c>
      <c r="AD27" s="75" t="str">
        <f t="shared" ca="1" si="6"/>
        <v>Cancellara</v>
      </c>
      <c r="AE27" s="191">
        <f t="shared" ca="1" si="2"/>
        <v>77.028092940482708</v>
      </c>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5"/>
      <c r="BF27" s="75"/>
      <c r="BG27" s="75"/>
      <c r="BH27" s="75"/>
      <c r="BI27" s="75"/>
      <c r="BJ27" s="76"/>
      <c r="BK27" s="76"/>
      <c r="BL27" s="76"/>
      <c r="BM27" s="76"/>
      <c r="BN27" s="76"/>
      <c r="BO27" s="76"/>
      <c r="BP27" s="76"/>
      <c r="BQ27" s="76"/>
      <c r="BR27" s="76"/>
      <c r="BS27" s="76"/>
      <c r="BT27" s="76"/>
      <c r="BU27" s="76"/>
      <c r="BV27" s="76"/>
      <c r="BW27" s="76"/>
      <c r="BX27" s="76"/>
      <c r="BY27" s="76"/>
      <c r="BZ27" s="76"/>
      <c r="CA27" s="76"/>
      <c r="CB27" s="76"/>
      <c r="CC27" s="76"/>
      <c r="CD27" s="76"/>
      <c r="CE27" s="76"/>
      <c r="CF27" s="76"/>
      <c r="CG27" s="76"/>
      <c r="CH27" s="76"/>
      <c r="CI27" s="76"/>
      <c r="CJ27" s="76"/>
      <c r="CK27" s="76"/>
      <c r="CL27" s="76"/>
      <c r="CM27" s="76"/>
      <c r="CN27" s="76"/>
      <c r="CO27" s="76"/>
      <c r="CP27" s="76"/>
      <c r="CQ27" s="76"/>
      <c r="CR27" s="76"/>
      <c r="CS27" s="76"/>
      <c r="CT27" s="76"/>
      <c r="CU27" s="76"/>
      <c r="CV27" s="76"/>
      <c r="CW27" s="76"/>
      <c r="CX27" s="76"/>
      <c r="CY27" s="76"/>
      <c r="CZ27" s="76"/>
    </row>
    <row r="28" spans="1:104" s="79" customFormat="1">
      <c r="A28" s="103"/>
      <c r="B28" s="104" t="s">
        <v>97</v>
      </c>
      <c r="C28" s="98"/>
      <c r="D28" s="98"/>
      <c r="E28" s="98"/>
      <c r="F28" s="98"/>
      <c r="G28" s="98">
        <f>24</f>
        <v>24</v>
      </c>
      <c r="H28" s="98">
        <f>15</f>
        <v>15</v>
      </c>
      <c r="I28" s="98">
        <f>22</f>
        <v>22</v>
      </c>
      <c r="J28" s="98"/>
      <c r="K28" s="98"/>
      <c r="L28" s="98"/>
      <c r="M28" s="98"/>
      <c r="N28" s="98"/>
      <c r="O28" s="98"/>
      <c r="P28" s="98"/>
      <c r="Q28" s="98">
        <v>26</v>
      </c>
      <c r="R28" s="98"/>
      <c r="S28" s="98"/>
      <c r="T28" s="98"/>
      <c r="U28" s="98"/>
      <c r="V28" s="98"/>
      <c r="W28" s="98">
        <f>26</f>
        <v>26</v>
      </c>
      <c r="X28" s="158">
        <f t="shared" ca="1" si="3"/>
        <v>113.09749620163156</v>
      </c>
      <c r="Y28" s="99"/>
      <c r="Z28" s="161">
        <f t="shared" ca="1" si="9"/>
        <v>113.09749620163156</v>
      </c>
      <c r="AA28" s="106">
        <f ca="1">COUNTIF(Teams!$4:$20,B28)</f>
        <v>10</v>
      </c>
      <c r="AB28" s="106">
        <f t="shared" ca="1" si="5"/>
        <v>21</v>
      </c>
      <c r="AC28" s="184">
        <v>27</v>
      </c>
      <c r="AD28" s="75" t="str">
        <f t="shared" ca="1" si="6"/>
        <v>Cimolai</v>
      </c>
      <c r="AE28" s="191">
        <f t="shared" ca="1" si="2"/>
        <v>76.060731459019337</v>
      </c>
    </row>
    <row r="29" spans="1:104" s="78" customFormat="1">
      <c r="A29" s="107"/>
      <c r="B29" s="108" t="s">
        <v>144</v>
      </c>
      <c r="C29" s="109"/>
      <c r="D29" s="109"/>
      <c r="E29" s="109"/>
      <c r="F29" s="109"/>
      <c r="G29" s="109"/>
      <c r="H29" s="109"/>
      <c r="I29" s="109"/>
      <c r="J29" s="109"/>
      <c r="K29" s="109"/>
      <c r="L29" s="109"/>
      <c r="M29" s="109"/>
      <c r="N29" s="109"/>
      <c r="O29" s="109"/>
      <c r="P29" s="109"/>
      <c r="Q29" s="109"/>
      <c r="R29" s="109"/>
      <c r="S29" s="109">
        <v>20</v>
      </c>
      <c r="T29" s="109"/>
      <c r="U29" s="109">
        <v>6</v>
      </c>
      <c r="V29" s="109">
        <v>7</v>
      </c>
      <c r="W29" s="109"/>
      <c r="X29" s="159">
        <f t="shared" ca="1" si="3"/>
        <v>33.017095955613158</v>
      </c>
      <c r="Y29" s="110"/>
      <c r="Z29" s="162">
        <f t="shared" ca="1" si="9"/>
        <v>33.017095955613158</v>
      </c>
      <c r="AA29" s="106">
        <f ca="1">COUNTIF(Teams!$4:$20,B29)</f>
        <v>0</v>
      </c>
      <c r="AB29" s="106">
        <f t="shared" ca="1" si="5"/>
        <v>36</v>
      </c>
      <c r="AC29" s="184">
        <v>28</v>
      </c>
      <c r="AD29" s="75" t="str">
        <f t="shared" ca="1" si="6"/>
        <v>Porte</v>
      </c>
      <c r="AE29" s="191">
        <f t="shared" ca="1" si="2"/>
        <v>68.025664521866773</v>
      </c>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6"/>
      <c r="BK29" s="76"/>
      <c r="BL29" s="76"/>
      <c r="BM29" s="76"/>
      <c r="BN29" s="76"/>
      <c r="BO29" s="76"/>
      <c r="BP29" s="76"/>
      <c r="BQ29" s="76"/>
      <c r="BR29" s="76"/>
      <c r="BS29" s="76"/>
      <c r="BT29" s="76"/>
      <c r="BU29" s="76"/>
      <c r="BV29" s="76"/>
      <c r="BW29" s="76"/>
      <c r="BX29" s="76"/>
      <c r="BY29" s="76"/>
      <c r="BZ29" s="76"/>
      <c r="CA29" s="76"/>
      <c r="CB29" s="76"/>
      <c r="CC29" s="76"/>
      <c r="CD29" s="76"/>
      <c r="CE29" s="76"/>
      <c r="CF29" s="76"/>
      <c r="CG29" s="76"/>
      <c r="CH29" s="76"/>
      <c r="CI29" s="76"/>
      <c r="CJ29" s="76"/>
      <c r="CK29" s="76"/>
      <c r="CL29" s="76"/>
      <c r="CM29" s="76"/>
      <c r="CN29" s="76"/>
      <c r="CO29" s="76"/>
      <c r="CP29" s="76"/>
      <c r="CQ29" s="76"/>
      <c r="CR29" s="76"/>
      <c r="CS29" s="76"/>
      <c r="CT29" s="76"/>
      <c r="CU29" s="76"/>
      <c r="CV29" s="76"/>
      <c r="CW29" s="76"/>
      <c r="CX29" s="76"/>
      <c r="CY29" s="76"/>
      <c r="CZ29" s="76"/>
    </row>
    <row r="30" spans="1:104" s="79" customFormat="1">
      <c r="A30" s="103"/>
      <c r="B30" s="104" t="s">
        <v>111</v>
      </c>
      <c r="C30" s="98"/>
      <c r="D30" s="98"/>
      <c r="E30" s="98"/>
      <c r="F30" s="98"/>
      <c r="G30" s="98"/>
      <c r="H30" s="98"/>
      <c r="I30" s="98"/>
      <c r="J30" s="98"/>
      <c r="K30" s="98"/>
      <c r="L30" s="98"/>
      <c r="M30" s="98"/>
      <c r="N30" s="98"/>
      <c r="O30" s="98"/>
      <c r="P30" s="98"/>
      <c r="Q30" s="98"/>
      <c r="R30" s="98"/>
      <c r="S30" s="98"/>
      <c r="T30" s="98"/>
      <c r="U30" s="98"/>
      <c r="V30" s="98"/>
      <c r="W30" s="98"/>
      <c r="X30" s="158">
        <f t="shared" ca="1" si="3"/>
        <v>7.3887579843106635E-2</v>
      </c>
      <c r="Y30" s="99"/>
      <c r="Z30" s="161">
        <f t="shared" ca="1" si="9"/>
        <v>7.3887579843106635E-2</v>
      </c>
      <c r="AA30" s="106">
        <f ca="1">COUNTIF(Teams!$4:$20,B30)</f>
        <v>9</v>
      </c>
      <c r="AB30" s="106">
        <f t="shared" ca="1" si="5"/>
        <v>47</v>
      </c>
      <c r="AC30" s="184">
        <v>29</v>
      </c>
      <c r="AD30" s="75" t="str">
        <f t="shared" ca="1" si="6"/>
        <v>Demare</v>
      </c>
      <c r="AE30" s="191">
        <f t="shared" ca="1" si="2"/>
        <v>61.083544147459484</v>
      </c>
    </row>
    <row r="31" spans="1:104" s="78" customFormat="1">
      <c r="A31" s="107"/>
      <c r="B31" s="108" t="s">
        <v>139</v>
      </c>
      <c r="C31" s="109"/>
      <c r="D31" s="109"/>
      <c r="E31" s="109">
        <v>4</v>
      </c>
      <c r="F31" s="109">
        <v>4</v>
      </c>
      <c r="G31" s="109">
        <v>4</v>
      </c>
      <c r="H31" s="109">
        <v>2</v>
      </c>
      <c r="I31" s="109">
        <v>2</v>
      </c>
      <c r="J31" s="109">
        <v>1</v>
      </c>
      <c r="K31" s="109"/>
      <c r="L31" s="109"/>
      <c r="M31" s="109">
        <f>35+3</f>
        <v>38</v>
      </c>
      <c r="N31" s="109"/>
      <c r="O31" s="109"/>
      <c r="P31" s="109"/>
      <c r="Q31" s="109"/>
      <c r="R31" s="109"/>
      <c r="S31" s="109">
        <v>13</v>
      </c>
      <c r="T31" s="109"/>
      <c r="U31" s="109">
        <f>11</f>
        <v>11</v>
      </c>
      <c r="V31" s="109">
        <v>9</v>
      </c>
      <c r="W31" s="109"/>
      <c r="X31" s="159">
        <f t="shared" ca="1" si="3"/>
        <v>88.089619655998845</v>
      </c>
      <c r="Y31" s="110"/>
      <c r="Z31" s="162">
        <f t="shared" ca="1" si="9"/>
        <v>88.089619655998845</v>
      </c>
      <c r="AA31" s="106">
        <f ca="1">COUNTIF(Teams!$4:$20,B31)</f>
        <v>6</v>
      </c>
      <c r="AB31" s="106">
        <f t="shared" ca="1" si="5"/>
        <v>23</v>
      </c>
      <c r="AC31" s="184">
        <v>30</v>
      </c>
      <c r="AD31" s="75" t="str">
        <f t="shared" ca="1" si="6"/>
        <v>Dumoulin</v>
      </c>
      <c r="AE31" s="191">
        <f t="shared" ca="1" si="2"/>
        <v>59.066929365810573</v>
      </c>
      <c r="AF31" s="75"/>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c r="BE31" s="75"/>
      <c r="BF31" s="75"/>
      <c r="BG31" s="75"/>
      <c r="BH31" s="75"/>
      <c r="BI31" s="75"/>
      <c r="BJ31" s="76"/>
      <c r="BK31" s="76"/>
      <c r="BL31" s="76"/>
      <c r="BM31" s="76"/>
      <c r="BN31" s="76"/>
      <c r="BO31" s="76"/>
      <c r="BP31" s="76"/>
      <c r="BQ31" s="76"/>
      <c r="BR31" s="76"/>
      <c r="BS31" s="76"/>
      <c r="BT31" s="76"/>
      <c r="BU31" s="76"/>
      <c r="BV31" s="76"/>
      <c r="BW31" s="76"/>
      <c r="BX31" s="76"/>
      <c r="BY31" s="76"/>
      <c r="BZ31" s="76"/>
      <c r="CA31" s="76"/>
      <c r="CB31" s="76"/>
      <c r="CC31" s="76"/>
      <c r="CD31" s="76"/>
      <c r="CE31" s="76"/>
      <c r="CF31" s="76"/>
      <c r="CG31" s="76"/>
      <c r="CH31" s="76"/>
      <c r="CI31" s="76"/>
      <c r="CJ31" s="76"/>
      <c r="CK31" s="76"/>
      <c r="CL31" s="76"/>
      <c r="CM31" s="76"/>
      <c r="CN31" s="76"/>
      <c r="CO31" s="76"/>
      <c r="CP31" s="76"/>
      <c r="CQ31" s="76"/>
      <c r="CR31" s="76"/>
      <c r="CS31" s="76"/>
      <c r="CT31" s="76"/>
      <c r="CU31" s="76"/>
      <c r="CV31" s="76"/>
      <c r="CW31" s="76"/>
      <c r="CX31" s="76"/>
      <c r="CY31" s="76"/>
      <c r="CZ31" s="76"/>
    </row>
    <row r="32" spans="1:104" s="79" customFormat="1">
      <c r="A32" s="103"/>
      <c r="B32" s="104" t="s">
        <v>185</v>
      </c>
      <c r="C32" s="98"/>
      <c r="D32" s="98"/>
      <c r="E32" s="98">
        <f>24</f>
        <v>24</v>
      </c>
      <c r="F32" s="98"/>
      <c r="G32" s="98"/>
      <c r="H32" s="98"/>
      <c r="I32" s="98"/>
      <c r="J32" s="98">
        <f>30</f>
        <v>30</v>
      </c>
      <c r="K32" s="98"/>
      <c r="L32" s="98"/>
      <c r="M32" s="98">
        <f>30</f>
        <v>30</v>
      </c>
      <c r="N32" s="98"/>
      <c r="O32" s="98"/>
      <c r="P32" s="98"/>
      <c r="Q32" s="98"/>
      <c r="R32" s="98"/>
      <c r="S32" s="98"/>
      <c r="T32" s="98"/>
      <c r="U32" s="98"/>
      <c r="V32" s="98"/>
      <c r="W32" s="98"/>
      <c r="X32" s="158">
        <f t="shared" ref="X32" ca="1" si="10">SUM(C32:W32)+RAND()/10</f>
        <v>84.078852876928579</v>
      </c>
      <c r="Y32" s="99"/>
      <c r="Z32" s="161">
        <f t="shared" ref="Z32" ca="1" si="11">SUM(X32:Y32)</f>
        <v>84.078852876928579</v>
      </c>
      <c r="AA32" s="106">
        <f ca="1">COUNTIF(Teams!$4:$20,B32)</f>
        <v>2</v>
      </c>
      <c r="AB32" s="106">
        <f t="shared" ref="AB32" ca="1" si="12">RANK(Z32,$Z$2:$Z$54)</f>
        <v>25</v>
      </c>
      <c r="AC32" s="184">
        <v>31</v>
      </c>
      <c r="AD32" s="75" t="str">
        <f t="shared" ca="1" si="6"/>
        <v>Navardauskas</v>
      </c>
      <c r="AE32" s="191">
        <f t="shared" ref="AE32:AE35" ca="1" si="13">INDEX($Z$2:$Z$54,MATCH(AC32,$AB$2:$AB$54,0))</f>
        <v>51.075604763725842</v>
      </c>
    </row>
    <row r="33" spans="1:104" s="79" customFormat="1">
      <c r="A33" s="103"/>
      <c r="B33" s="104" t="s">
        <v>186</v>
      </c>
      <c r="C33" s="98">
        <f>30+9+4</f>
        <v>43</v>
      </c>
      <c r="D33" s="98">
        <f>17+9+1</f>
        <v>27</v>
      </c>
      <c r="E33" s="98">
        <f>9</f>
        <v>9</v>
      </c>
      <c r="F33" s="98">
        <f>35+10+2</f>
        <v>47</v>
      </c>
      <c r="G33" s="98">
        <f>1+10</f>
        <v>11</v>
      </c>
      <c r="H33" s="98">
        <f>10</f>
        <v>10</v>
      </c>
      <c r="I33" s="98"/>
      <c r="J33" s="98"/>
      <c r="K33" s="98"/>
      <c r="L33" s="98"/>
      <c r="M33" s="98"/>
      <c r="N33" s="98"/>
      <c r="O33" s="98"/>
      <c r="P33" s="98"/>
      <c r="Q33" s="98"/>
      <c r="R33" s="98"/>
      <c r="S33" s="98"/>
      <c r="T33" s="98"/>
      <c r="U33" s="98"/>
      <c r="V33" s="98"/>
      <c r="W33" s="98"/>
      <c r="X33" s="158">
        <f t="shared" ca="1" si="3"/>
        <v>147.06732715684512</v>
      </c>
      <c r="Y33" s="99"/>
      <c r="Z33" s="161">
        <f t="shared" ca="1" si="9"/>
        <v>147.06732715684512</v>
      </c>
      <c r="AA33" s="106">
        <f ca="1">COUNTIF(Teams!$4:$20,B33)</f>
        <v>3</v>
      </c>
      <c r="AB33" s="106">
        <f t="shared" ca="1" si="5"/>
        <v>15</v>
      </c>
      <c r="AC33" s="184">
        <v>32</v>
      </c>
      <c r="AD33" s="75" t="str">
        <f t="shared" ca="1" si="6"/>
        <v>S.Yates</v>
      </c>
      <c r="AE33" s="191">
        <f t="shared" ca="1" si="13"/>
        <v>49.088628244576313</v>
      </c>
    </row>
    <row r="34" spans="1:104" s="78" customFormat="1">
      <c r="A34" s="107"/>
      <c r="B34" s="108" t="s">
        <v>125</v>
      </c>
      <c r="C34" s="109"/>
      <c r="D34" s="109"/>
      <c r="E34" s="109"/>
      <c r="F34" s="109"/>
      <c r="G34" s="109"/>
      <c r="H34" s="109"/>
      <c r="I34" s="109"/>
      <c r="J34" s="109"/>
      <c r="K34" s="109"/>
      <c r="L34" s="109"/>
      <c r="M34" s="109"/>
      <c r="N34" s="109"/>
      <c r="O34" s="109">
        <v>9</v>
      </c>
      <c r="P34" s="109"/>
      <c r="Q34" s="109">
        <v>18</v>
      </c>
      <c r="R34" s="109"/>
      <c r="S34" s="109"/>
      <c r="T34" s="109"/>
      <c r="U34" s="109"/>
      <c r="V34" s="109"/>
      <c r="W34" s="109">
        <v>17</v>
      </c>
      <c r="X34" s="159">
        <f t="shared" ca="1" si="3"/>
        <v>44.082152753603047</v>
      </c>
      <c r="Y34" s="110"/>
      <c r="Z34" s="162">
        <f t="shared" ca="1" si="9"/>
        <v>44.082152753603047</v>
      </c>
      <c r="AA34" s="106">
        <f ca="1">COUNTIF(Teams!$4:$20,B34)</f>
        <v>4</v>
      </c>
      <c r="AB34" s="106">
        <f t="shared" ca="1" si="5"/>
        <v>34</v>
      </c>
      <c r="AC34" s="184">
        <v>33</v>
      </c>
      <c r="AD34" s="75" t="str">
        <f t="shared" ca="1" si="6"/>
        <v>Kreuziger</v>
      </c>
      <c r="AE34" s="191">
        <f t="shared" ca="1" si="13"/>
        <v>45.077011532304212</v>
      </c>
      <c r="AF34" s="75"/>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5"/>
      <c r="BH34" s="75"/>
      <c r="BI34" s="75"/>
      <c r="BJ34" s="76"/>
      <c r="BK34" s="76"/>
      <c r="BL34" s="76"/>
      <c r="BM34" s="76"/>
      <c r="BN34" s="76"/>
      <c r="BO34" s="76"/>
      <c r="BP34" s="76"/>
      <c r="BQ34" s="76"/>
      <c r="BR34" s="76"/>
      <c r="BS34" s="76"/>
      <c r="BT34" s="76"/>
      <c r="BU34" s="76"/>
      <c r="BV34" s="76"/>
      <c r="BW34" s="76"/>
      <c r="BX34" s="76"/>
      <c r="BY34" s="76"/>
      <c r="BZ34" s="76"/>
      <c r="CA34" s="76"/>
      <c r="CB34" s="76"/>
      <c r="CC34" s="76"/>
      <c r="CD34" s="76"/>
      <c r="CE34" s="76"/>
      <c r="CF34" s="76"/>
      <c r="CG34" s="76"/>
      <c r="CH34" s="76"/>
      <c r="CI34" s="76"/>
      <c r="CJ34" s="76"/>
      <c r="CK34" s="76"/>
      <c r="CL34" s="76"/>
      <c r="CM34" s="76"/>
      <c r="CN34" s="76"/>
      <c r="CO34" s="76"/>
      <c r="CP34" s="76"/>
      <c r="CQ34" s="76"/>
      <c r="CR34" s="76"/>
      <c r="CS34" s="76"/>
      <c r="CT34" s="76"/>
      <c r="CU34" s="76"/>
      <c r="CV34" s="76"/>
      <c r="CW34" s="76"/>
      <c r="CX34" s="76"/>
      <c r="CY34" s="76"/>
      <c r="CZ34" s="76"/>
    </row>
    <row r="35" spans="1:104" s="79" customFormat="1">
      <c r="A35" s="103"/>
      <c r="B35" s="104" t="s">
        <v>140</v>
      </c>
      <c r="C35" s="98"/>
      <c r="D35" s="98"/>
      <c r="E35" s="98"/>
      <c r="F35" s="98"/>
      <c r="G35" s="98"/>
      <c r="H35" s="98"/>
      <c r="I35" s="98"/>
      <c r="J35" s="98"/>
      <c r="K35" s="98"/>
      <c r="L35" s="98"/>
      <c r="M35" s="98"/>
      <c r="N35" s="98">
        <f>22</f>
        <v>22</v>
      </c>
      <c r="O35" s="98"/>
      <c r="P35" s="98"/>
      <c r="Q35" s="98"/>
      <c r="R35" s="98"/>
      <c r="S35" s="98"/>
      <c r="T35" s="98"/>
      <c r="U35" s="98"/>
      <c r="V35" s="98"/>
      <c r="W35" s="98"/>
      <c r="X35" s="158">
        <f t="shared" ca="1" si="3"/>
        <v>22.044047845229152</v>
      </c>
      <c r="Y35" s="99"/>
      <c r="Z35" s="161">
        <f t="shared" ca="1" si="9"/>
        <v>22.044047845229152</v>
      </c>
      <c r="AA35" s="106">
        <f ca="1">COUNTIF(Teams!$4:$20,B35)</f>
        <v>1</v>
      </c>
      <c r="AB35" s="106">
        <f t="shared" ca="1" si="5"/>
        <v>41</v>
      </c>
      <c r="AC35" s="184">
        <v>34</v>
      </c>
      <c r="AD35" s="75" t="str">
        <f t="shared" ref="AD35" ca="1" si="14">INDEX($B$2:$B$54,MATCH(AC35,$AB$2:$AB$54,0))</f>
        <v>Matthews</v>
      </c>
      <c r="AE35" s="191">
        <f t="shared" ca="1" si="13"/>
        <v>44.082152753603047</v>
      </c>
    </row>
    <row r="36" spans="1:104" s="78" customFormat="1">
      <c r="A36" s="107"/>
      <c r="B36" s="108" t="s">
        <v>55</v>
      </c>
      <c r="C36" s="109">
        <f>12</f>
        <v>12</v>
      </c>
      <c r="D36" s="109"/>
      <c r="E36" s="109">
        <f>16</f>
        <v>16</v>
      </c>
      <c r="F36" s="109">
        <v>10</v>
      </c>
      <c r="G36" s="109"/>
      <c r="H36" s="109"/>
      <c r="I36" s="109"/>
      <c r="J36" s="109">
        <f>17+1</f>
        <v>18</v>
      </c>
      <c r="K36" s="109"/>
      <c r="L36" s="109">
        <v>9</v>
      </c>
      <c r="M36" s="109">
        <f>19+1</f>
        <v>20</v>
      </c>
      <c r="N36" s="109">
        <f>7+1</f>
        <v>8</v>
      </c>
      <c r="O36" s="109">
        <v>1</v>
      </c>
      <c r="P36" s="109">
        <f>1</f>
        <v>1</v>
      </c>
      <c r="Q36" s="109">
        <f>1</f>
        <v>1</v>
      </c>
      <c r="R36" s="109">
        <v>2</v>
      </c>
      <c r="S36" s="109">
        <v>2</v>
      </c>
      <c r="T36" s="109">
        <v>2</v>
      </c>
      <c r="U36" s="109">
        <f>19+3</f>
        <v>22</v>
      </c>
      <c r="V36" s="109">
        <f>12+4</f>
        <v>16</v>
      </c>
      <c r="W36" s="109">
        <v>4</v>
      </c>
      <c r="X36" s="159">
        <f t="shared" ref="X36:X39" ca="1" si="15">SUM(C36:W36)+RAND()/10</f>
        <v>144.09364151412717</v>
      </c>
      <c r="Y36" s="110">
        <v>38</v>
      </c>
      <c r="Z36" s="162">
        <f t="shared" ref="Z36:Z39" ca="1" si="16">SUM(X36:Y36)</f>
        <v>182.09364151412717</v>
      </c>
      <c r="AA36" s="106">
        <f ca="1">COUNTIF(Teams!$4:$20,B36)</f>
        <v>5</v>
      </c>
      <c r="AB36" s="106">
        <f t="shared" ref="AB36:AB39" ca="1" si="17">RANK(Z36,$Z$2:$Z$54)</f>
        <v>10</v>
      </c>
      <c r="AC36" s="184">
        <v>35</v>
      </c>
      <c r="AD36" s="75" t="str">
        <f t="shared" ref="AD36:AD39" ca="1" si="18">INDEX($B$2:$B$54,MATCH(AC36,$AB$2:$AB$54,0))</f>
        <v>Hesjedal</v>
      </c>
      <c r="AE36" s="191">
        <f t="shared" ref="AE36:AE39" ca="1" si="19">INDEX($Z$2:$Z$54,MATCH(AC36,$AB$2:$AB$54,0))</f>
        <v>37.07008480701024</v>
      </c>
      <c r="AF36" s="75"/>
      <c r="AG36" s="75"/>
      <c r="AH36" s="75"/>
      <c r="AI36" s="75"/>
      <c r="AJ36" s="75"/>
      <c r="AK36" s="75"/>
      <c r="AL36" s="75"/>
      <c r="AM36" s="75"/>
      <c r="AN36" s="75"/>
      <c r="AO36" s="75"/>
      <c r="AP36" s="75"/>
      <c r="AQ36" s="75"/>
      <c r="AR36" s="75"/>
      <c r="AS36" s="75"/>
      <c r="AT36" s="75"/>
      <c r="AU36" s="75"/>
      <c r="AV36" s="75"/>
      <c r="AW36" s="75"/>
      <c r="AX36" s="75"/>
      <c r="AY36" s="75"/>
      <c r="AZ36" s="75"/>
      <c r="BA36" s="75"/>
      <c r="BB36" s="75"/>
      <c r="BC36" s="75"/>
      <c r="BD36" s="75"/>
      <c r="BE36" s="75"/>
      <c r="BF36" s="75"/>
      <c r="BG36" s="75"/>
      <c r="BH36" s="75"/>
      <c r="BI36" s="75"/>
      <c r="BJ36" s="76"/>
      <c r="BK36" s="76"/>
      <c r="BL36" s="76"/>
      <c r="BM36" s="76"/>
      <c r="BN36" s="76"/>
      <c r="BO36" s="76"/>
      <c r="BP36" s="76"/>
      <c r="BQ36" s="76"/>
      <c r="BR36" s="76"/>
      <c r="BS36" s="76"/>
      <c r="BT36" s="76"/>
      <c r="BU36" s="76"/>
      <c r="BV36" s="76"/>
      <c r="BW36" s="76"/>
      <c r="BX36" s="76"/>
      <c r="BY36" s="76"/>
      <c r="BZ36" s="76"/>
      <c r="CA36" s="76"/>
      <c r="CB36" s="76"/>
      <c r="CC36" s="76"/>
      <c r="CD36" s="76"/>
      <c r="CE36" s="76"/>
      <c r="CF36" s="76"/>
      <c r="CG36" s="76"/>
      <c r="CH36" s="76"/>
      <c r="CI36" s="76"/>
      <c r="CJ36" s="76"/>
      <c r="CK36" s="76"/>
      <c r="CL36" s="76"/>
      <c r="CM36" s="76"/>
      <c r="CN36" s="76"/>
      <c r="CO36" s="76"/>
      <c r="CP36" s="76"/>
      <c r="CQ36" s="76"/>
      <c r="CR36" s="76"/>
      <c r="CS36" s="76"/>
      <c r="CT36" s="76"/>
      <c r="CU36" s="76"/>
      <c r="CV36" s="76"/>
      <c r="CW36" s="76"/>
      <c r="CX36" s="76"/>
      <c r="CY36" s="76"/>
      <c r="CZ36" s="76"/>
    </row>
    <row r="37" spans="1:104" s="79" customFormat="1">
      <c r="A37" s="103"/>
      <c r="B37" s="104" t="s">
        <v>153</v>
      </c>
      <c r="C37" s="98"/>
      <c r="D37" s="98"/>
      <c r="E37" s="98"/>
      <c r="F37" s="98"/>
      <c r="G37" s="98"/>
      <c r="H37" s="98"/>
      <c r="I37" s="98">
        <v>15</v>
      </c>
      <c r="J37" s="98"/>
      <c r="K37" s="98"/>
      <c r="L37" s="98"/>
      <c r="M37" s="98"/>
      <c r="N37" s="98"/>
      <c r="O37" s="98"/>
      <c r="P37" s="98"/>
      <c r="Q37" s="98">
        <v>20</v>
      </c>
      <c r="R37" s="98"/>
      <c r="S37" s="98"/>
      <c r="T37" s="98"/>
      <c r="U37" s="98"/>
      <c r="V37" s="98"/>
      <c r="W37" s="98">
        <v>16</v>
      </c>
      <c r="X37" s="158">
        <f t="shared" ca="1" si="15"/>
        <v>51.075604763725842</v>
      </c>
      <c r="Y37" s="99"/>
      <c r="Z37" s="161">
        <f t="shared" ca="1" si="16"/>
        <v>51.075604763725842</v>
      </c>
      <c r="AA37" s="106">
        <f ca="1">COUNTIF(Teams!$4:$20,B37)</f>
        <v>1</v>
      </c>
      <c r="AB37" s="106">
        <f t="shared" ca="1" si="17"/>
        <v>31</v>
      </c>
      <c r="AC37" s="184">
        <v>36</v>
      </c>
      <c r="AD37" s="75" t="str">
        <f t="shared" ca="1" si="18"/>
        <v>Kruijswijk</v>
      </c>
      <c r="AE37" s="191">
        <f t="shared" ca="1" si="19"/>
        <v>33.017095955613158</v>
      </c>
    </row>
    <row r="38" spans="1:104" s="78" customFormat="1">
      <c r="A38" s="107"/>
      <c r="B38" s="108" t="s">
        <v>152</v>
      </c>
      <c r="C38" s="109"/>
      <c r="D38" s="109"/>
      <c r="E38" s="109">
        <v>10</v>
      </c>
      <c r="F38" s="109"/>
      <c r="G38" s="109"/>
      <c r="H38" s="109"/>
      <c r="I38" s="109"/>
      <c r="J38" s="109"/>
      <c r="K38" s="109"/>
      <c r="L38" s="109"/>
      <c r="M38" s="109"/>
      <c r="N38" s="109"/>
      <c r="O38" s="109"/>
      <c r="P38" s="109"/>
      <c r="Q38" s="109"/>
      <c r="R38" s="109"/>
      <c r="S38" s="109"/>
      <c r="T38" s="109"/>
      <c r="U38" s="109"/>
      <c r="V38" s="109"/>
      <c r="W38" s="109"/>
      <c r="X38" s="159">
        <f t="shared" ca="1" si="15"/>
        <v>10.038275879654501</v>
      </c>
      <c r="Y38" s="110"/>
      <c r="Z38" s="162">
        <f t="shared" ca="1" si="16"/>
        <v>10.038275879654501</v>
      </c>
      <c r="AA38" s="106">
        <f ca="1">COUNTIF(Teams!$4:$20,B38)</f>
        <v>3</v>
      </c>
      <c r="AB38" s="106">
        <f t="shared" ca="1" si="17"/>
        <v>43</v>
      </c>
      <c r="AC38" s="184">
        <v>37</v>
      </c>
      <c r="AD38" s="75" t="str">
        <f t="shared" ca="1" si="18"/>
        <v>Arredondo</v>
      </c>
      <c r="AE38" s="191">
        <f t="shared" ca="1" si="19"/>
        <v>28.025130256466799</v>
      </c>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6"/>
      <c r="BK38" s="76"/>
      <c r="BL38" s="76"/>
      <c r="BM38" s="76"/>
      <c r="BN38" s="76"/>
      <c r="BO38" s="76"/>
      <c r="BP38" s="76"/>
      <c r="BQ38" s="76"/>
      <c r="BR38" s="76"/>
      <c r="BS38" s="76"/>
      <c r="BT38" s="76"/>
      <c r="BU38" s="76"/>
      <c r="BV38" s="76"/>
      <c r="BW38" s="76"/>
      <c r="BX38" s="76"/>
      <c r="BY38" s="76"/>
      <c r="BZ38" s="76"/>
      <c r="CA38" s="76"/>
      <c r="CB38" s="76"/>
      <c r="CC38" s="76"/>
      <c r="CD38" s="76"/>
      <c r="CE38" s="76"/>
      <c r="CF38" s="76"/>
      <c r="CG38" s="76"/>
      <c r="CH38" s="76"/>
      <c r="CI38" s="76"/>
      <c r="CJ38" s="76"/>
      <c r="CK38" s="76"/>
      <c r="CL38" s="76"/>
      <c r="CM38" s="76"/>
      <c r="CN38" s="76"/>
      <c r="CO38" s="76"/>
      <c r="CP38" s="76"/>
      <c r="CQ38" s="76"/>
      <c r="CR38" s="76"/>
      <c r="CS38" s="76"/>
      <c r="CT38" s="76"/>
      <c r="CU38" s="76"/>
      <c r="CV38" s="76"/>
      <c r="CW38" s="76"/>
      <c r="CX38" s="76"/>
      <c r="CY38" s="76"/>
      <c r="CZ38" s="76"/>
    </row>
    <row r="39" spans="1:104" s="79" customFormat="1">
      <c r="A39" s="103"/>
      <c r="B39" s="104" t="s">
        <v>90</v>
      </c>
      <c r="C39" s="98">
        <v>8</v>
      </c>
      <c r="D39" s="98"/>
      <c r="E39" s="98"/>
      <c r="F39" s="98"/>
      <c r="G39" s="98"/>
      <c r="H39" s="98"/>
      <c r="I39" s="98"/>
      <c r="J39" s="98"/>
      <c r="K39" s="98"/>
      <c r="L39" s="98"/>
      <c r="M39" s="98"/>
      <c r="N39" s="98">
        <f>14</f>
        <v>14</v>
      </c>
      <c r="O39" s="98"/>
      <c r="P39" s="98">
        <f>30</f>
        <v>30</v>
      </c>
      <c r="Q39" s="98"/>
      <c r="R39" s="98"/>
      <c r="S39" s="98">
        <f>24</f>
        <v>24</v>
      </c>
      <c r="T39" s="98"/>
      <c r="U39" s="98">
        <v>24</v>
      </c>
      <c r="V39" s="98">
        <f>35+2</f>
        <v>37</v>
      </c>
      <c r="W39" s="98">
        <v>2</v>
      </c>
      <c r="X39" s="158">
        <f t="shared" ca="1" si="15"/>
        <v>139.00067678008929</v>
      </c>
      <c r="Y39" s="99">
        <f>3+20</f>
        <v>23</v>
      </c>
      <c r="Z39" s="161">
        <f t="shared" ca="1" si="16"/>
        <v>162.00067678008929</v>
      </c>
      <c r="AA39" s="106">
        <f ca="1">COUNTIF(Teams!$4:$20,B39)</f>
        <v>10</v>
      </c>
      <c r="AB39" s="106">
        <f t="shared" ca="1" si="17"/>
        <v>13</v>
      </c>
      <c r="AC39" s="184">
        <v>38</v>
      </c>
      <c r="AD39" s="75" t="str">
        <f t="shared" ca="1" si="18"/>
        <v>Poels</v>
      </c>
      <c r="AE39" s="191">
        <f t="shared" ca="1" si="19"/>
        <v>27.043644692745186</v>
      </c>
    </row>
    <row r="40" spans="1:104" s="78" customFormat="1">
      <c r="A40" s="107"/>
      <c r="B40" s="108" t="s">
        <v>147</v>
      </c>
      <c r="C40" s="109"/>
      <c r="D40" s="109"/>
      <c r="E40" s="109"/>
      <c r="F40" s="109"/>
      <c r="G40" s="109"/>
      <c r="H40" s="109"/>
      <c r="I40" s="109"/>
      <c r="J40" s="109"/>
      <c r="K40" s="109"/>
      <c r="L40" s="109"/>
      <c r="M40" s="109"/>
      <c r="N40" s="109"/>
      <c r="O40" s="109"/>
      <c r="P40" s="109"/>
      <c r="Q40" s="109"/>
      <c r="R40" s="109"/>
      <c r="S40" s="109"/>
      <c r="T40" s="109"/>
      <c r="U40" s="109">
        <f>10</f>
        <v>10</v>
      </c>
      <c r="V40" s="109">
        <v>17</v>
      </c>
      <c r="W40" s="109"/>
      <c r="X40" s="159">
        <f t="shared" ca="1" si="3"/>
        <v>27.043644692745186</v>
      </c>
      <c r="Y40" s="110"/>
      <c r="Z40" s="162">
        <f t="shared" ca="1" si="9"/>
        <v>27.043644692745186</v>
      </c>
      <c r="AA40" s="106">
        <f ca="1">COUNTIF(Teams!$4:$20,B40)</f>
        <v>1</v>
      </c>
      <c r="AB40" s="106">
        <f t="shared" ca="1" si="5"/>
        <v>38</v>
      </c>
      <c r="AC40" s="184">
        <v>39</v>
      </c>
      <c r="AD40" s="75" t="str">
        <f t="shared" ca="1" si="6"/>
        <v>Buchmann</v>
      </c>
      <c r="AE40" s="191">
        <f t="shared" ca="1" si="2"/>
        <v>26.062222845787456</v>
      </c>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6"/>
      <c r="BK40" s="76"/>
      <c r="BL40" s="76"/>
      <c r="BM40" s="76"/>
      <c r="BN40" s="76"/>
      <c r="BO40" s="76"/>
      <c r="BP40" s="76"/>
      <c r="BQ40" s="76"/>
      <c r="BR40" s="76"/>
      <c r="BS40" s="76"/>
      <c r="BT40" s="76"/>
      <c r="BU40" s="76"/>
      <c r="BV40" s="76"/>
      <c r="BW40" s="76"/>
      <c r="BX40" s="76"/>
      <c r="BY40" s="76"/>
      <c r="BZ40" s="76"/>
      <c r="CA40" s="76"/>
      <c r="CB40" s="76"/>
      <c r="CC40" s="76"/>
      <c r="CD40" s="76"/>
      <c r="CE40" s="76"/>
      <c r="CF40" s="76"/>
      <c r="CG40" s="76"/>
      <c r="CH40" s="76"/>
      <c r="CI40" s="76"/>
      <c r="CJ40" s="76"/>
      <c r="CK40" s="76"/>
      <c r="CL40" s="76"/>
      <c r="CM40" s="76"/>
      <c r="CN40" s="76"/>
      <c r="CO40" s="76"/>
      <c r="CP40" s="76"/>
      <c r="CQ40" s="76"/>
      <c r="CR40" s="76"/>
      <c r="CS40" s="76"/>
      <c r="CT40" s="76"/>
      <c r="CU40" s="76"/>
      <c r="CV40" s="76"/>
      <c r="CW40" s="76"/>
      <c r="CX40" s="76"/>
      <c r="CY40" s="76"/>
      <c r="CZ40" s="76"/>
    </row>
    <row r="41" spans="1:104" s="79" customFormat="1">
      <c r="A41" s="103"/>
      <c r="B41" s="104" t="s">
        <v>91</v>
      </c>
      <c r="C41" s="98"/>
      <c r="D41" s="98"/>
      <c r="E41" s="98"/>
      <c r="F41" s="98"/>
      <c r="G41" s="98"/>
      <c r="H41" s="98"/>
      <c r="I41" s="98"/>
      <c r="J41" s="98"/>
      <c r="K41" s="98"/>
      <c r="L41" s="98">
        <f>30+4</f>
        <v>34</v>
      </c>
      <c r="M41" s="98">
        <v>4</v>
      </c>
      <c r="N41" s="98">
        <v>2</v>
      </c>
      <c r="O41" s="98">
        <v>2</v>
      </c>
      <c r="P41" s="98">
        <v>2</v>
      </c>
      <c r="Q41" s="98">
        <v>2</v>
      </c>
      <c r="R41" s="98">
        <v>2</v>
      </c>
      <c r="S41" s="98">
        <v>1</v>
      </c>
      <c r="T41" s="98"/>
      <c r="U41" s="98"/>
      <c r="V41" s="98">
        <f>19</f>
        <v>19</v>
      </c>
      <c r="W41" s="98"/>
      <c r="X41" s="158">
        <f t="shared" ca="1" si="3"/>
        <v>68.025664521866773</v>
      </c>
      <c r="Y41" s="99"/>
      <c r="Z41" s="161">
        <f t="shared" ca="1" si="9"/>
        <v>68.025664521866773</v>
      </c>
      <c r="AA41" s="106">
        <f ca="1">COUNTIF(Teams!$4:$20,B41)</f>
        <v>2</v>
      </c>
      <c r="AB41" s="106">
        <f t="shared" ca="1" si="5"/>
        <v>28</v>
      </c>
      <c r="AC41" s="184">
        <v>40</v>
      </c>
      <c r="AD41" s="75" t="str">
        <f t="shared" ca="1" si="6"/>
        <v>Kelderman</v>
      </c>
      <c r="AE41" s="191">
        <f t="shared" ca="1" si="2"/>
        <v>25.058341169026072</v>
      </c>
    </row>
    <row r="42" spans="1:104" s="78" customFormat="1">
      <c r="A42" s="107"/>
      <c r="B42" s="108" t="s">
        <v>94</v>
      </c>
      <c r="C42" s="109"/>
      <c r="D42" s="109"/>
      <c r="E42" s="109">
        <f>35+5</f>
        <v>40</v>
      </c>
      <c r="F42" s="109">
        <f>6+5</f>
        <v>11</v>
      </c>
      <c r="G42" s="109">
        <v>5</v>
      </c>
      <c r="H42" s="109">
        <f>13+4</f>
        <v>17</v>
      </c>
      <c r="I42" s="109">
        <v>4</v>
      </c>
      <c r="J42" s="109">
        <f>14+4</f>
        <v>18</v>
      </c>
      <c r="K42" s="109"/>
      <c r="L42" s="109"/>
      <c r="M42" s="109"/>
      <c r="N42" s="109">
        <f>35+4</f>
        <v>39</v>
      </c>
      <c r="O42" s="109">
        <v>4</v>
      </c>
      <c r="P42" s="109">
        <v>4</v>
      </c>
      <c r="Q42" s="109">
        <v>4</v>
      </c>
      <c r="R42" s="109">
        <v>4</v>
      </c>
      <c r="S42" s="109">
        <v>4</v>
      </c>
      <c r="T42" s="109">
        <v>5</v>
      </c>
      <c r="U42" s="109">
        <v>3</v>
      </c>
      <c r="V42" s="109">
        <f>14+1</f>
        <v>15</v>
      </c>
      <c r="W42" s="109">
        <v>1</v>
      </c>
      <c r="X42" s="159">
        <f t="shared" ca="1" si="3"/>
        <v>178.01066917445166</v>
      </c>
      <c r="Y42" s="110">
        <v>1</v>
      </c>
      <c r="Z42" s="162">
        <f t="shared" ca="1" si="9"/>
        <v>179.01066917445166</v>
      </c>
      <c r="AA42" s="106">
        <f ca="1">COUNTIF(Teams!$4:$20,B42)</f>
        <v>8</v>
      </c>
      <c r="AB42" s="106">
        <f t="shared" ca="1" si="5"/>
        <v>11</v>
      </c>
      <c r="AC42" s="184">
        <v>41</v>
      </c>
      <c r="AD42" s="75" t="str">
        <f t="shared" ca="1" si="6"/>
        <v>Meintjes</v>
      </c>
      <c r="AE42" s="191">
        <f t="shared" ca="1" si="2"/>
        <v>22.044047845229152</v>
      </c>
      <c r="AF42" s="75"/>
      <c r="AG42" s="75"/>
      <c r="AH42" s="75"/>
      <c r="AI42" s="75"/>
      <c r="AJ42" s="75"/>
      <c r="AK42" s="75"/>
      <c r="AL42" s="75"/>
      <c r="AM42" s="75"/>
      <c r="AN42" s="75"/>
      <c r="AO42" s="75"/>
      <c r="AP42" s="75"/>
      <c r="AQ42" s="75"/>
      <c r="AR42" s="75"/>
      <c r="AS42" s="75"/>
      <c r="AT42" s="75"/>
      <c r="AU42" s="75"/>
      <c r="AV42" s="75"/>
      <c r="AW42" s="75"/>
      <c r="AX42" s="75"/>
      <c r="AY42" s="75"/>
      <c r="AZ42" s="75"/>
      <c r="BA42" s="75"/>
      <c r="BB42" s="75"/>
      <c r="BC42" s="75"/>
      <c r="BD42" s="75"/>
      <c r="BE42" s="75"/>
      <c r="BF42" s="75"/>
      <c r="BG42" s="75"/>
      <c r="BH42" s="75"/>
      <c r="BI42" s="75"/>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row>
    <row r="43" spans="1:104" s="79" customFormat="1">
      <c r="A43" s="103"/>
      <c r="B43" s="104" t="s">
        <v>81</v>
      </c>
      <c r="C43" s="98"/>
      <c r="D43" s="98"/>
      <c r="E43" s="98">
        <v>6</v>
      </c>
      <c r="F43" s="98"/>
      <c r="G43" s="98"/>
      <c r="H43" s="98"/>
      <c r="I43" s="98"/>
      <c r="J43" s="98">
        <f>6</f>
        <v>6</v>
      </c>
      <c r="K43" s="98"/>
      <c r="L43" s="98">
        <f>18</f>
        <v>18</v>
      </c>
      <c r="M43" s="98">
        <f>10</f>
        <v>10</v>
      </c>
      <c r="N43" s="98">
        <f>11</f>
        <v>11</v>
      </c>
      <c r="O43" s="98">
        <v>7</v>
      </c>
      <c r="P43" s="98"/>
      <c r="Q43" s="98"/>
      <c r="R43" s="98"/>
      <c r="S43" s="98"/>
      <c r="T43" s="98">
        <f>30</f>
        <v>30</v>
      </c>
      <c r="U43" s="98">
        <f>15+1</f>
        <v>16</v>
      </c>
      <c r="V43" s="98">
        <f>20+1</f>
        <v>21</v>
      </c>
      <c r="W43" s="98">
        <v>1</v>
      </c>
      <c r="X43" s="158">
        <f t="shared" ca="1" si="3"/>
        <v>126.02617611132293</v>
      </c>
      <c r="Y43" s="99">
        <v>32</v>
      </c>
      <c r="Z43" s="161">
        <f t="shared" ca="1" si="9"/>
        <v>158.02617611132291</v>
      </c>
      <c r="AA43" s="106">
        <f ca="1">COUNTIF(Teams!$4:$20,B43)</f>
        <v>6</v>
      </c>
      <c r="AB43" s="106">
        <f t="shared" ca="1" si="5"/>
        <v>14</v>
      </c>
      <c r="AC43" s="184">
        <v>42</v>
      </c>
      <c r="AD43" s="75" t="str">
        <f t="shared" ca="1" si="6"/>
        <v>Bouhanni</v>
      </c>
      <c r="AE43" s="191">
        <f t="shared" ca="1" si="2"/>
        <v>20.056860563974624</v>
      </c>
    </row>
    <row r="44" spans="1:104" s="78" customFormat="1">
      <c r="A44" s="107"/>
      <c r="B44" s="108" t="s">
        <v>141</v>
      </c>
      <c r="C44" s="109"/>
      <c r="D44" s="109"/>
      <c r="E44" s="109">
        <f>18</f>
        <v>18</v>
      </c>
      <c r="F44" s="109"/>
      <c r="G44" s="109"/>
      <c r="H44" s="109"/>
      <c r="I44" s="109"/>
      <c r="J44" s="109"/>
      <c r="K44" s="109"/>
      <c r="L44" s="109"/>
      <c r="M44" s="109"/>
      <c r="N44" s="109"/>
      <c r="O44" s="109"/>
      <c r="P44" s="109">
        <v>16</v>
      </c>
      <c r="Q44" s="109"/>
      <c r="R44" s="109"/>
      <c r="S44" s="109"/>
      <c r="T44" s="109"/>
      <c r="U44" s="109"/>
      <c r="V44" s="109">
        <v>15</v>
      </c>
      <c r="W44" s="109"/>
      <c r="X44" s="159">
        <f t="shared" ca="1" si="3"/>
        <v>49.088628244576313</v>
      </c>
      <c r="Y44" s="110"/>
      <c r="Z44" s="162">
        <f t="shared" ca="1" si="9"/>
        <v>49.088628244576313</v>
      </c>
      <c r="AA44" s="106">
        <f ca="1">COUNTIF(Teams!$4:$20,B44)</f>
        <v>1</v>
      </c>
      <c r="AB44" s="106">
        <f t="shared" ca="1" si="5"/>
        <v>32</v>
      </c>
      <c r="AC44" s="184">
        <v>43</v>
      </c>
      <c r="AD44" s="75" t="str">
        <f t="shared" ca="1" si="6"/>
        <v>Peraud</v>
      </c>
      <c r="AE44" s="191">
        <f t="shared" ca="1" si="2"/>
        <v>10.038275879654501</v>
      </c>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6"/>
      <c r="BK44" s="76"/>
      <c r="BL44" s="76"/>
      <c r="BM44" s="76"/>
      <c r="BN44" s="76"/>
      <c r="BO44" s="76"/>
      <c r="BP44" s="76"/>
      <c r="BQ44" s="76"/>
      <c r="BR44" s="76"/>
      <c r="BS44" s="76"/>
      <c r="BT44" s="76"/>
      <c r="BU44" s="76"/>
      <c r="BV44" s="76"/>
      <c r="BW44" s="76"/>
      <c r="BX44" s="76"/>
      <c r="BY44" s="76"/>
      <c r="BZ44" s="76"/>
      <c r="CA44" s="76"/>
      <c r="CB44" s="76"/>
      <c r="CC44" s="76"/>
      <c r="CD44" s="76"/>
      <c r="CE44" s="76"/>
      <c r="CF44" s="76"/>
      <c r="CG44" s="76"/>
      <c r="CH44" s="76"/>
      <c r="CI44" s="76"/>
      <c r="CJ44" s="76"/>
      <c r="CK44" s="76"/>
      <c r="CL44" s="76"/>
      <c r="CM44" s="76"/>
      <c r="CN44" s="76"/>
      <c r="CO44" s="76"/>
      <c r="CP44" s="76"/>
      <c r="CQ44" s="76"/>
      <c r="CR44" s="76"/>
      <c r="CS44" s="76"/>
      <c r="CT44" s="76"/>
      <c r="CU44" s="76"/>
      <c r="CV44" s="76"/>
      <c r="CW44" s="76"/>
      <c r="CX44" s="76"/>
      <c r="CY44" s="76"/>
      <c r="CZ44" s="76"/>
    </row>
    <row r="45" spans="1:104" s="79" customFormat="1">
      <c r="A45" s="103"/>
      <c r="B45" s="104" t="s">
        <v>74</v>
      </c>
      <c r="C45" s="98">
        <v>7</v>
      </c>
      <c r="D45" s="98">
        <f>30+7+4</f>
        <v>41</v>
      </c>
      <c r="E45" s="98">
        <f>5+4</f>
        <v>9</v>
      </c>
      <c r="F45" s="98">
        <f>26+6+4</f>
        <v>36</v>
      </c>
      <c r="G45" s="98">
        <f>30+4+7</f>
        <v>41</v>
      </c>
      <c r="H45" s="98">
        <f>30+7+4</f>
        <v>41</v>
      </c>
      <c r="I45" s="98">
        <f>26+9+4</f>
        <v>39</v>
      </c>
      <c r="J45" s="98">
        <f>24+9+5</f>
        <v>38</v>
      </c>
      <c r="K45" s="98"/>
      <c r="L45" s="98">
        <v>4</v>
      </c>
      <c r="M45" s="98">
        <f>5</f>
        <v>5</v>
      </c>
      <c r="N45" s="98">
        <v>5</v>
      </c>
      <c r="O45" s="98">
        <f>30+5</f>
        <v>35</v>
      </c>
      <c r="P45" s="98">
        <f>22+5</f>
        <v>27</v>
      </c>
      <c r="Q45" s="98">
        <f>5+24</f>
        <v>29</v>
      </c>
      <c r="R45" s="98">
        <f>5+30</f>
        <v>35</v>
      </c>
      <c r="S45" s="98">
        <v>5</v>
      </c>
      <c r="T45" s="98">
        <v>5</v>
      </c>
      <c r="U45" s="98">
        <v>5</v>
      </c>
      <c r="V45" s="98">
        <v>5</v>
      </c>
      <c r="W45" s="98">
        <f>19+5</f>
        <v>24</v>
      </c>
      <c r="X45" s="158">
        <f t="shared" ca="1" si="3"/>
        <v>436.01544144758032</v>
      </c>
      <c r="Y45" s="99">
        <v>10</v>
      </c>
      <c r="Z45" s="161">
        <f t="shared" ca="1" si="9"/>
        <v>446.01544144758032</v>
      </c>
      <c r="AA45" s="106">
        <f ca="1">COUNTIF(Teams!$4:$20,B45)</f>
        <v>10</v>
      </c>
      <c r="AB45" s="106">
        <f t="shared" ca="1" si="5"/>
        <v>1</v>
      </c>
      <c r="AC45" s="184">
        <v>44</v>
      </c>
      <c r="AD45" s="75" t="str">
        <f t="shared" ca="1" si="6"/>
        <v>Kangert</v>
      </c>
      <c r="AE45" s="191">
        <f t="shared" ca="1" si="2"/>
        <v>9.0223350412144683</v>
      </c>
    </row>
    <row r="46" spans="1:104" s="78" customFormat="1">
      <c r="A46" s="107"/>
      <c r="B46" s="108" t="s">
        <v>150</v>
      </c>
      <c r="C46" s="109"/>
      <c r="D46" s="109"/>
      <c r="E46" s="109"/>
      <c r="F46" s="109"/>
      <c r="G46" s="109"/>
      <c r="H46" s="109"/>
      <c r="I46" s="109"/>
      <c r="J46" s="109"/>
      <c r="K46" s="109"/>
      <c r="L46" s="109">
        <v>7</v>
      </c>
      <c r="M46" s="109"/>
      <c r="N46" s="109"/>
      <c r="O46" s="109"/>
      <c r="P46" s="109"/>
      <c r="Q46" s="109"/>
      <c r="R46" s="109"/>
      <c r="S46" s="109"/>
      <c r="T46" s="109"/>
      <c r="U46" s="109"/>
      <c r="V46" s="109"/>
      <c r="W46" s="109"/>
      <c r="X46" s="159">
        <f t="shared" ca="1" si="3"/>
        <v>7.0549914081303795</v>
      </c>
      <c r="Y46" s="110"/>
      <c r="Z46" s="162">
        <f t="shared" ca="1" si="9"/>
        <v>7.0549914081303795</v>
      </c>
      <c r="AA46" s="106">
        <f ca="1">COUNTIF(Teams!$4:$20,B46)</f>
        <v>1</v>
      </c>
      <c r="AB46" s="106">
        <f t="shared" ca="1" si="5"/>
        <v>45</v>
      </c>
      <c r="AC46" s="184">
        <v>45</v>
      </c>
      <c r="AD46" s="75" t="str">
        <f t="shared" ca="1" si="6"/>
        <v>Sepulveda</v>
      </c>
      <c r="AE46" s="191">
        <f t="shared" ca="1" si="2"/>
        <v>7.0549914081303795</v>
      </c>
      <c r="AF46" s="75"/>
      <c r="AG46" s="75"/>
      <c r="AH46" s="75"/>
      <c r="AI46" s="75"/>
      <c r="AJ46" s="75"/>
      <c r="AK46" s="75"/>
      <c r="AL46" s="75"/>
      <c r="AM46" s="75"/>
      <c r="AN46" s="75"/>
      <c r="AO46" s="75"/>
      <c r="AP46" s="75"/>
      <c r="AQ46" s="75"/>
      <c r="AR46" s="75"/>
      <c r="AS46" s="75"/>
      <c r="AT46" s="75"/>
      <c r="AU46" s="75"/>
      <c r="AV46" s="75"/>
      <c r="AW46" s="75"/>
      <c r="AX46" s="75"/>
      <c r="AY46" s="75"/>
      <c r="AZ46" s="75"/>
      <c r="BA46" s="75"/>
      <c r="BB46" s="75"/>
      <c r="BC46" s="75"/>
      <c r="BD46" s="75"/>
      <c r="BE46" s="75"/>
      <c r="BF46" s="75"/>
      <c r="BG46" s="75"/>
      <c r="BH46" s="75"/>
      <c r="BI46" s="75"/>
      <c r="BJ46" s="76"/>
      <c r="BK46" s="76"/>
      <c r="BL46" s="76"/>
      <c r="BM46" s="76"/>
      <c r="BN46" s="76"/>
      <c r="BO46" s="76"/>
      <c r="BP46" s="76"/>
      <c r="BQ46" s="76"/>
      <c r="BR46" s="76"/>
      <c r="BS46" s="76"/>
      <c r="BT46" s="76"/>
      <c r="BU46" s="76"/>
      <c r="BV46" s="76"/>
      <c r="BW46" s="76"/>
      <c r="BX46" s="76"/>
      <c r="BY46" s="76"/>
      <c r="BZ46" s="76"/>
      <c r="CA46" s="76"/>
      <c r="CB46" s="76"/>
      <c r="CC46" s="76"/>
      <c r="CD46" s="76"/>
      <c r="CE46" s="76"/>
      <c r="CF46" s="76"/>
      <c r="CG46" s="76"/>
      <c r="CH46" s="76"/>
      <c r="CI46" s="76"/>
      <c r="CJ46" s="76"/>
      <c r="CK46" s="76"/>
      <c r="CL46" s="76"/>
      <c r="CM46" s="76"/>
      <c r="CN46" s="76"/>
      <c r="CO46" s="76"/>
      <c r="CP46" s="76"/>
      <c r="CQ46" s="76"/>
      <c r="CR46" s="76"/>
      <c r="CS46" s="76"/>
      <c r="CT46" s="76"/>
      <c r="CU46" s="76"/>
      <c r="CV46" s="76"/>
      <c r="CW46" s="76"/>
      <c r="CX46" s="76"/>
      <c r="CY46" s="76"/>
      <c r="CZ46" s="76"/>
    </row>
    <row r="47" spans="1:104" s="79" customFormat="1">
      <c r="A47" s="103"/>
      <c r="B47" s="104" t="s">
        <v>98</v>
      </c>
      <c r="C47" s="98"/>
      <c r="D47" s="98"/>
      <c r="E47" s="98"/>
      <c r="F47" s="98"/>
      <c r="G47" s="98"/>
      <c r="H47" s="98">
        <v>6</v>
      </c>
      <c r="I47" s="98"/>
      <c r="J47" s="98"/>
      <c r="K47" s="98"/>
      <c r="L47" s="98"/>
      <c r="M47" s="98">
        <v>6</v>
      </c>
      <c r="N47" s="98"/>
      <c r="O47" s="98"/>
      <c r="P47" s="98"/>
      <c r="Q47" s="98"/>
      <c r="R47" s="98"/>
      <c r="S47" s="98">
        <f>30</f>
        <v>30</v>
      </c>
      <c r="T47" s="98">
        <v>17</v>
      </c>
      <c r="U47" s="98">
        <f>14</f>
        <v>14</v>
      </c>
      <c r="V47" s="98"/>
      <c r="W47" s="98"/>
      <c r="X47" s="158">
        <f t="shared" ca="1" si="3"/>
        <v>73.023257340919173</v>
      </c>
      <c r="Y47" s="99">
        <v>30</v>
      </c>
      <c r="Z47" s="161">
        <f t="shared" ca="1" si="9"/>
        <v>103.02325734091917</v>
      </c>
      <c r="AA47" s="106">
        <f ca="1">COUNTIF(Teams!$4:$20,B47)</f>
        <v>6</v>
      </c>
      <c r="AB47" s="106">
        <f t="shared" ca="1" si="5"/>
        <v>22</v>
      </c>
      <c r="AC47" s="184">
        <v>46</v>
      </c>
      <c r="AD47" s="75" t="str">
        <f t="shared" ca="1" si="6"/>
        <v>Costa</v>
      </c>
      <c r="AE47" s="191">
        <f t="shared" ca="1" si="2"/>
        <v>8.0369351678980475E-2</v>
      </c>
    </row>
    <row r="48" spans="1:104" s="78" customFormat="1">
      <c r="A48" s="107"/>
      <c r="B48" s="108" t="s">
        <v>138</v>
      </c>
      <c r="C48" s="109">
        <v>9</v>
      </c>
      <c r="D48" s="109">
        <f>12+4</f>
        <v>16</v>
      </c>
      <c r="E48" s="109">
        <f>7+4</f>
        <v>11</v>
      </c>
      <c r="F48" s="109">
        <f>13+4</f>
        <v>17</v>
      </c>
      <c r="G48" s="109">
        <v>4</v>
      </c>
      <c r="H48" s="109">
        <f>9+4</f>
        <v>13</v>
      </c>
      <c r="I48" s="109">
        <v>5</v>
      </c>
      <c r="J48" s="109">
        <f>11+5</f>
        <v>16</v>
      </c>
      <c r="K48" s="109"/>
      <c r="L48" s="109"/>
      <c r="M48" s="109"/>
      <c r="N48" s="109"/>
      <c r="O48" s="109"/>
      <c r="P48" s="109">
        <f>24</f>
        <v>24</v>
      </c>
      <c r="Q48" s="109"/>
      <c r="R48" s="109"/>
      <c r="S48" s="109">
        <f>26</f>
        <v>26</v>
      </c>
      <c r="T48" s="109"/>
      <c r="U48" s="109"/>
      <c r="V48" s="109"/>
      <c r="W48" s="109"/>
      <c r="X48" s="159">
        <f t="shared" ca="1" si="3"/>
        <v>141.00536290997948</v>
      </c>
      <c r="Y48" s="110"/>
      <c r="Z48" s="162">
        <f t="shared" ca="1" si="9"/>
        <v>141.00536290997948</v>
      </c>
      <c r="AA48" s="106">
        <f ca="1">COUNTIF(Teams!$4:$20,B48)</f>
        <v>3</v>
      </c>
      <c r="AB48" s="106">
        <f t="shared" ca="1" si="5"/>
        <v>16</v>
      </c>
      <c r="AC48" s="184">
        <v>47</v>
      </c>
      <c r="AD48" s="75" t="str">
        <f t="shared" ca="1" si="6"/>
        <v>Kwiatkowski</v>
      </c>
      <c r="AE48" s="191">
        <f t="shared" ca="1" si="2"/>
        <v>7.3887579843106635E-2</v>
      </c>
      <c r="AF48" s="75"/>
      <c r="AG48" s="75"/>
      <c r="AH48" s="75"/>
      <c r="AI48" s="75"/>
      <c r="AJ48" s="75"/>
      <c r="AK48" s="75"/>
      <c r="AL48" s="75"/>
      <c r="AM48" s="75"/>
      <c r="AN48" s="75"/>
      <c r="AO48" s="75"/>
      <c r="AP48" s="75"/>
      <c r="AQ48" s="75"/>
      <c r="AR48" s="75"/>
      <c r="AS48" s="75"/>
      <c r="AT48" s="75"/>
      <c r="AU48" s="75"/>
      <c r="AV48" s="75"/>
      <c r="AW48" s="75"/>
      <c r="AX48" s="75"/>
      <c r="AY48" s="75"/>
      <c r="AZ48" s="75"/>
      <c r="BA48" s="75"/>
      <c r="BB48" s="75"/>
      <c r="BC48" s="75"/>
      <c r="BD48" s="75"/>
      <c r="BE48" s="75"/>
      <c r="BF48" s="75"/>
      <c r="BG48" s="75"/>
      <c r="BH48" s="75"/>
      <c r="BI48" s="75"/>
      <c r="BJ48" s="76"/>
      <c r="BK48" s="76"/>
      <c r="BL48" s="76"/>
      <c r="BM48" s="76"/>
      <c r="BN48" s="76"/>
      <c r="BO48" s="76"/>
      <c r="BP48" s="76"/>
      <c r="BQ48" s="76"/>
      <c r="BR48" s="76"/>
      <c r="BS48" s="76"/>
      <c r="BT48" s="76"/>
      <c r="BU48" s="76"/>
      <c r="BV48" s="76"/>
      <c r="BW48" s="76"/>
      <c r="BX48" s="76"/>
      <c r="BY48" s="76"/>
      <c r="BZ48" s="76"/>
      <c r="CA48" s="76"/>
      <c r="CB48" s="76"/>
      <c r="CC48" s="76"/>
      <c r="CD48" s="76"/>
      <c r="CE48" s="76"/>
      <c r="CF48" s="76"/>
      <c r="CG48" s="76"/>
      <c r="CH48" s="76"/>
      <c r="CI48" s="76"/>
      <c r="CJ48" s="76"/>
      <c r="CK48" s="76"/>
      <c r="CL48" s="76"/>
      <c r="CM48" s="76"/>
      <c r="CN48" s="76"/>
      <c r="CO48" s="76"/>
      <c r="CP48" s="76"/>
      <c r="CQ48" s="76"/>
      <c r="CR48" s="76"/>
      <c r="CS48" s="76"/>
      <c r="CT48" s="76"/>
      <c r="CU48" s="76"/>
      <c r="CV48" s="76"/>
      <c r="CW48" s="76"/>
      <c r="CX48" s="76"/>
      <c r="CY48" s="76"/>
      <c r="CZ48" s="76"/>
    </row>
    <row r="49" spans="1:104" s="79" customFormat="1">
      <c r="A49" s="103"/>
      <c r="B49" s="104" t="s">
        <v>76</v>
      </c>
      <c r="C49" s="98"/>
      <c r="D49" s="98"/>
      <c r="E49" s="98">
        <f>15</f>
        <v>15</v>
      </c>
      <c r="F49" s="98">
        <v>15</v>
      </c>
      <c r="G49" s="98"/>
      <c r="H49" s="98">
        <v>11</v>
      </c>
      <c r="I49" s="98"/>
      <c r="J49" s="98">
        <f>26</f>
        <v>26</v>
      </c>
      <c r="K49" s="98"/>
      <c r="L49" s="98">
        <f>22+7+1</f>
        <v>30</v>
      </c>
      <c r="M49" s="98">
        <f>18+7</f>
        <v>25</v>
      </c>
      <c r="N49" s="98">
        <f>17+7</f>
        <v>24</v>
      </c>
      <c r="O49" s="98">
        <f>17+7</f>
        <v>24</v>
      </c>
      <c r="P49" s="98">
        <f>7</f>
        <v>7</v>
      </c>
      <c r="Q49" s="98">
        <f>7</f>
        <v>7</v>
      </c>
      <c r="R49" s="98">
        <f>7</f>
        <v>7</v>
      </c>
      <c r="S49" s="98">
        <v>8</v>
      </c>
      <c r="T49" s="98">
        <f>13+8</f>
        <v>21</v>
      </c>
      <c r="U49" s="98">
        <f>20+8</f>
        <v>28</v>
      </c>
      <c r="V49" s="98">
        <f>24+8</f>
        <v>32</v>
      </c>
      <c r="W49" s="98">
        <f>8</f>
        <v>8</v>
      </c>
      <c r="X49" s="158">
        <f t="shared" ca="1" si="3"/>
        <v>288.0308528257716</v>
      </c>
      <c r="Y49" s="99">
        <v>52</v>
      </c>
      <c r="Z49" s="161">
        <f t="shared" ca="1" si="9"/>
        <v>340.0308528257716</v>
      </c>
      <c r="AA49" s="106">
        <f ca="1">COUNTIF(Teams!$4:$20,B49)</f>
        <v>10</v>
      </c>
      <c r="AB49" s="106">
        <f t="shared" ca="1" si="5"/>
        <v>2</v>
      </c>
      <c r="AC49" s="184">
        <v>48</v>
      </c>
      <c r="AD49" s="75" t="str">
        <f t="shared" ca="1" si="6"/>
        <v>Basso</v>
      </c>
      <c r="AE49" s="191">
        <f t="shared" ca="1" si="2"/>
        <v>6.8926163849955674E-2</v>
      </c>
    </row>
    <row r="50" spans="1:104" s="78" customFormat="1">
      <c r="A50" s="107"/>
      <c r="B50" s="108" t="s">
        <v>188</v>
      </c>
      <c r="C50" s="109"/>
      <c r="D50" s="109">
        <f>20+2</f>
        <v>22</v>
      </c>
      <c r="E50" s="109">
        <f>11+6</f>
        <v>17</v>
      </c>
      <c r="F50" s="109">
        <f>24+5</f>
        <v>29</v>
      </c>
      <c r="G50" s="109">
        <f>16+5</f>
        <v>21</v>
      </c>
      <c r="H50" s="109">
        <f>22+5</f>
        <v>27</v>
      </c>
      <c r="I50" s="109">
        <v>6</v>
      </c>
      <c r="J50" s="109">
        <f>20+6</f>
        <v>26</v>
      </c>
      <c r="K50" s="109"/>
      <c r="L50" s="109"/>
      <c r="M50" s="109"/>
      <c r="N50" s="109"/>
      <c r="O50" s="109">
        <f>35</f>
        <v>35</v>
      </c>
      <c r="P50" s="109">
        <v>10</v>
      </c>
      <c r="Q50" s="109"/>
      <c r="R50" s="109"/>
      <c r="S50" s="109"/>
      <c r="T50" s="109"/>
      <c r="U50" s="109"/>
      <c r="V50" s="109"/>
      <c r="W50" s="109"/>
      <c r="X50" s="159">
        <f t="shared" ref="X50" ca="1" si="20">SUM(C50:W50)+RAND()/10</f>
        <v>193.05122585079224</v>
      </c>
      <c r="Y50" s="110"/>
      <c r="Z50" s="162">
        <f t="shared" ref="Z50" ca="1" si="21">SUM(X50:Y50)</f>
        <v>193.05122585079224</v>
      </c>
      <c r="AA50" s="106">
        <f ca="1">COUNTIF(Teams!$4:$20,B50)</f>
        <v>1</v>
      </c>
      <c r="AB50" s="106">
        <f t="shared" ref="AB50" ca="1" si="22">RANK(Z50,$Z$2:$Z$54)</f>
        <v>7</v>
      </c>
      <c r="AC50" s="184">
        <v>49</v>
      </c>
      <c r="AD50" s="75" t="str">
        <f t="shared" ref="AD50" ca="1" si="23">INDEX($B$2:$B$54,MATCH(AC50,$AB$2:$AB$54,0))</f>
        <v>Vanmarcke</v>
      </c>
      <c r="AE50" s="191">
        <f t="shared" ref="AE50" ca="1" si="24">INDEX($Z$2:$Z$54,MATCH(AC50,$AB$2:$AB$54,0))</f>
        <v>5.4061606981161137E-2</v>
      </c>
      <c r="AF50" s="75"/>
      <c r="AG50" s="75"/>
      <c r="AH50" s="75"/>
      <c r="AI50" s="75"/>
      <c r="AJ50" s="75"/>
      <c r="AK50" s="75"/>
      <c r="AL50" s="75"/>
      <c r="AM50" s="75"/>
      <c r="AN50" s="75"/>
      <c r="AO50" s="75"/>
      <c r="AP50" s="75"/>
      <c r="AQ50" s="75"/>
      <c r="AR50" s="75"/>
      <c r="AS50" s="75"/>
      <c r="AT50" s="75"/>
      <c r="AU50" s="75"/>
      <c r="AV50" s="75"/>
      <c r="AW50" s="75"/>
      <c r="AX50" s="75"/>
      <c r="AY50" s="75"/>
      <c r="AZ50" s="75"/>
      <c r="BA50" s="75"/>
      <c r="BB50" s="75"/>
      <c r="BC50" s="75"/>
      <c r="BD50" s="75"/>
      <c r="BE50" s="75"/>
      <c r="BF50" s="75"/>
      <c r="BG50" s="75"/>
      <c r="BH50" s="75"/>
      <c r="BI50" s="75"/>
      <c r="BJ50" s="76"/>
      <c r="BK50" s="76"/>
      <c r="BL50" s="76"/>
      <c r="BM50" s="76"/>
      <c r="BN50" s="76"/>
      <c r="BO50" s="76"/>
      <c r="BP50" s="76"/>
      <c r="BQ50" s="76"/>
      <c r="BR50" s="76"/>
      <c r="BS50" s="76"/>
      <c r="BT50" s="76"/>
      <c r="BU50" s="76"/>
      <c r="BV50" s="76"/>
      <c r="BW50" s="76"/>
      <c r="BX50" s="76"/>
      <c r="BY50" s="76"/>
      <c r="BZ50" s="76"/>
      <c r="CA50" s="76"/>
      <c r="CB50" s="76"/>
      <c r="CC50" s="76"/>
      <c r="CD50" s="76"/>
      <c r="CE50" s="76"/>
      <c r="CF50" s="76"/>
      <c r="CG50" s="76"/>
      <c r="CH50" s="76"/>
      <c r="CI50" s="76"/>
      <c r="CJ50" s="76"/>
      <c r="CK50" s="76"/>
      <c r="CL50" s="76"/>
      <c r="CM50" s="76"/>
      <c r="CN50" s="76"/>
      <c r="CO50" s="76"/>
      <c r="CP50" s="76"/>
      <c r="CQ50" s="76"/>
      <c r="CR50" s="76"/>
      <c r="CS50" s="76"/>
      <c r="CT50" s="76"/>
      <c r="CU50" s="76"/>
      <c r="CV50" s="76"/>
      <c r="CW50" s="76"/>
      <c r="CX50" s="76"/>
      <c r="CY50" s="76"/>
      <c r="CZ50" s="76"/>
    </row>
    <row r="51" spans="1:104" s="78" customFormat="1">
      <c r="A51" s="107"/>
      <c r="B51" s="108" t="s">
        <v>95</v>
      </c>
      <c r="C51" s="109">
        <v>6</v>
      </c>
      <c r="D51" s="109">
        <f>15+3</f>
        <v>18</v>
      </c>
      <c r="E51" s="109">
        <f>20+8</f>
        <v>28</v>
      </c>
      <c r="F51" s="109">
        <v>8</v>
      </c>
      <c r="G51" s="109">
        <v>8</v>
      </c>
      <c r="H51" s="109">
        <v>8</v>
      </c>
      <c r="I51" s="109">
        <v>8</v>
      </c>
      <c r="J51" s="109">
        <f>16+8</f>
        <v>24</v>
      </c>
      <c r="K51" s="109">
        <v>0.1</v>
      </c>
      <c r="L51" s="109">
        <f>16+9</f>
        <v>25</v>
      </c>
      <c r="M51" s="109">
        <f>13+9</f>
        <v>22</v>
      </c>
      <c r="N51" s="109">
        <f>13+9</f>
        <v>22</v>
      </c>
      <c r="O51" s="109">
        <f>16+9</f>
        <v>25</v>
      </c>
      <c r="P51" s="109">
        <f>8</f>
        <v>8</v>
      </c>
      <c r="Q51" s="109">
        <f>8</f>
        <v>8</v>
      </c>
      <c r="R51" s="109">
        <f>8</f>
        <v>8</v>
      </c>
      <c r="S51" s="109"/>
      <c r="T51" s="109"/>
      <c r="U51" s="109"/>
      <c r="V51" s="109"/>
      <c r="W51" s="109"/>
      <c r="X51" s="159">
        <f t="shared" ca="1" si="3"/>
        <v>226.18908810956881</v>
      </c>
      <c r="Y51" s="110"/>
      <c r="Z51" s="162">
        <f t="shared" ca="1" si="9"/>
        <v>226.18908810956881</v>
      </c>
      <c r="AA51" s="106">
        <f ca="1">COUNTIF(Teams!$4:$20,B51)</f>
        <v>11</v>
      </c>
      <c r="AB51" s="106">
        <f t="shared" ca="1" si="5"/>
        <v>5</v>
      </c>
      <c r="AC51" s="184">
        <v>50</v>
      </c>
      <c r="AD51" s="75" t="str">
        <f t="shared" ca="1" si="6"/>
        <v>Konig</v>
      </c>
      <c r="AE51" s="191">
        <f t="shared" ca="1" si="2"/>
        <v>3.3016557519409059E-2</v>
      </c>
      <c r="AF51" s="75"/>
      <c r="AG51" s="75"/>
      <c r="AH51" s="75"/>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5"/>
      <c r="BH51" s="75"/>
      <c r="BI51" s="75"/>
      <c r="BJ51" s="76"/>
      <c r="BK51" s="76"/>
      <c r="BL51" s="76"/>
      <c r="BM51" s="76"/>
      <c r="BN51" s="76"/>
      <c r="BO51" s="76"/>
      <c r="BP51" s="76"/>
      <c r="BQ51" s="76"/>
      <c r="BR51" s="76"/>
      <c r="BS51" s="76"/>
      <c r="BT51" s="76"/>
      <c r="BU51" s="76"/>
      <c r="BV51" s="76"/>
      <c r="BW51" s="76"/>
      <c r="BX51" s="76"/>
      <c r="BY51" s="76"/>
      <c r="BZ51" s="76"/>
      <c r="CA51" s="76"/>
      <c r="CB51" s="76"/>
      <c r="CC51" s="76"/>
      <c r="CD51" s="76"/>
      <c r="CE51" s="76"/>
      <c r="CF51" s="76"/>
      <c r="CG51" s="76"/>
      <c r="CH51" s="76"/>
      <c r="CI51" s="76"/>
      <c r="CJ51" s="76"/>
      <c r="CK51" s="76"/>
      <c r="CL51" s="76"/>
      <c r="CM51" s="76"/>
      <c r="CN51" s="76"/>
      <c r="CO51" s="76"/>
      <c r="CP51" s="76"/>
      <c r="CQ51" s="76"/>
      <c r="CR51" s="76"/>
      <c r="CS51" s="76"/>
      <c r="CT51" s="76"/>
      <c r="CU51" s="76"/>
      <c r="CV51" s="76"/>
      <c r="CW51" s="76"/>
      <c r="CX51" s="76"/>
      <c r="CY51" s="76"/>
      <c r="CZ51" s="76"/>
    </row>
    <row r="52" spans="1:104" s="79" customFormat="1">
      <c r="A52" s="103"/>
      <c r="B52" s="104" t="s">
        <v>157</v>
      </c>
      <c r="C52" s="98"/>
      <c r="D52" s="98"/>
      <c r="E52" s="98"/>
      <c r="F52" s="98"/>
      <c r="G52" s="98"/>
      <c r="H52" s="98"/>
      <c r="I52" s="98"/>
      <c r="J52" s="98"/>
      <c r="K52" s="98"/>
      <c r="L52" s="98"/>
      <c r="M52" s="98"/>
      <c r="N52" s="98"/>
      <c r="O52" s="98"/>
      <c r="P52" s="98"/>
      <c r="Q52" s="98"/>
      <c r="R52" s="98"/>
      <c r="S52" s="98"/>
      <c r="T52" s="98"/>
      <c r="U52" s="98"/>
      <c r="V52" s="98"/>
      <c r="W52" s="98"/>
      <c r="X52" s="158">
        <f t="shared" ca="1" si="3"/>
        <v>2.7266795408266997E-2</v>
      </c>
      <c r="Y52" s="99"/>
      <c r="Z52" s="161">
        <f t="shared" ca="1" si="9"/>
        <v>2.7266795408266997E-2</v>
      </c>
      <c r="AA52" s="106">
        <f ca="1">COUNTIF(Teams!$4:$20,B52)</f>
        <v>0</v>
      </c>
      <c r="AB52" s="106">
        <f t="shared" ca="1" si="5"/>
        <v>52</v>
      </c>
      <c r="AC52" s="184">
        <v>51</v>
      </c>
      <c r="AD52" s="75" t="str">
        <f t="shared" ca="1" si="6"/>
        <v>Gerrans</v>
      </c>
      <c r="AE52" s="191">
        <f t="shared" ca="1" si="2"/>
        <v>3.1635152600679659E-2</v>
      </c>
    </row>
    <row r="53" spans="1:104" s="78" customFormat="1">
      <c r="A53" s="107"/>
      <c r="B53" s="108" t="s">
        <v>159</v>
      </c>
      <c r="C53" s="109"/>
      <c r="D53" s="109"/>
      <c r="E53" s="109"/>
      <c r="F53" s="109"/>
      <c r="G53" s="109"/>
      <c r="H53" s="109"/>
      <c r="I53" s="109"/>
      <c r="J53" s="109"/>
      <c r="K53" s="109"/>
      <c r="L53" s="109"/>
      <c r="M53" s="109"/>
      <c r="N53" s="109"/>
      <c r="O53" s="109"/>
      <c r="P53" s="109"/>
      <c r="Q53" s="109"/>
      <c r="R53" s="109"/>
      <c r="S53" s="109"/>
      <c r="T53" s="109"/>
      <c r="U53" s="109"/>
      <c r="V53" s="109"/>
      <c r="W53" s="109"/>
      <c r="X53" s="159">
        <f t="shared" ca="1" si="3"/>
        <v>2.0007606671200405E-2</v>
      </c>
      <c r="Y53" s="110"/>
      <c r="Z53" s="162">
        <f t="shared" ca="1" si="9"/>
        <v>2.0007606671200405E-2</v>
      </c>
      <c r="AA53" s="106">
        <f ca="1">COUNTIF(Teams!$4:$20,B53)</f>
        <v>1</v>
      </c>
      <c r="AB53" s="106">
        <f t="shared" ca="1" si="5"/>
        <v>53</v>
      </c>
      <c r="AC53" s="184">
        <v>52</v>
      </c>
      <c r="AD53" s="75" t="str">
        <f t="shared" ca="1" si="6"/>
        <v>Vanmarcke</v>
      </c>
      <c r="AE53" s="191">
        <f t="shared" ca="1" si="2"/>
        <v>2.7266795408266997E-2</v>
      </c>
      <c r="AF53" s="75"/>
      <c r="AG53" s="75"/>
      <c r="AH53" s="75"/>
      <c r="AI53" s="75"/>
      <c r="AJ53" s="75"/>
      <c r="AK53" s="75"/>
      <c r="AL53" s="75"/>
      <c r="AM53" s="75"/>
      <c r="AN53" s="75"/>
      <c r="AO53" s="75"/>
      <c r="AP53" s="75"/>
      <c r="AQ53" s="75"/>
      <c r="AR53" s="75"/>
      <c r="AS53" s="75"/>
      <c r="AT53" s="75"/>
      <c r="AU53" s="75"/>
      <c r="AV53" s="75"/>
      <c r="AW53" s="75"/>
      <c r="AX53" s="75"/>
      <c r="AY53" s="75"/>
      <c r="AZ53" s="75"/>
      <c r="BA53" s="75"/>
      <c r="BB53" s="75"/>
      <c r="BC53" s="75"/>
      <c r="BD53" s="75"/>
      <c r="BE53" s="75"/>
      <c r="BF53" s="75"/>
      <c r="BG53" s="75"/>
      <c r="BH53" s="75"/>
      <c r="BI53" s="75"/>
      <c r="BJ53" s="76"/>
      <c r="BK53" s="76"/>
      <c r="BL53" s="76"/>
      <c r="BM53" s="76"/>
      <c r="BN53" s="76"/>
      <c r="BO53" s="76"/>
      <c r="BP53" s="76"/>
      <c r="BQ53" s="76"/>
      <c r="BR53" s="76"/>
      <c r="BS53" s="76"/>
      <c r="BT53" s="76"/>
      <c r="BU53" s="76"/>
      <c r="BV53" s="76"/>
      <c r="BW53" s="76"/>
      <c r="BX53" s="76"/>
      <c r="BY53" s="76"/>
      <c r="BZ53" s="76"/>
      <c r="CA53" s="76"/>
      <c r="CB53" s="76"/>
      <c r="CC53" s="76"/>
      <c r="CD53" s="76"/>
      <c r="CE53" s="76"/>
      <c r="CF53" s="76"/>
      <c r="CG53" s="76"/>
      <c r="CH53" s="76"/>
      <c r="CI53" s="76"/>
      <c r="CJ53" s="76"/>
      <c r="CK53" s="76"/>
      <c r="CL53" s="76"/>
      <c r="CM53" s="76"/>
      <c r="CN53" s="76"/>
      <c r="CO53" s="76"/>
      <c r="CP53" s="76"/>
      <c r="CQ53" s="76"/>
      <c r="CR53" s="76"/>
      <c r="CS53" s="76"/>
      <c r="CT53" s="76"/>
      <c r="CU53" s="76"/>
      <c r="CV53" s="76"/>
      <c r="CW53" s="76"/>
      <c r="CX53" s="76"/>
      <c r="CY53" s="76"/>
      <c r="CZ53" s="76"/>
    </row>
    <row r="54" spans="1:104" s="79" customFormat="1">
      <c r="A54" s="103"/>
      <c r="B54" s="104" t="s">
        <v>157</v>
      </c>
      <c r="C54" s="98"/>
      <c r="D54" s="98"/>
      <c r="E54" s="98"/>
      <c r="F54" s="98"/>
      <c r="G54" s="98"/>
      <c r="H54" s="98"/>
      <c r="I54" s="98"/>
      <c r="J54" s="98"/>
      <c r="K54" s="98"/>
      <c r="L54" s="98"/>
      <c r="M54" s="98"/>
      <c r="N54" s="98"/>
      <c r="O54" s="98"/>
      <c r="P54" s="98"/>
      <c r="Q54" s="98"/>
      <c r="R54" s="98"/>
      <c r="S54" s="98"/>
      <c r="T54" s="98"/>
      <c r="U54" s="98"/>
      <c r="V54" s="98"/>
      <c r="W54" s="98"/>
      <c r="X54" s="158">
        <f t="shared" ca="1" si="3"/>
        <v>5.4061606981161137E-2</v>
      </c>
      <c r="Y54" s="99"/>
      <c r="Z54" s="161">
        <f t="shared" ca="1" si="9"/>
        <v>5.4061606981161137E-2</v>
      </c>
      <c r="AA54" s="106">
        <f ca="1">COUNTIF(Teams!$4:$20,B54)</f>
        <v>0</v>
      </c>
      <c r="AB54" s="106">
        <f t="shared" ca="1" si="5"/>
        <v>49</v>
      </c>
      <c r="AC54" s="184">
        <v>53</v>
      </c>
      <c r="AD54" s="75" t="str">
        <f t="shared" ca="1" si="6"/>
        <v>Zubeldia</v>
      </c>
      <c r="AE54" s="191">
        <f t="shared" ca="1" si="2"/>
        <v>2.0007606671200405E-2</v>
      </c>
    </row>
    <row r="55" spans="1:104" s="78" customFormat="1">
      <c r="A55" s="112"/>
      <c r="B55" s="113"/>
      <c r="C55" s="114"/>
      <c r="D55" s="114"/>
      <c r="E55" s="114"/>
      <c r="F55" s="114"/>
      <c r="G55" s="114"/>
      <c r="H55" s="114"/>
      <c r="I55" s="114"/>
      <c r="J55" s="114"/>
      <c r="K55" s="114"/>
      <c r="L55" s="114"/>
      <c r="M55" s="114"/>
      <c r="N55" s="114"/>
      <c r="O55" s="114"/>
      <c r="P55" s="114"/>
      <c r="Q55" s="114"/>
      <c r="R55" s="114"/>
      <c r="S55" s="114"/>
      <c r="T55" s="114"/>
      <c r="U55" s="114"/>
      <c r="V55" s="114"/>
      <c r="W55" s="114"/>
      <c r="X55" s="160"/>
      <c r="Y55" s="111"/>
      <c r="Z55" s="160"/>
      <c r="AA55" s="106"/>
      <c r="AB55" s="106"/>
      <c r="AC55" s="184"/>
      <c r="AD55" s="75"/>
      <c r="AE55" s="75"/>
      <c r="AF55" s="75"/>
      <c r="AG55" s="75"/>
      <c r="AH55" s="75"/>
      <c r="AI55" s="75"/>
      <c r="AJ55" s="75"/>
      <c r="AK55" s="75"/>
      <c r="AL55" s="75"/>
      <c r="AM55" s="75"/>
      <c r="AN55" s="75"/>
      <c r="AO55" s="75"/>
      <c r="AP55" s="75"/>
      <c r="AQ55" s="75"/>
      <c r="AR55" s="75"/>
      <c r="AS55" s="75"/>
      <c r="AT55" s="75"/>
      <c r="AU55" s="75"/>
      <c r="AV55" s="75"/>
      <c r="AW55" s="75"/>
      <c r="AX55" s="75"/>
      <c r="AY55" s="75"/>
      <c r="AZ55" s="75"/>
      <c r="BA55" s="75"/>
      <c r="BB55" s="75"/>
      <c r="BC55" s="75"/>
      <c r="BD55" s="75"/>
      <c r="BE55" s="75"/>
      <c r="BF55" s="75"/>
      <c r="BG55" s="75"/>
      <c r="BH55" s="75"/>
      <c r="BI55" s="75"/>
      <c r="BJ55" s="76"/>
      <c r="BK55" s="76"/>
      <c r="BL55" s="76"/>
      <c r="BM55" s="76"/>
      <c r="BN55" s="76"/>
      <c r="BO55" s="76"/>
      <c r="BP55" s="76"/>
      <c r="BQ55" s="76"/>
      <c r="BR55" s="76"/>
      <c r="BS55" s="76"/>
      <c r="BT55" s="76"/>
      <c r="BU55" s="76"/>
      <c r="BV55" s="76"/>
      <c r="BW55" s="76"/>
      <c r="BX55" s="76"/>
      <c r="BY55" s="76"/>
      <c r="BZ55" s="76"/>
      <c r="CA55" s="76"/>
      <c r="CB55" s="76"/>
      <c r="CC55" s="76"/>
      <c r="CD55" s="76"/>
      <c r="CE55" s="76"/>
      <c r="CF55" s="76"/>
      <c r="CG55" s="76"/>
      <c r="CH55" s="76"/>
      <c r="CI55" s="76"/>
      <c r="CJ55" s="76"/>
      <c r="CK55" s="76"/>
      <c r="CL55" s="76"/>
      <c r="CM55" s="76"/>
      <c r="CN55" s="76"/>
      <c r="CO55" s="76"/>
      <c r="CP55" s="76"/>
      <c r="CQ55" s="76"/>
      <c r="CR55" s="76"/>
      <c r="CS55" s="76"/>
      <c r="CT55" s="76"/>
      <c r="CU55" s="76"/>
      <c r="CV55" s="76"/>
      <c r="CW55" s="76"/>
      <c r="CX55" s="76"/>
      <c r="CY55" s="76"/>
      <c r="CZ55" s="76"/>
    </row>
    <row r="56" spans="1:104" s="76" customFormat="1">
      <c r="A56" s="112"/>
      <c r="B56" s="113"/>
      <c r="C56" s="114"/>
      <c r="D56" s="114"/>
      <c r="E56" s="114"/>
      <c r="F56" s="114"/>
      <c r="G56" s="114"/>
      <c r="H56" s="114"/>
      <c r="I56" s="114"/>
      <c r="J56" s="114"/>
      <c r="K56" s="114"/>
      <c r="L56" s="114"/>
      <c r="M56" s="114"/>
      <c r="N56" s="114"/>
      <c r="O56" s="114"/>
      <c r="P56" s="114"/>
      <c r="Q56" s="114"/>
      <c r="R56" s="114"/>
      <c r="S56" s="114"/>
      <c r="T56" s="114"/>
      <c r="U56" s="114"/>
      <c r="V56" s="114"/>
      <c r="W56" s="114"/>
      <c r="X56" s="160"/>
      <c r="Y56" s="111"/>
      <c r="Z56" s="160"/>
      <c r="AA56" s="106"/>
      <c r="AB56" s="106"/>
      <c r="AC56" s="184"/>
      <c r="AD56" s="75"/>
      <c r="AE56" s="75"/>
      <c r="AF56" s="75"/>
      <c r="AG56" s="75"/>
      <c r="AH56" s="75"/>
      <c r="AI56" s="75"/>
      <c r="AJ56" s="75"/>
      <c r="AK56" s="75"/>
      <c r="AL56" s="75"/>
      <c r="AM56" s="75"/>
      <c r="AN56" s="75"/>
      <c r="AO56" s="75"/>
      <c r="AP56" s="75"/>
      <c r="AQ56" s="75"/>
      <c r="AR56" s="75"/>
      <c r="AS56" s="75"/>
      <c r="AT56" s="75"/>
      <c r="AU56" s="75"/>
      <c r="AV56" s="75"/>
      <c r="AW56" s="75"/>
      <c r="AX56" s="75"/>
      <c r="AY56" s="75"/>
      <c r="AZ56" s="75"/>
      <c r="BA56" s="75"/>
      <c r="BB56" s="75"/>
      <c r="BC56" s="75"/>
      <c r="BD56" s="75"/>
      <c r="BE56" s="75"/>
      <c r="BF56" s="75"/>
      <c r="BG56" s="75"/>
      <c r="BH56" s="75"/>
      <c r="BI56" s="75"/>
    </row>
    <row r="57" spans="1:104" s="78" customFormat="1">
      <c r="A57" s="112"/>
      <c r="B57" s="113"/>
      <c r="C57" s="114"/>
      <c r="D57" s="114"/>
      <c r="E57" s="114"/>
      <c r="F57" s="114"/>
      <c r="G57" s="114"/>
      <c r="H57" s="114"/>
      <c r="I57" s="114"/>
      <c r="J57" s="114"/>
      <c r="K57" s="114"/>
      <c r="L57" s="114"/>
      <c r="M57" s="114"/>
      <c r="N57" s="114"/>
      <c r="O57" s="114"/>
      <c r="P57" s="114"/>
      <c r="Q57" s="114"/>
      <c r="R57" s="114"/>
      <c r="S57" s="114"/>
      <c r="T57" s="114"/>
      <c r="U57" s="114"/>
      <c r="V57" s="114"/>
      <c r="W57" s="114"/>
      <c r="X57" s="160"/>
      <c r="Y57" s="111"/>
      <c r="Z57" s="160"/>
      <c r="AA57" s="106"/>
      <c r="AB57" s="106"/>
      <c r="AC57" s="184"/>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c r="BI57" s="75"/>
      <c r="BJ57" s="76"/>
      <c r="BK57" s="76"/>
      <c r="BL57" s="76"/>
      <c r="BM57" s="76"/>
      <c r="BN57" s="76"/>
      <c r="BO57" s="76"/>
      <c r="BP57" s="76"/>
      <c r="BQ57" s="76"/>
      <c r="BR57" s="76"/>
      <c r="BS57" s="76"/>
      <c r="BT57" s="76"/>
      <c r="BU57" s="76"/>
      <c r="BV57" s="76"/>
      <c r="BW57" s="76"/>
      <c r="BX57" s="76"/>
      <c r="BY57" s="76"/>
      <c r="BZ57" s="76"/>
      <c r="CA57" s="76"/>
      <c r="CB57" s="76"/>
      <c r="CC57" s="76"/>
      <c r="CD57" s="76"/>
      <c r="CE57" s="76"/>
      <c r="CF57" s="76"/>
      <c r="CG57" s="76"/>
      <c r="CH57" s="76"/>
      <c r="CI57" s="76"/>
      <c r="CJ57" s="76"/>
      <c r="CK57" s="76"/>
      <c r="CL57" s="76"/>
      <c r="CM57" s="76"/>
      <c r="CN57" s="76"/>
      <c r="CO57" s="76"/>
      <c r="CP57" s="76"/>
      <c r="CQ57" s="76"/>
      <c r="CR57" s="76"/>
      <c r="CS57" s="76"/>
      <c r="CT57" s="76"/>
      <c r="CU57" s="76"/>
      <c r="CV57" s="76"/>
      <c r="CW57" s="76"/>
      <c r="CX57" s="76"/>
      <c r="CY57" s="76"/>
      <c r="CZ57" s="76"/>
    </row>
    <row r="58" spans="1:104" s="76" customFormat="1">
      <c r="A58" s="112"/>
      <c r="B58" s="113"/>
      <c r="C58" s="114"/>
      <c r="D58" s="114"/>
      <c r="E58" s="114"/>
      <c r="F58" s="114"/>
      <c r="G58" s="114"/>
      <c r="H58" s="114"/>
      <c r="I58" s="114"/>
      <c r="J58" s="114"/>
      <c r="K58" s="115" t="s">
        <v>22</v>
      </c>
      <c r="L58" s="115"/>
      <c r="M58" s="114"/>
      <c r="N58" s="114"/>
      <c r="O58" s="114"/>
      <c r="P58" s="114"/>
      <c r="Q58" s="114"/>
      <c r="R58" s="114"/>
      <c r="S58" s="114"/>
      <c r="T58" s="114"/>
      <c r="U58" s="114"/>
      <c r="V58" s="114"/>
      <c r="W58" s="114"/>
      <c r="X58" s="160"/>
      <c r="Y58" s="111"/>
      <c r="Z58" s="160"/>
      <c r="AA58" s="106"/>
      <c r="AB58" s="106"/>
      <c r="AC58" s="184"/>
      <c r="AD58" s="75"/>
      <c r="AE58" s="75"/>
      <c r="AF58" s="75"/>
      <c r="AG58" s="75"/>
      <c r="AH58" s="75"/>
      <c r="AI58" s="75"/>
      <c r="AJ58" s="75"/>
      <c r="AK58" s="75"/>
      <c r="AL58" s="75"/>
      <c r="AM58" s="75"/>
      <c r="AN58" s="75"/>
      <c r="AO58" s="75"/>
      <c r="AP58" s="75"/>
      <c r="AQ58" s="75"/>
      <c r="AR58" s="75"/>
      <c r="AS58" s="75"/>
      <c r="AT58" s="75"/>
      <c r="AU58" s="75"/>
      <c r="AV58" s="75"/>
      <c r="AW58" s="75"/>
      <c r="AX58" s="75"/>
      <c r="AY58" s="75"/>
      <c r="AZ58" s="75"/>
      <c r="BA58" s="75"/>
      <c r="BB58" s="75"/>
      <c r="BC58" s="75"/>
      <c r="BD58" s="75"/>
      <c r="BE58" s="75"/>
      <c r="BF58" s="75"/>
      <c r="BG58" s="75"/>
      <c r="BH58" s="75"/>
      <c r="BI58" s="75"/>
    </row>
    <row r="59" spans="1:104" s="78" customFormat="1" ht="63">
      <c r="A59" s="84"/>
      <c r="B59" s="34"/>
      <c r="C59" s="88"/>
      <c r="D59" s="88"/>
      <c r="E59" s="92" t="s">
        <v>18</v>
      </c>
      <c r="F59" s="93" t="s">
        <v>17</v>
      </c>
      <c r="G59" s="93" t="s">
        <v>19</v>
      </c>
      <c r="H59" s="96" t="s">
        <v>20</v>
      </c>
      <c r="I59" s="96" t="s">
        <v>21</v>
      </c>
      <c r="J59" s="88"/>
      <c r="K59" s="92"/>
      <c r="L59" s="92" t="s">
        <v>54</v>
      </c>
      <c r="M59" s="93" t="s">
        <v>21</v>
      </c>
      <c r="N59" s="96" t="s">
        <v>53</v>
      </c>
      <c r="O59" s="88"/>
      <c r="P59" s="88"/>
      <c r="Q59" s="88"/>
      <c r="R59" s="90"/>
      <c r="S59" s="102"/>
      <c r="T59" s="102"/>
      <c r="U59" s="101"/>
      <c r="V59" s="90"/>
      <c r="W59" s="90"/>
      <c r="X59" s="157"/>
      <c r="Y59" s="74"/>
      <c r="Z59" s="35"/>
      <c r="AA59" s="106"/>
      <c r="AB59" s="106"/>
      <c r="AC59" s="184"/>
      <c r="AD59" s="75"/>
      <c r="AE59" s="75"/>
      <c r="AF59" s="75"/>
      <c r="AG59" s="75"/>
      <c r="AH59" s="75"/>
      <c r="AI59" s="75"/>
      <c r="AJ59" s="75"/>
      <c r="AK59" s="75"/>
      <c r="AL59" s="75"/>
      <c r="AM59" s="75"/>
      <c r="AN59" s="75"/>
      <c r="AO59" s="75"/>
      <c r="AP59" s="75"/>
      <c r="AQ59" s="75"/>
      <c r="AR59" s="75"/>
      <c r="AS59" s="75"/>
      <c r="AT59" s="75"/>
      <c r="AU59" s="75"/>
      <c r="AV59" s="75"/>
      <c r="AW59" s="75"/>
      <c r="AX59" s="75"/>
      <c r="AY59" s="75"/>
      <c r="AZ59" s="75"/>
      <c r="BA59" s="75"/>
      <c r="BB59" s="75"/>
      <c r="BC59" s="75"/>
      <c r="BD59" s="75"/>
      <c r="BE59" s="75"/>
      <c r="BF59" s="75"/>
      <c r="BG59" s="75"/>
      <c r="BH59" s="75"/>
      <c r="BI59" s="75"/>
      <c r="BJ59" s="76"/>
      <c r="BK59" s="76"/>
      <c r="BL59" s="76"/>
      <c r="BM59" s="76"/>
      <c r="BN59" s="76"/>
      <c r="BO59" s="76"/>
      <c r="BP59" s="76"/>
      <c r="BQ59" s="76"/>
      <c r="BR59" s="76"/>
      <c r="BS59" s="76"/>
      <c r="BT59" s="76"/>
      <c r="BU59" s="76"/>
      <c r="BV59" s="76"/>
      <c r="BW59" s="76"/>
      <c r="BX59" s="76"/>
      <c r="BY59" s="76"/>
      <c r="BZ59" s="76"/>
      <c r="CA59" s="76"/>
      <c r="CB59" s="76"/>
      <c r="CC59" s="76"/>
      <c r="CD59" s="76"/>
      <c r="CE59" s="76"/>
      <c r="CF59" s="76"/>
      <c r="CG59" s="76"/>
      <c r="CH59" s="76"/>
      <c r="CI59" s="76"/>
      <c r="CJ59" s="76"/>
      <c r="CK59" s="76"/>
      <c r="CL59" s="76"/>
      <c r="CM59" s="76"/>
      <c r="CN59" s="76"/>
      <c r="CO59" s="76"/>
      <c r="CP59" s="76"/>
      <c r="CQ59" s="76"/>
      <c r="CR59" s="76"/>
      <c r="CS59" s="76"/>
      <c r="CT59" s="76"/>
      <c r="CU59" s="76"/>
      <c r="CV59" s="76"/>
      <c r="CW59" s="76"/>
      <c r="CX59" s="76"/>
      <c r="CY59" s="76"/>
      <c r="CZ59" s="76"/>
    </row>
    <row r="60" spans="1:104" s="78" customFormat="1" ht="15.75">
      <c r="A60" s="84"/>
      <c r="B60" s="34"/>
      <c r="C60" s="88"/>
      <c r="D60" s="88"/>
      <c r="E60" s="92">
        <v>1</v>
      </c>
      <c r="F60" s="93">
        <v>35</v>
      </c>
      <c r="G60" s="93">
        <v>10</v>
      </c>
      <c r="H60" s="96">
        <v>5</v>
      </c>
      <c r="I60" s="96">
        <v>5</v>
      </c>
      <c r="J60" s="88"/>
      <c r="K60" s="92">
        <v>1</v>
      </c>
      <c r="L60" s="92">
        <v>70</v>
      </c>
      <c r="M60" s="93">
        <v>10</v>
      </c>
      <c r="N60" s="96">
        <v>10</v>
      </c>
      <c r="O60" s="88"/>
      <c r="P60" s="88"/>
      <c r="Q60" s="88"/>
      <c r="R60" s="90"/>
      <c r="S60" s="102"/>
      <c r="T60" s="102"/>
      <c r="U60" s="101"/>
      <c r="V60" s="90"/>
      <c r="W60" s="90"/>
      <c r="X60" s="157"/>
      <c r="Y60" s="74"/>
      <c r="Z60" s="35"/>
      <c r="AA60" s="106"/>
      <c r="AB60" s="106"/>
      <c r="AC60" s="184"/>
      <c r="AD60" s="75"/>
      <c r="AE60" s="75"/>
      <c r="AF60" s="75"/>
      <c r="AG60" s="75"/>
      <c r="AH60" s="75"/>
      <c r="AI60" s="75"/>
      <c r="AJ60" s="75"/>
      <c r="AK60" s="75"/>
      <c r="AL60" s="75"/>
      <c r="AM60" s="75"/>
      <c r="AN60" s="75"/>
      <c r="AO60" s="75"/>
      <c r="AP60" s="75"/>
      <c r="AQ60" s="75"/>
      <c r="AR60" s="75"/>
      <c r="AS60" s="75"/>
      <c r="AT60" s="75"/>
      <c r="AU60" s="75"/>
      <c r="AV60" s="75"/>
      <c r="AW60" s="75"/>
      <c r="AX60" s="75"/>
      <c r="AY60" s="75"/>
      <c r="AZ60" s="75"/>
      <c r="BA60" s="75"/>
      <c r="BB60" s="75"/>
      <c r="BC60" s="75"/>
      <c r="BD60" s="75"/>
      <c r="BE60" s="75"/>
      <c r="BF60" s="75"/>
      <c r="BG60" s="75"/>
      <c r="BH60" s="75"/>
      <c r="BI60" s="75"/>
      <c r="BJ60" s="76"/>
      <c r="BK60" s="76"/>
      <c r="BL60" s="76"/>
      <c r="BM60" s="76"/>
      <c r="BN60" s="76"/>
      <c r="BO60" s="76"/>
      <c r="BP60" s="76"/>
      <c r="BQ60" s="76"/>
      <c r="BR60" s="76"/>
      <c r="BS60" s="76"/>
      <c r="BT60" s="76"/>
      <c r="BU60" s="76"/>
      <c r="BV60" s="76"/>
      <c r="BW60" s="76"/>
      <c r="BX60" s="76"/>
      <c r="BY60" s="76"/>
      <c r="BZ60" s="76"/>
      <c r="CA60" s="76"/>
      <c r="CB60" s="76"/>
      <c r="CC60" s="76"/>
      <c r="CD60" s="76"/>
      <c r="CE60" s="76"/>
      <c r="CF60" s="76"/>
      <c r="CG60" s="76"/>
      <c r="CH60" s="76"/>
      <c r="CI60" s="76"/>
      <c r="CJ60" s="76"/>
      <c r="CK60" s="76"/>
      <c r="CL60" s="76"/>
      <c r="CM60" s="76"/>
      <c r="CN60" s="76"/>
      <c r="CO60" s="76"/>
      <c r="CP60" s="76"/>
      <c r="CQ60" s="76"/>
      <c r="CR60" s="76"/>
      <c r="CS60" s="76"/>
      <c r="CT60" s="76"/>
      <c r="CU60" s="76"/>
      <c r="CV60" s="76"/>
      <c r="CW60" s="76"/>
      <c r="CX60" s="76"/>
      <c r="CY60" s="76"/>
      <c r="CZ60" s="76"/>
    </row>
    <row r="61" spans="1:104" s="78" customFormat="1" ht="15.75">
      <c r="A61" s="84"/>
      <c r="B61" s="34"/>
      <c r="C61" s="88"/>
      <c r="D61" s="88"/>
      <c r="E61" s="92">
        <v>2</v>
      </c>
      <c r="F61" s="93">
        <v>30</v>
      </c>
      <c r="G61" s="93">
        <v>9</v>
      </c>
      <c r="H61" s="96">
        <v>4</v>
      </c>
      <c r="I61" s="96">
        <v>4</v>
      </c>
      <c r="J61" s="88"/>
      <c r="K61" s="92">
        <v>2</v>
      </c>
      <c r="L61" s="92">
        <v>60</v>
      </c>
      <c r="M61" s="93">
        <v>7</v>
      </c>
      <c r="N61" s="96">
        <v>7</v>
      </c>
      <c r="O61" s="88"/>
      <c r="P61" s="88"/>
      <c r="Q61" s="88"/>
      <c r="R61" s="90"/>
      <c r="S61" s="102"/>
      <c r="T61" s="102"/>
      <c r="U61" s="101"/>
      <c r="V61" s="90"/>
      <c r="W61" s="90"/>
      <c r="X61" s="157"/>
      <c r="Y61" s="74"/>
      <c r="Z61" s="35"/>
      <c r="AA61" s="106"/>
      <c r="AB61" s="106"/>
      <c r="AC61" s="184"/>
      <c r="AD61" s="75"/>
      <c r="AE61" s="75"/>
      <c r="AF61" s="75"/>
      <c r="AG61" s="75"/>
      <c r="AH61" s="75"/>
      <c r="AI61" s="75"/>
      <c r="AJ61" s="75"/>
      <c r="AK61" s="75"/>
      <c r="AL61" s="75"/>
      <c r="AM61" s="75"/>
      <c r="AN61" s="75"/>
      <c r="AO61" s="75"/>
      <c r="AP61" s="75"/>
      <c r="AQ61" s="75"/>
      <c r="AR61" s="75"/>
      <c r="AS61" s="75"/>
      <c r="AT61" s="75"/>
      <c r="AU61" s="75"/>
      <c r="AV61" s="75"/>
      <c r="AW61" s="75"/>
      <c r="AX61" s="75"/>
      <c r="AY61" s="75"/>
      <c r="AZ61" s="75"/>
      <c r="BA61" s="75"/>
      <c r="BB61" s="75"/>
      <c r="BC61" s="75"/>
      <c r="BD61" s="75"/>
      <c r="BE61" s="75"/>
      <c r="BF61" s="75"/>
      <c r="BG61" s="75"/>
      <c r="BH61" s="75"/>
      <c r="BI61" s="75"/>
      <c r="BJ61" s="76"/>
      <c r="BK61" s="76"/>
      <c r="BL61" s="76"/>
      <c r="BM61" s="76"/>
      <c r="BN61" s="76"/>
      <c r="BO61" s="76"/>
      <c r="BP61" s="76"/>
      <c r="BQ61" s="76"/>
      <c r="BR61" s="76"/>
      <c r="BS61" s="76"/>
      <c r="BT61" s="76"/>
      <c r="BU61" s="76"/>
      <c r="BV61" s="76"/>
      <c r="BW61" s="76"/>
      <c r="BX61" s="76"/>
      <c r="BY61" s="76"/>
      <c r="BZ61" s="76"/>
      <c r="CA61" s="76"/>
      <c r="CB61" s="76"/>
      <c r="CC61" s="76"/>
      <c r="CD61" s="76"/>
      <c r="CE61" s="76"/>
      <c r="CF61" s="76"/>
      <c r="CG61" s="76"/>
      <c r="CH61" s="76"/>
      <c r="CI61" s="76"/>
      <c r="CJ61" s="76"/>
      <c r="CK61" s="76"/>
      <c r="CL61" s="76"/>
      <c r="CM61" s="76"/>
      <c r="CN61" s="76"/>
      <c r="CO61" s="76"/>
      <c r="CP61" s="76"/>
      <c r="CQ61" s="76"/>
      <c r="CR61" s="76"/>
      <c r="CS61" s="76"/>
      <c r="CT61" s="76"/>
      <c r="CU61" s="76"/>
      <c r="CV61" s="76"/>
      <c r="CW61" s="76"/>
      <c r="CX61" s="76"/>
      <c r="CY61" s="76"/>
      <c r="CZ61" s="76"/>
    </row>
    <row r="62" spans="1:104" s="78" customFormat="1" ht="15.75">
      <c r="A62" s="84"/>
      <c r="B62" s="34"/>
      <c r="C62" s="88"/>
      <c r="D62" s="88"/>
      <c r="E62" s="92">
        <v>3</v>
      </c>
      <c r="F62" s="93">
        <v>26</v>
      </c>
      <c r="G62" s="93">
        <v>8</v>
      </c>
      <c r="H62" s="96">
        <v>3</v>
      </c>
      <c r="I62" s="96">
        <v>3</v>
      </c>
      <c r="J62" s="88"/>
      <c r="K62" s="92">
        <v>3</v>
      </c>
      <c r="L62" s="92">
        <v>52</v>
      </c>
      <c r="M62" s="93">
        <v>5</v>
      </c>
      <c r="N62" s="96">
        <v>5</v>
      </c>
      <c r="O62" s="88"/>
      <c r="P62" s="88"/>
      <c r="Q62" s="88"/>
      <c r="R62" s="90"/>
      <c r="S62" s="102"/>
      <c r="T62" s="102"/>
      <c r="U62" s="101"/>
      <c r="V62" s="90"/>
      <c r="W62" s="90"/>
      <c r="X62" s="157"/>
      <c r="Y62" s="74"/>
      <c r="Z62" s="35"/>
      <c r="AA62" s="106"/>
      <c r="AB62" s="106"/>
      <c r="AC62" s="184"/>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6"/>
      <c r="BK62" s="76"/>
      <c r="BL62" s="76"/>
      <c r="BM62" s="76"/>
      <c r="BN62" s="76"/>
      <c r="BO62" s="76"/>
      <c r="BP62" s="76"/>
      <c r="BQ62" s="76"/>
      <c r="BR62" s="76"/>
      <c r="BS62" s="76"/>
      <c r="BT62" s="76"/>
      <c r="BU62" s="76"/>
      <c r="BV62" s="76"/>
      <c r="BW62" s="76"/>
      <c r="BX62" s="76"/>
      <c r="BY62" s="76"/>
      <c r="BZ62" s="76"/>
      <c r="CA62" s="76"/>
      <c r="CB62" s="76"/>
      <c r="CC62" s="76"/>
      <c r="CD62" s="76"/>
      <c r="CE62" s="76"/>
      <c r="CF62" s="76"/>
      <c r="CG62" s="76"/>
      <c r="CH62" s="76"/>
      <c r="CI62" s="76"/>
      <c r="CJ62" s="76"/>
      <c r="CK62" s="76"/>
      <c r="CL62" s="76"/>
      <c r="CM62" s="76"/>
      <c r="CN62" s="76"/>
      <c r="CO62" s="76"/>
      <c r="CP62" s="76"/>
      <c r="CQ62" s="76"/>
      <c r="CR62" s="76"/>
      <c r="CS62" s="76"/>
      <c r="CT62" s="76"/>
      <c r="CU62" s="76"/>
      <c r="CV62" s="76"/>
      <c r="CW62" s="76"/>
      <c r="CX62" s="76"/>
      <c r="CY62" s="76"/>
      <c r="CZ62" s="76"/>
    </row>
    <row r="63" spans="1:104" s="78" customFormat="1" ht="15.75">
      <c r="A63" s="84"/>
      <c r="B63" s="34"/>
      <c r="C63" s="88"/>
      <c r="D63" s="88"/>
      <c r="E63" s="92">
        <v>4</v>
      </c>
      <c r="F63" s="93">
        <v>24</v>
      </c>
      <c r="G63" s="93">
        <v>7</v>
      </c>
      <c r="H63" s="96">
        <v>2</v>
      </c>
      <c r="I63" s="96">
        <v>2</v>
      </c>
      <c r="J63" s="88"/>
      <c r="K63" s="92">
        <v>4</v>
      </c>
      <c r="L63" s="92">
        <v>48</v>
      </c>
      <c r="M63" s="93">
        <v>3</v>
      </c>
      <c r="N63" s="96">
        <v>3</v>
      </c>
      <c r="O63" s="88"/>
      <c r="P63" s="88"/>
      <c r="Q63" s="88"/>
      <c r="R63" s="90"/>
      <c r="S63" s="102"/>
      <c r="T63" s="102"/>
      <c r="U63" s="101"/>
      <c r="V63" s="90"/>
      <c r="W63" s="90"/>
      <c r="X63" s="157"/>
      <c r="Y63" s="74"/>
      <c r="Z63" s="35"/>
      <c r="AA63" s="106"/>
      <c r="AB63" s="106"/>
      <c r="AC63" s="184"/>
      <c r="AD63" s="75"/>
      <c r="AE63" s="75"/>
      <c r="AF63" s="75"/>
      <c r="AG63" s="75"/>
      <c r="AH63" s="75"/>
      <c r="AI63" s="75"/>
      <c r="AJ63" s="75"/>
      <c r="AK63" s="75"/>
      <c r="AL63" s="75"/>
      <c r="AM63" s="75"/>
      <c r="AN63" s="75"/>
      <c r="AO63" s="75"/>
      <c r="AP63" s="75"/>
      <c r="AQ63" s="75"/>
      <c r="AR63" s="75"/>
      <c r="AS63" s="75"/>
      <c r="AT63" s="75"/>
      <c r="AU63" s="75"/>
      <c r="AV63" s="75"/>
      <c r="AW63" s="75"/>
      <c r="AX63" s="75"/>
      <c r="AY63" s="75"/>
      <c r="AZ63" s="75"/>
      <c r="BA63" s="75"/>
      <c r="BB63" s="75"/>
      <c r="BC63" s="75"/>
      <c r="BD63" s="75"/>
      <c r="BE63" s="75"/>
      <c r="BF63" s="75"/>
      <c r="BG63" s="75"/>
      <c r="BH63" s="75"/>
      <c r="BI63" s="75"/>
      <c r="BJ63" s="76"/>
      <c r="BK63" s="76"/>
      <c r="BL63" s="76"/>
      <c r="BM63" s="76"/>
      <c r="BN63" s="76"/>
      <c r="BO63" s="76"/>
      <c r="BP63" s="76"/>
      <c r="BQ63" s="76"/>
      <c r="BR63" s="76"/>
      <c r="BS63" s="76"/>
      <c r="BT63" s="76"/>
      <c r="BU63" s="76"/>
      <c r="BV63" s="76"/>
      <c r="BW63" s="76"/>
      <c r="BX63" s="76"/>
      <c r="BY63" s="76"/>
      <c r="BZ63" s="76"/>
      <c r="CA63" s="76"/>
      <c r="CB63" s="76"/>
      <c r="CC63" s="76"/>
      <c r="CD63" s="76"/>
      <c r="CE63" s="76"/>
      <c r="CF63" s="76"/>
      <c r="CG63" s="76"/>
      <c r="CH63" s="76"/>
      <c r="CI63" s="76"/>
      <c r="CJ63" s="76"/>
      <c r="CK63" s="76"/>
      <c r="CL63" s="76"/>
      <c r="CM63" s="76"/>
      <c r="CN63" s="76"/>
      <c r="CO63" s="76"/>
      <c r="CP63" s="76"/>
      <c r="CQ63" s="76"/>
      <c r="CR63" s="76"/>
      <c r="CS63" s="76"/>
      <c r="CT63" s="76"/>
      <c r="CU63" s="76"/>
      <c r="CV63" s="76"/>
      <c r="CW63" s="76"/>
      <c r="CX63" s="76"/>
      <c r="CY63" s="76"/>
      <c r="CZ63" s="76"/>
    </row>
    <row r="64" spans="1:104" s="78" customFormat="1" ht="15.75">
      <c r="A64" s="84"/>
      <c r="B64" s="34"/>
      <c r="C64" s="88"/>
      <c r="D64" s="88"/>
      <c r="E64" s="92">
        <v>5</v>
      </c>
      <c r="F64" s="93">
        <v>22</v>
      </c>
      <c r="G64" s="93">
        <v>6</v>
      </c>
      <c r="H64" s="96">
        <v>1</v>
      </c>
      <c r="I64" s="96">
        <v>1</v>
      </c>
      <c r="J64" s="88"/>
      <c r="K64" s="92">
        <v>5</v>
      </c>
      <c r="L64" s="92">
        <v>44</v>
      </c>
      <c r="M64" s="93">
        <v>1</v>
      </c>
      <c r="N64" s="96">
        <v>1</v>
      </c>
      <c r="O64" s="88"/>
      <c r="P64" s="88"/>
      <c r="Q64" s="88"/>
      <c r="R64" s="90"/>
      <c r="S64" s="102"/>
      <c r="T64" s="102"/>
      <c r="U64" s="101"/>
      <c r="V64" s="90"/>
      <c r="W64" s="90"/>
      <c r="X64" s="157"/>
      <c r="Y64" s="74"/>
      <c r="Z64" s="35"/>
      <c r="AA64" s="106"/>
      <c r="AB64" s="106"/>
      <c r="AC64" s="184"/>
      <c r="AD64" s="75"/>
      <c r="AE64" s="75"/>
      <c r="AF64" s="75"/>
      <c r="AG64" s="75"/>
      <c r="AH64" s="75"/>
      <c r="AI64" s="75"/>
      <c r="AJ64" s="75"/>
      <c r="AK64" s="75"/>
      <c r="AL64" s="75"/>
      <c r="AM64" s="75"/>
      <c r="AN64" s="75"/>
      <c r="AO64" s="75"/>
      <c r="AP64" s="75"/>
      <c r="AQ64" s="75"/>
      <c r="AR64" s="75"/>
      <c r="AS64" s="75"/>
      <c r="AT64" s="75"/>
      <c r="AU64" s="75"/>
      <c r="AV64" s="75"/>
      <c r="AW64" s="75"/>
      <c r="AX64" s="75"/>
      <c r="AY64" s="75"/>
      <c r="AZ64" s="75"/>
      <c r="BA64" s="75"/>
      <c r="BB64" s="75"/>
      <c r="BC64" s="75"/>
      <c r="BD64" s="75"/>
      <c r="BE64" s="75"/>
      <c r="BF64" s="75"/>
      <c r="BG64" s="75"/>
      <c r="BH64" s="75"/>
      <c r="BI64" s="75"/>
      <c r="BJ64" s="76"/>
      <c r="BK64" s="76"/>
      <c r="BL64" s="76"/>
      <c r="BM64" s="76"/>
      <c r="BN64" s="76"/>
      <c r="BO64" s="76"/>
      <c r="BP64" s="76"/>
      <c r="BQ64" s="76"/>
      <c r="BR64" s="76"/>
      <c r="BS64" s="76"/>
      <c r="BT64" s="76"/>
      <c r="BU64" s="76"/>
      <c r="BV64" s="76"/>
      <c r="BW64" s="76"/>
      <c r="BX64" s="76"/>
      <c r="BY64" s="76"/>
      <c r="BZ64" s="76"/>
      <c r="CA64" s="76"/>
      <c r="CB64" s="76"/>
      <c r="CC64" s="76"/>
      <c r="CD64" s="76"/>
      <c r="CE64" s="76"/>
      <c r="CF64" s="76"/>
      <c r="CG64" s="76"/>
      <c r="CH64" s="76"/>
      <c r="CI64" s="76"/>
      <c r="CJ64" s="76"/>
      <c r="CK64" s="76"/>
      <c r="CL64" s="76"/>
      <c r="CM64" s="76"/>
      <c r="CN64" s="76"/>
      <c r="CO64" s="76"/>
      <c r="CP64" s="76"/>
      <c r="CQ64" s="76"/>
      <c r="CR64" s="76"/>
      <c r="CS64" s="76"/>
      <c r="CT64" s="76"/>
      <c r="CU64" s="76"/>
      <c r="CV64" s="76"/>
      <c r="CW64" s="76"/>
      <c r="CX64" s="76"/>
      <c r="CY64" s="76"/>
      <c r="CZ64" s="76"/>
    </row>
    <row r="65" spans="1:104" s="78" customFormat="1" ht="15.75">
      <c r="A65" s="84"/>
      <c r="B65" s="34"/>
      <c r="C65" s="88"/>
      <c r="D65" s="88"/>
      <c r="E65" s="92">
        <v>6</v>
      </c>
      <c r="F65" s="93">
        <v>20</v>
      </c>
      <c r="G65" s="93">
        <v>5</v>
      </c>
      <c r="H65" s="96"/>
      <c r="I65" s="96"/>
      <c r="J65" s="88"/>
      <c r="K65" s="92">
        <v>6</v>
      </c>
      <c r="L65" s="92">
        <v>40</v>
      </c>
      <c r="M65" s="93"/>
      <c r="N65" s="96"/>
      <c r="O65" s="88"/>
      <c r="P65" s="88"/>
      <c r="Q65" s="88"/>
      <c r="R65" s="90"/>
      <c r="S65" s="102"/>
      <c r="T65" s="102"/>
      <c r="U65" s="101"/>
      <c r="V65" s="90"/>
      <c r="W65" s="90"/>
      <c r="X65" s="157"/>
      <c r="Y65" s="74"/>
      <c r="Z65" s="35"/>
      <c r="AA65" s="106"/>
      <c r="AB65" s="106"/>
      <c r="AC65" s="184"/>
      <c r="AD65" s="75"/>
      <c r="AE65" s="75"/>
      <c r="AF65" s="75"/>
      <c r="AG65" s="75"/>
      <c r="AH65" s="75"/>
      <c r="AI65" s="75"/>
      <c r="AJ65" s="75"/>
      <c r="AK65" s="75"/>
      <c r="AL65" s="75"/>
      <c r="AM65" s="75"/>
      <c r="AN65" s="75"/>
      <c r="AO65" s="75"/>
      <c r="AP65" s="75"/>
      <c r="AQ65" s="75"/>
      <c r="AR65" s="75"/>
      <c r="AS65" s="75"/>
      <c r="AT65" s="75"/>
      <c r="AU65" s="75"/>
      <c r="AV65" s="75"/>
      <c r="AW65" s="75"/>
      <c r="AX65" s="75"/>
      <c r="AY65" s="75"/>
      <c r="AZ65" s="75"/>
      <c r="BA65" s="75"/>
      <c r="BB65" s="75"/>
      <c r="BC65" s="75"/>
      <c r="BD65" s="75"/>
      <c r="BE65" s="75"/>
      <c r="BF65" s="75"/>
      <c r="BG65" s="75"/>
      <c r="BH65" s="75"/>
      <c r="BI65" s="75"/>
      <c r="BJ65" s="76"/>
      <c r="BK65" s="76"/>
      <c r="BL65" s="76"/>
      <c r="BM65" s="76"/>
      <c r="BN65" s="76"/>
      <c r="BO65" s="76"/>
      <c r="BP65" s="76"/>
      <c r="BQ65" s="76"/>
      <c r="BR65" s="76"/>
      <c r="BS65" s="76"/>
      <c r="BT65" s="76"/>
      <c r="BU65" s="76"/>
      <c r="BV65" s="76"/>
      <c r="BW65" s="76"/>
      <c r="BX65" s="76"/>
      <c r="BY65" s="76"/>
      <c r="BZ65" s="76"/>
      <c r="CA65" s="76"/>
      <c r="CB65" s="76"/>
      <c r="CC65" s="76"/>
      <c r="CD65" s="76"/>
      <c r="CE65" s="76"/>
      <c r="CF65" s="76"/>
      <c r="CG65" s="76"/>
      <c r="CH65" s="76"/>
      <c r="CI65" s="76"/>
      <c r="CJ65" s="76"/>
      <c r="CK65" s="76"/>
      <c r="CL65" s="76"/>
      <c r="CM65" s="76"/>
      <c r="CN65" s="76"/>
      <c r="CO65" s="76"/>
      <c r="CP65" s="76"/>
      <c r="CQ65" s="76"/>
      <c r="CR65" s="76"/>
      <c r="CS65" s="76"/>
      <c r="CT65" s="76"/>
      <c r="CU65" s="76"/>
      <c r="CV65" s="76"/>
      <c r="CW65" s="76"/>
      <c r="CX65" s="76"/>
      <c r="CY65" s="76"/>
      <c r="CZ65" s="76"/>
    </row>
    <row r="66" spans="1:104" s="76" customFormat="1" ht="15.75">
      <c r="A66" s="84"/>
      <c r="B66" s="34"/>
      <c r="C66" s="88"/>
      <c r="D66" s="88"/>
      <c r="E66" s="92">
        <v>7</v>
      </c>
      <c r="F66" s="93">
        <v>19</v>
      </c>
      <c r="G66" s="93">
        <v>4</v>
      </c>
      <c r="H66" s="96"/>
      <c r="I66" s="96"/>
      <c r="J66" s="88"/>
      <c r="K66" s="92">
        <v>7</v>
      </c>
      <c r="L66" s="92">
        <v>38</v>
      </c>
      <c r="M66" s="93"/>
      <c r="N66" s="96"/>
      <c r="O66" s="88"/>
      <c r="P66" s="88"/>
      <c r="Q66" s="88"/>
      <c r="R66" s="90"/>
      <c r="S66" s="102"/>
      <c r="T66" s="102"/>
      <c r="U66" s="101"/>
      <c r="V66" s="90"/>
      <c r="W66" s="90"/>
      <c r="X66" s="157"/>
      <c r="Y66" s="74"/>
      <c r="Z66" s="35"/>
      <c r="AA66" s="106"/>
      <c r="AB66" s="106"/>
      <c r="AC66" s="184"/>
      <c r="AE66" s="75"/>
      <c r="AF66" s="75"/>
      <c r="AG66" s="75"/>
      <c r="AH66" s="75"/>
      <c r="AI66" s="75"/>
      <c r="AJ66" s="75"/>
      <c r="AK66" s="75"/>
      <c r="AL66" s="75"/>
      <c r="AM66" s="75"/>
      <c r="AN66" s="75"/>
      <c r="AO66" s="75"/>
      <c r="AP66" s="75"/>
      <c r="AQ66" s="75"/>
      <c r="AR66" s="75"/>
      <c r="AS66" s="75"/>
      <c r="AT66" s="75"/>
      <c r="AU66" s="75"/>
      <c r="AV66" s="75"/>
      <c r="AW66" s="75"/>
      <c r="AX66" s="75"/>
      <c r="AY66" s="75"/>
      <c r="AZ66" s="75"/>
      <c r="BA66" s="75"/>
      <c r="BB66" s="75"/>
      <c r="BC66" s="75"/>
      <c r="BD66" s="75"/>
      <c r="BE66" s="75"/>
      <c r="BF66" s="75"/>
      <c r="BG66" s="75"/>
      <c r="BH66" s="75"/>
      <c r="BI66" s="75"/>
    </row>
    <row r="67" spans="1:104" s="82" customFormat="1" ht="15.75">
      <c r="A67" s="84"/>
      <c r="B67" s="34"/>
      <c r="C67" s="88"/>
      <c r="D67" s="88"/>
      <c r="E67" s="92">
        <v>8</v>
      </c>
      <c r="F67" s="93">
        <v>18</v>
      </c>
      <c r="G67" s="93">
        <v>3</v>
      </c>
      <c r="H67" s="96"/>
      <c r="I67" s="96"/>
      <c r="J67" s="88"/>
      <c r="K67" s="92">
        <v>8</v>
      </c>
      <c r="L67" s="92">
        <v>36</v>
      </c>
      <c r="M67" s="93"/>
      <c r="N67" s="96"/>
      <c r="O67" s="88"/>
      <c r="P67" s="88"/>
      <c r="Q67" s="88"/>
      <c r="R67" s="90"/>
      <c r="S67" s="102"/>
      <c r="T67" s="102"/>
      <c r="U67" s="101"/>
      <c r="V67" s="90"/>
      <c r="W67" s="90"/>
      <c r="X67" s="157"/>
      <c r="Y67" s="74"/>
      <c r="Z67" s="35"/>
      <c r="AA67" s="106"/>
      <c r="AB67" s="106"/>
      <c r="AC67" s="184"/>
      <c r="AD67" s="75"/>
      <c r="AE67" s="80"/>
      <c r="AF67" s="80"/>
      <c r="AG67" s="80"/>
      <c r="AH67" s="80"/>
      <c r="AI67" s="80"/>
      <c r="AJ67" s="80"/>
      <c r="AK67" s="80"/>
      <c r="AL67" s="80"/>
      <c r="AM67" s="80"/>
      <c r="AN67" s="80"/>
      <c r="AO67" s="80"/>
      <c r="AP67" s="80"/>
      <c r="AQ67" s="80"/>
      <c r="AR67" s="80"/>
      <c r="AS67" s="80"/>
      <c r="AT67" s="80"/>
      <c r="AU67" s="80"/>
      <c r="AV67" s="80"/>
      <c r="AW67" s="80"/>
      <c r="AX67" s="80"/>
      <c r="AY67" s="80"/>
      <c r="AZ67" s="80"/>
      <c r="BA67" s="80"/>
      <c r="BB67" s="80"/>
      <c r="BC67" s="80"/>
      <c r="BD67" s="80"/>
      <c r="BE67" s="80"/>
      <c r="BF67" s="80"/>
      <c r="BG67" s="80"/>
      <c r="BH67" s="80"/>
      <c r="BI67" s="80"/>
      <c r="BJ67" s="81"/>
      <c r="BK67" s="81"/>
      <c r="BL67" s="81"/>
      <c r="BM67" s="81"/>
      <c r="BN67" s="81"/>
      <c r="BO67" s="81"/>
      <c r="BP67" s="81"/>
      <c r="BQ67" s="81"/>
      <c r="BR67" s="81"/>
      <c r="BS67" s="81"/>
      <c r="BT67" s="81"/>
      <c r="BU67" s="81"/>
      <c r="BV67" s="81"/>
      <c r="BW67" s="81"/>
      <c r="BX67" s="81"/>
      <c r="BY67" s="81"/>
      <c r="BZ67" s="81"/>
      <c r="CA67" s="81"/>
      <c r="CB67" s="81"/>
      <c r="CC67" s="81"/>
      <c r="CD67" s="81"/>
      <c r="CE67" s="81"/>
      <c r="CF67" s="81"/>
      <c r="CG67" s="81"/>
      <c r="CH67" s="81"/>
      <c r="CI67" s="81"/>
      <c r="CJ67" s="81"/>
      <c r="CK67" s="81"/>
      <c r="CL67" s="81"/>
      <c r="CM67" s="81"/>
      <c r="CN67" s="81"/>
      <c r="CO67" s="81"/>
      <c r="CP67" s="81"/>
      <c r="CQ67" s="81"/>
      <c r="CR67" s="81"/>
      <c r="CS67" s="81"/>
      <c r="CT67" s="81"/>
      <c r="CU67" s="81"/>
      <c r="CV67" s="81"/>
      <c r="CW67" s="81"/>
      <c r="CX67" s="81"/>
      <c r="CY67" s="81"/>
      <c r="CZ67" s="81"/>
    </row>
    <row r="68" spans="1:104" s="76" customFormat="1" ht="15.75">
      <c r="A68" s="84"/>
      <c r="B68" s="34"/>
      <c r="C68" s="88"/>
      <c r="D68" s="88"/>
      <c r="E68" s="94">
        <v>9</v>
      </c>
      <c r="F68" s="95">
        <v>17</v>
      </c>
      <c r="G68" s="95">
        <v>2</v>
      </c>
      <c r="H68" s="96"/>
      <c r="I68" s="96"/>
      <c r="J68" s="88"/>
      <c r="K68" s="94">
        <v>9</v>
      </c>
      <c r="L68" s="94">
        <v>34</v>
      </c>
      <c r="M68" s="93"/>
      <c r="N68" s="96"/>
      <c r="O68" s="88"/>
      <c r="P68" s="88"/>
      <c r="Q68" s="88"/>
      <c r="R68" s="90"/>
      <c r="S68" s="87"/>
      <c r="T68" s="87"/>
      <c r="U68" s="101"/>
      <c r="V68" s="90"/>
      <c r="W68" s="90"/>
      <c r="X68" s="157"/>
      <c r="Y68" s="74"/>
      <c r="Z68" s="35"/>
      <c r="AA68" s="106"/>
      <c r="AB68" s="106"/>
      <c r="AC68" s="184"/>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row>
    <row r="69" spans="1:104" s="78" customFormat="1" ht="15.75">
      <c r="A69" s="84"/>
      <c r="B69" s="34"/>
      <c r="C69" s="88"/>
      <c r="D69" s="88"/>
      <c r="E69" s="92">
        <v>10</v>
      </c>
      <c r="F69" s="93">
        <v>16</v>
      </c>
      <c r="G69" s="96">
        <v>1</v>
      </c>
      <c r="H69" s="96"/>
      <c r="I69" s="96"/>
      <c r="J69" s="88"/>
      <c r="K69" s="92">
        <v>10</v>
      </c>
      <c r="L69" s="92">
        <v>32</v>
      </c>
      <c r="M69" s="96"/>
      <c r="N69" s="96"/>
      <c r="O69" s="88"/>
      <c r="P69" s="88"/>
      <c r="Q69" s="88"/>
      <c r="R69" s="90"/>
      <c r="S69" s="88"/>
      <c r="T69" s="88"/>
      <c r="U69" s="101"/>
      <c r="V69" s="90"/>
      <c r="W69" s="90"/>
      <c r="X69" s="157"/>
      <c r="Y69" s="74"/>
      <c r="Z69" s="35"/>
      <c r="AA69" s="106"/>
      <c r="AB69" s="106"/>
      <c r="AC69" s="184"/>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5"/>
      <c r="BH69" s="75"/>
      <c r="BI69" s="75"/>
      <c r="BJ69" s="76"/>
      <c r="BK69" s="76"/>
      <c r="BL69" s="76"/>
      <c r="BM69" s="76"/>
      <c r="BN69" s="76"/>
      <c r="BO69" s="76"/>
      <c r="BP69" s="76"/>
      <c r="BQ69" s="76"/>
      <c r="BR69" s="76"/>
      <c r="BS69" s="76"/>
      <c r="BT69" s="76"/>
      <c r="BU69" s="76"/>
      <c r="BV69" s="76"/>
      <c r="BW69" s="76"/>
      <c r="BX69" s="76"/>
      <c r="BY69" s="76"/>
      <c r="BZ69" s="76"/>
      <c r="CA69" s="76"/>
      <c r="CB69" s="76"/>
      <c r="CC69" s="76"/>
      <c r="CD69" s="76"/>
      <c r="CE69" s="76"/>
      <c r="CF69" s="76"/>
      <c r="CG69" s="76"/>
      <c r="CH69" s="76"/>
      <c r="CI69" s="76"/>
      <c r="CJ69" s="76"/>
      <c r="CK69" s="76"/>
      <c r="CL69" s="76"/>
      <c r="CM69" s="76"/>
      <c r="CN69" s="76"/>
      <c r="CO69" s="76"/>
      <c r="CP69" s="76"/>
      <c r="CQ69" s="76"/>
      <c r="CR69" s="76"/>
      <c r="CS69" s="76"/>
      <c r="CT69" s="76"/>
      <c r="CU69" s="76"/>
      <c r="CV69" s="76"/>
      <c r="CW69" s="76"/>
      <c r="CX69" s="76"/>
      <c r="CY69" s="76"/>
      <c r="CZ69" s="76"/>
    </row>
    <row r="70" spans="1:104" s="76" customFormat="1" ht="15.75">
      <c r="A70" s="84"/>
      <c r="B70" s="34"/>
      <c r="C70" s="88"/>
      <c r="D70" s="88"/>
      <c r="E70" s="92">
        <v>11</v>
      </c>
      <c r="F70" s="93">
        <v>15</v>
      </c>
      <c r="G70" s="96"/>
      <c r="H70" s="96"/>
      <c r="I70" s="96"/>
      <c r="J70" s="88"/>
      <c r="K70" s="92">
        <v>11</v>
      </c>
      <c r="L70" s="92">
        <v>30</v>
      </c>
      <c r="M70" s="96"/>
      <c r="N70" s="96"/>
      <c r="O70" s="88"/>
      <c r="P70" s="88"/>
      <c r="Q70" s="88"/>
      <c r="R70" s="90"/>
      <c r="S70" s="88"/>
      <c r="T70" s="88"/>
      <c r="U70" s="89"/>
      <c r="V70" s="90"/>
      <c r="W70" s="90"/>
      <c r="X70" s="157"/>
      <c r="Y70" s="74"/>
      <c r="Z70" s="35"/>
      <c r="AA70" s="106"/>
      <c r="AB70" s="106"/>
      <c r="AC70" s="184"/>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row>
    <row r="71" spans="1:104" s="78" customFormat="1" ht="15.75">
      <c r="A71" s="84"/>
      <c r="B71" s="34"/>
      <c r="C71" s="88"/>
      <c r="D71" s="88"/>
      <c r="E71" s="92">
        <v>12</v>
      </c>
      <c r="F71" s="93">
        <v>14</v>
      </c>
      <c r="G71" s="96"/>
      <c r="H71" s="96"/>
      <c r="I71" s="96"/>
      <c r="J71" s="88"/>
      <c r="K71" s="92">
        <v>12</v>
      </c>
      <c r="L71" s="92">
        <v>28</v>
      </c>
      <c r="M71" s="96"/>
      <c r="N71" s="96"/>
      <c r="O71" s="88"/>
      <c r="P71" s="88"/>
      <c r="Q71" s="88"/>
      <c r="R71" s="90"/>
      <c r="S71" s="88"/>
      <c r="T71" s="88"/>
      <c r="U71" s="90"/>
      <c r="V71" s="90"/>
      <c r="W71" s="90"/>
      <c r="X71" s="157"/>
      <c r="Y71" s="74"/>
      <c r="Z71" s="35"/>
      <c r="AA71" s="106"/>
      <c r="AB71" s="106"/>
      <c r="AC71" s="184"/>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c r="BI71" s="75"/>
      <c r="BJ71" s="76"/>
      <c r="BK71" s="76"/>
      <c r="BL71" s="76"/>
      <c r="BM71" s="76"/>
      <c r="BN71" s="76"/>
      <c r="BO71" s="76"/>
      <c r="BP71" s="76"/>
      <c r="BQ71" s="76"/>
      <c r="BR71" s="76"/>
      <c r="BS71" s="76"/>
      <c r="BT71" s="76"/>
      <c r="BU71" s="76"/>
      <c r="BV71" s="76"/>
      <c r="BW71" s="76"/>
      <c r="BX71" s="76"/>
      <c r="BY71" s="76"/>
      <c r="BZ71" s="76"/>
      <c r="CA71" s="76"/>
      <c r="CB71" s="76"/>
      <c r="CC71" s="76"/>
      <c r="CD71" s="76"/>
      <c r="CE71" s="76"/>
      <c r="CF71" s="76"/>
      <c r="CG71" s="76"/>
      <c r="CH71" s="76"/>
      <c r="CI71" s="76"/>
      <c r="CJ71" s="76"/>
      <c r="CK71" s="76"/>
      <c r="CL71" s="76"/>
      <c r="CM71" s="76"/>
      <c r="CN71" s="76"/>
      <c r="CO71" s="76"/>
      <c r="CP71" s="76"/>
      <c r="CQ71" s="76"/>
      <c r="CR71" s="76"/>
      <c r="CS71" s="76"/>
      <c r="CT71" s="76"/>
      <c r="CU71" s="76"/>
      <c r="CV71" s="76"/>
      <c r="CW71" s="76"/>
      <c r="CX71" s="76"/>
      <c r="CY71" s="76"/>
      <c r="CZ71" s="76"/>
    </row>
    <row r="72" spans="1:104" s="76" customFormat="1" ht="15.75">
      <c r="A72" s="84"/>
      <c r="B72" s="34"/>
      <c r="C72" s="88"/>
      <c r="D72" s="88"/>
      <c r="E72" s="92">
        <v>13</v>
      </c>
      <c r="F72" s="93">
        <v>13</v>
      </c>
      <c r="G72" s="96"/>
      <c r="H72" s="96"/>
      <c r="I72" s="96"/>
      <c r="J72" s="88"/>
      <c r="K72" s="92">
        <v>13</v>
      </c>
      <c r="L72" s="92">
        <v>26</v>
      </c>
      <c r="M72" s="96"/>
      <c r="N72" s="96"/>
      <c r="O72" s="88"/>
      <c r="P72" s="88"/>
      <c r="Q72" s="88"/>
      <c r="R72" s="90"/>
      <c r="S72" s="88"/>
      <c r="T72" s="88"/>
      <c r="U72" s="90"/>
      <c r="V72" s="90"/>
      <c r="W72" s="90"/>
      <c r="X72" s="157"/>
      <c r="Y72" s="74"/>
      <c r="Z72" s="35"/>
      <c r="AA72" s="106"/>
      <c r="AB72" s="106"/>
      <c r="AC72" s="184"/>
      <c r="AD72" s="75"/>
      <c r="AE72" s="75"/>
      <c r="AF72" s="75"/>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c r="BF72" s="75"/>
      <c r="BG72" s="75"/>
      <c r="BH72" s="75"/>
      <c r="BI72" s="75"/>
    </row>
    <row r="73" spans="1:104" s="78" customFormat="1" ht="15.75">
      <c r="A73" s="84"/>
      <c r="B73" s="34"/>
      <c r="C73" s="88"/>
      <c r="D73" s="88"/>
      <c r="E73" s="94">
        <v>14</v>
      </c>
      <c r="F73" s="95">
        <v>12</v>
      </c>
      <c r="G73" s="96"/>
      <c r="H73" s="96"/>
      <c r="I73" s="96"/>
      <c r="J73" s="88"/>
      <c r="K73" s="94">
        <v>14</v>
      </c>
      <c r="L73" s="94">
        <v>24</v>
      </c>
      <c r="M73" s="96"/>
      <c r="N73" s="96"/>
      <c r="O73" s="88"/>
      <c r="P73" s="88"/>
      <c r="Q73" s="88"/>
      <c r="R73" s="90"/>
      <c r="S73" s="88"/>
      <c r="T73" s="88"/>
      <c r="U73" s="90"/>
      <c r="V73" s="90"/>
      <c r="W73" s="90"/>
      <c r="X73" s="157"/>
      <c r="Y73" s="74"/>
      <c r="Z73" s="35"/>
      <c r="AA73" s="106"/>
      <c r="AB73" s="106"/>
      <c r="AC73" s="184"/>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c r="BI73" s="75"/>
      <c r="BJ73" s="76"/>
      <c r="BK73" s="76"/>
      <c r="BL73" s="76"/>
      <c r="BM73" s="76"/>
      <c r="BN73" s="76"/>
      <c r="BO73" s="76"/>
      <c r="BP73" s="76"/>
      <c r="BQ73" s="76"/>
      <c r="BR73" s="76"/>
      <c r="BS73" s="76"/>
      <c r="BT73" s="76"/>
      <c r="BU73" s="76"/>
      <c r="BV73" s="76"/>
      <c r="BW73" s="76"/>
      <c r="BX73" s="76"/>
      <c r="BY73" s="76"/>
      <c r="BZ73" s="76"/>
      <c r="CA73" s="76"/>
      <c r="CB73" s="76"/>
      <c r="CC73" s="76"/>
      <c r="CD73" s="76"/>
      <c r="CE73" s="76"/>
      <c r="CF73" s="76"/>
      <c r="CG73" s="76"/>
      <c r="CH73" s="76"/>
      <c r="CI73" s="76"/>
      <c r="CJ73" s="76"/>
      <c r="CK73" s="76"/>
      <c r="CL73" s="76"/>
      <c r="CM73" s="76"/>
      <c r="CN73" s="76"/>
      <c r="CO73" s="76"/>
      <c r="CP73" s="76"/>
      <c r="CQ73" s="76"/>
      <c r="CR73" s="76"/>
      <c r="CS73" s="76"/>
      <c r="CT73" s="76"/>
      <c r="CU73" s="76"/>
      <c r="CV73" s="76"/>
      <c r="CW73" s="76"/>
      <c r="CX73" s="76"/>
      <c r="CY73" s="76"/>
      <c r="CZ73" s="76"/>
    </row>
    <row r="74" spans="1:104" s="78" customFormat="1" ht="15.75">
      <c r="A74" s="84"/>
      <c r="B74" s="34"/>
      <c r="C74" s="88"/>
      <c r="D74" s="88"/>
      <c r="E74" s="92">
        <v>15</v>
      </c>
      <c r="F74" s="93">
        <v>11</v>
      </c>
      <c r="G74" s="96"/>
      <c r="H74" s="96"/>
      <c r="I74" s="96"/>
      <c r="J74" s="88"/>
      <c r="K74" s="92">
        <v>15</v>
      </c>
      <c r="L74" s="92">
        <v>22</v>
      </c>
      <c r="M74" s="96"/>
      <c r="N74" s="96"/>
      <c r="O74" s="88"/>
      <c r="P74" s="88"/>
      <c r="Q74" s="88"/>
      <c r="R74" s="90"/>
      <c r="S74" s="88"/>
      <c r="T74" s="88"/>
      <c r="U74" s="90"/>
      <c r="V74" s="90"/>
      <c r="W74" s="90"/>
      <c r="X74" s="157"/>
      <c r="Y74" s="74"/>
      <c r="Z74" s="35"/>
      <c r="AA74" s="106"/>
      <c r="AB74" s="106">
        <v>0</v>
      </c>
      <c r="AC74" s="184"/>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c r="BJ74" s="76"/>
      <c r="BK74" s="76"/>
      <c r="BL74" s="76"/>
      <c r="BM74" s="76"/>
      <c r="BN74" s="76"/>
      <c r="BO74" s="76"/>
      <c r="BP74" s="76"/>
      <c r="BQ74" s="76"/>
      <c r="BR74" s="76"/>
      <c r="BS74" s="76"/>
      <c r="BT74" s="76"/>
      <c r="BU74" s="76"/>
      <c r="BV74" s="76"/>
      <c r="BW74" s="76"/>
      <c r="BX74" s="76"/>
      <c r="BY74" s="76"/>
      <c r="BZ74" s="76"/>
      <c r="CA74" s="76"/>
      <c r="CB74" s="76"/>
      <c r="CC74" s="76"/>
      <c r="CD74" s="76"/>
      <c r="CE74" s="76"/>
      <c r="CF74" s="76"/>
      <c r="CG74" s="76"/>
      <c r="CH74" s="76"/>
      <c r="CI74" s="76"/>
      <c r="CJ74" s="76"/>
      <c r="CK74" s="76"/>
      <c r="CL74" s="76"/>
      <c r="CM74" s="76"/>
      <c r="CN74" s="76"/>
      <c r="CO74" s="76"/>
      <c r="CP74" s="76"/>
      <c r="CQ74" s="76"/>
      <c r="CR74" s="76"/>
      <c r="CS74" s="76"/>
      <c r="CT74" s="76"/>
      <c r="CU74" s="76"/>
      <c r="CV74" s="76"/>
      <c r="CW74" s="76"/>
      <c r="CX74" s="76"/>
      <c r="CY74" s="76"/>
      <c r="CZ74" s="76"/>
    </row>
    <row r="75" spans="1:104" s="78" customFormat="1" ht="15.75">
      <c r="A75" s="84"/>
      <c r="B75" s="34"/>
      <c r="C75" s="88"/>
      <c r="D75" s="88"/>
      <c r="E75" s="92">
        <v>16</v>
      </c>
      <c r="F75" s="93">
        <v>10</v>
      </c>
      <c r="G75" s="96"/>
      <c r="H75" s="96"/>
      <c r="I75" s="96"/>
      <c r="J75" s="88"/>
      <c r="K75" s="92">
        <v>16</v>
      </c>
      <c r="L75" s="92">
        <v>20</v>
      </c>
      <c r="M75" s="96"/>
      <c r="N75" s="96"/>
      <c r="O75" s="88"/>
      <c r="P75" s="88"/>
      <c r="Q75" s="88"/>
      <c r="R75" s="90"/>
      <c r="S75" s="88"/>
      <c r="T75" s="88"/>
      <c r="U75" s="90"/>
      <c r="V75" s="90"/>
      <c r="W75" s="90"/>
      <c r="X75" s="157"/>
      <c r="Y75" s="74"/>
      <c r="Z75" s="35"/>
      <c r="AA75" s="106"/>
      <c r="AB75" s="106">
        <v>0</v>
      </c>
      <c r="AC75" s="184"/>
      <c r="AD75" s="75"/>
      <c r="AE75" s="75"/>
      <c r="AF75" s="75"/>
      <c r="AG75" s="75"/>
      <c r="AH75" s="75"/>
      <c r="AI75" s="75"/>
      <c r="AJ75" s="75"/>
      <c r="AK75" s="75"/>
      <c r="AL75" s="75"/>
      <c r="AM75" s="75"/>
      <c r="AN75" s="75"/>
      <c r="AO75" s="75"/>
      <c r="AP75" s="75"/>
      <c r="AQ75" s="75"/>
      <c r="AR75" s="75"/>
      <c r="AS75" s="75"/>
      <c r="AT75" s="75"/>
      <c r="AU75" s="75"/>
      <c r="AV75" s="75"/>
      <c r="AW75" s="75"/>
      <c r="AX75" s="75"/>
      <c r="AY75" s="75"/>
      <c r="AZ75" s="75"/>
      <c r="BA75" s="75"/>
      <c r="BB75" s="75"/>
      <c r="BC75" s="75"/>
      <c r="BD75" s="75"/>
      <c r="BE75" s="75"/>
      <c r="BF75" s="75"/>
      <c r="BG75" s="75"/>
      <c r="BH75" s="75"/>
      <c r="BI75" s="75"/>
      <c r="BJ75" s="76"/>
      <c r="BK75" s="76"/>
      <c r="BL75" s="76"/>
      <c r="BM75" s="76"/>
      <c r="BN75" s="76"/>
      <c r="BO75" s="76"/>
      <c r="BP75" s="76"/>
      <c r="BQ75" s="76"/>
      <c r="BR75" s="76"/>
      <c r="BS75" s="76"/>
      <c r="BT75" s="76"/>
      <c r="BU75" s="76"/>
      <c r="BV75" s="76"/>
      <c r="BW75" s="76"/>
      <c r="BX75" s="76"/>
      <c r="BY75" s="76"/>
      <c r="BZ75" s="76"/>
      <c r="CA75" s="76"/>
      <c r="CB75" s="76"/>
      <c r="CC75" s="76"/>
      <c r="CD75" s="76"/>
      <c r="CE75" s="76"/>
      <c r="CF75" s="76"/>
      <c r="CG75" s="76"/>
      <c r="CH75" s="76"/>
      <c r="CI75" s="76"/>
      <c r="CJ75" s="76"/>
      <c r="CK75" s="76"/>
      <c r="CL75" s="76"/>
      <c r="CM75" s="76"/>
      <c r="CN75" s="76"/>
      <c r="CO75" s="76"/>
      <c r="CP75" s="76"/>
      <c r="CQ75" s="76"/>
      <c r="CR75" s="76"/>
      <c r="CS75" s="76"/>
      <c r="CT75" s="76"/>
      <c r="CU75" s="76"/>
      <c r="CV75" s="76"/>
      <c r="CW75" s="76"/>
      <c r="CX75" s="76"/>
      <c r="CY75" s="76"/>
      <c r="CZ75" s="76"/>
    </row>
    <row r="76" spans="1:104" s="76" customFormat="1" ht="15.75">
      <c r="A76" s="84"/>
      <c r="B76" s="34"/>
      <c r="C76" s="88"/>
      <c r="D76" s="88"/>
      <c r="E76" s="92">
        <v>17</v>
      </c>
      <c r="F76" s="93">
        <v>9</v>
      </c>
      <c r="G76" s="96"/>
      <c r="H76" s="96"/>
      <c r="I76" s="96"/>
      <c r="J76" s="88"/>
      <c r="K76" s="92">
        <v>17</v>
      </c>
      <c r="L76" s="92">
        <v>18</v>
      </c>
      <c r="M76" s="96"/>
      <c r="N76" s="96"/>
      <c r="O76" s="88"/>
      <c r="P76" s="88"/>
      <c r="Q76" s="88"/>
      <c r="R76" s="90"/>
      <c r="S76" s="88"/>
      <c r="T76" s="88"/>
      <c r="U76" s="90"/>
      <c r="V76" s="90"/>
      <c r="W76" s="90"/>
      <c r="X76" s="157"/>
      <c r="Y76" s="74"/>
      <c r="Z76" s="35"/>
      <c r="AA76" s="106"/>
      <c r="AB76" s="106"/>
      <c r="AC76" s="184"/>
      <c r="AD76" s="75"/>
      <c r="AE76" s="75"/>
      <c r="AF76" s="75"/>
      <c r="AG76" s="75"/>
      <c r="AH76" s="75"/>
      <c r="AI76" s="75"/>
      <c r="AJ76" s="75"/>
      <c r="AK76" s="75"/>
      <c r="AL76" s="75"/>
      <c r="AM76" s="75"/>
      <c r="AN76" s="75"/>
      <c r="AO76" s="75"/>
      <c r="AP76" s="75"/>
      <c r="AQ76" s="75"/>
      <c r="AR76" s="75"/>
      <c r="AS76" s="75"/>
      <c r="AT76" s="75"/>
      <c r="AU76" s="75"/>
      <c r="AV76" s="75"/>
      <c r="AW76" s="75"/>
      <c r="AX76" s="75"/>
      <c r="AY76" s="75"/>
      <c r="AZ76" s="75"/>
      <c r="BA76" s="75"/>
      <c r="BB76" s="75"/>
      <c r="BC76" s="75"/>
      <c r="BD76" s="75"/>
      <c r="BE76" s="75"/>
      <c r="BF76" s="75"/>
      <c r="BG76" s="75"/>
      <c r="BH76" s="75"/>
      <c r="BI76" s="75"/>
    </row>
    <row r="77" spans="1:104" s="78" customFormat="1" ht="15.75">
      <c r="A77" s="84"/>
      <c r="B77" s="34"/>
      <c r="C77" s="88"/>
      <c r="D77" s="88"/>
      <c r="E77" s="92">
        <v>18</v>
      </c>
      <c r="F77" s="93">
        <v>8</v>
      </c>
      <c r="G77" s="96"/>
      <c r="H77" s="96"/>
      <c r="I77" s="96"/>
      <c r="J77" s="88"/>
      <c r="K77" s="92">
        <v>18</v>
      </c>
      <c r="L77" s="92">
        <v>16</v>
      </c>
      <c r="M77" s="96"/>
      <c r="N77" s="96"/>
      <c r="O77" s="88"/>
      <c r="P77" s="88"/>
      <c r="Q77" s="88"/>
      <c r="R77" s="90"/>
      <c r="S77" s="88"/>
      <c r="T77" s="88"/>
      <c r="U77" s="90"/>
      <c r="V77" s="90"/>
      <c r="W77" s="90"/>
      <c r="X77" s="157"/>
      <c r="Y77" s="74"/>
      <c r="Z77" s="35"/>
      <c r="AA77" s="106"/>
      <c r="AB77" s="106"/>
      <c r="AC77" s="184"/>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5"/>
      <c r="BI77" s="75"/>
      <c r="BJ77" s="76"/>
      <c r="BK77" s="76"/>
      <c r="BL77" s="76"/>
      <c r="BM77" s="76"/>
      <c r="BN77" s="76"/>
      <c r="BO77" s="76"/>
      <c r="BP77" s="76"/>
      <c r="BQ77" s="76"/>
      <c r="BR77" s="76"/>
      <c r="BS77" s="76"/>
      <c r="BT77" s="76"/>
      <c r="BU77" s="76"/>
      <c r="BV77" s="76"/>
      <c r="BW77" s="76"/>
      <c r="BX77" s="76"/>
      <c r="BY77" s="76"/>
      <c r="BZ77" s="76"/>
      <c r="CA77" s="76"/>
      <c r="CB77" s="76"/>
      <c r="CC77" s="76"/>
      <c r="CD77" s="76"/>
      <c r="CE77" s="76"/>
      <c r="CF77" s="76"/>
      <c r="CG77" s="76"/>
      <c r="CH77" s="76"/>
      <c r="CI77" s="76"/>
      <c r="CJ77" s="76"/>
      <c r="CK77" s="76"/>
      <c r="CL77" s="76"/>
      <c r="CM77" s="76"/>
      <c r="CN77" s="76"/>
      <c r="CO77" s="76"/>
      <c r="CP77" s="76"/>
      <c r="CQ77" s="76"/>
      <c r="CR77" s="76"/>
      <c r="CS77" s="76"/>
      <c r="CT77" s="76"/>
      <c r="CU77" s="76"/>
      <c r="CV77" s="76"/>
      <c r="CW77" s="76"/>
      <c r="CX77" s="76"/>
      <c r="CY77" s="76"/>
      <c r="CZ77" s="76"/>
    </row>
    <row r="78" spans="1:104" s="76" customFormat="1" ht="15.75">
      <c r="A78" s="84"/>
      <c r="B78" s="34"/>
      <c r="C78" s="88"/>
      <c r="D78" s="88"/>
      <c r="E78" s="92">
        <v>19</v>
      </c>
      <c r="F78" s="93">
        <v>7</v>
      </c>
      <c r="G78" s="96"/>
      <c r="H78" s="96"/>
      <c r="I78" s="96"/>
      <c r="J78" s="88"/>
      <c r="K78" s="92">
        <v>19</v>
      </c>
      <c r="L78" s="92">
        <v>14</v>
      </c>
      <c r="M78" s="96"/>
      <c r="N78" s="96"/>
      <c r="O78" s="88"/>
      <c r="P78" s="88"/>
      <c r="Q78" s="88"/>
      <c r="R78" s="90"/>
      <c r="S78" s="88"/>
      <c r="T78" s="88"/>
      <c r="U78" s="90"/>
      <c r="V78" s="90"/>
      <c r="W78" s="90"/>
      <c r="X78" s="157"/>
      <c r="Y78" s="74"/>
      <c r="Z78" s="35"/>
      <c r="AA78" s="106"/>
      <c r="AB78" s="106"/>
      <c r="AC78" s="184"/>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c r="BF78" s="75"/>
      <c r="BG78" s="75"/>
      <c r="BH78" s="75"/>
      <c r="BI78" s="75"/>
    </row>
    <row r="79" spans="1:104" s="83" customFormat="1">
      <c r="A79" s="84"/>
      <c r="B79" s="34"/>
      <c r="C79" s="88"/>
      <c r="D79" s="88"/>
      <c r="E79" s="91">
        <v>20</v>
      </c>
      <c r="F79" s="90">
        <v>6</v>
      </c>
      <c r="G79" s="90"/>
      <c r="H79" s="90"/>
      <c r="I79" s="88"/>
      <c r="J79" s="88"/>
      <c r="K79" s="88">
        <v>20</v>
      </c>
      <c r="L79" s="88">
        <v>12</v>
      </c>
      <c r="M79" s="88"/>
      <c r="N79" s="88"/>
      <c r="O79" s="88"/>
      <c r="P79" s="88"/>
      <c r="Q79" s="88"/>
      <c r="R79" s="90"/>
      <c r="S79" s="88"/>
      <c r="T79" s="88"/>
      <c r="U79" s="90"/>
      <c r="V79" s="90"/>
      <c r="W79" s="90"/>
      <c r="X79" s="157"/>
      <c r="Y79" s="74"/>
      <c r="Z79" s="35"/>
      <c r="AA79" s="106"/>
      <c r="AB79" s="106"/>
      <c r="AC79" s="184"/>
      <c r="AD79" s="76"/>
      <c r="AE79" s="79"/>
      <c r="AF79" s="79"/>
      <c r="AG79" s="79"/>
      <c r="AH79" s="79"/>
      <c r="AI79" s="79"/>
      <c r="AJ79" s="79"/>
      <c r="AK79" s="79"/>
      <c r="AL79" s="79"/>
      <c r="AM79" s="79"/>
      <c r="AN79" s="79"/>
      <c r="AO79" s="79"/>
      <c r="AP79" s="79"/>
      <c r="AQ79" s="79"/>
      <c r="AR79" s="79"/>
      <c r="AS79" s="79"/>
      <c r="AT79" s="79"/>
      <c r="AU79" s="79"/>
      <c r="AV79" s="79"/>
      <c r="AW79" s="79"/>
      <c r="AX79" s="79"/>
      <c r="AY79" s="79"/>
      <c r="AZ79" s="79"/>
      <c r="BA79" s="79"/>
      <c r="BB79" s="79"/>
      <c r="BC79" s="79"/>
      <c r="BD79" s="79"/>
      <c r="BE79" s="79"/>
      <c r="BF79" s="79"/>
      <c r="BG79" s="79"/>
      <c r="BH79" s="79"/>
      <c r="BI79" s="79"/>
      <c r="BJ79" s="79"/>
      <c r="BK79" s="79"/>
      <c r="BL79" s="79"/>
      <c r="BM79" s="79"/>
      <c r="BN79" s="79"/>
      <c r="BO79" s="79"/>
      <c r="BP79" s="79"/>
      <c r="BQ79" s="79"/>
      <c r="BR79" s="79"/>
      <c r="BS79" s="79"/>
      <c r="BT79" s="79"/>
      <c r="BU79" s="79"/>
      <c r="BV79" s="79"/>
      <c r="BW79" s="79"/>
      <c r="BX79" s="79"/>
      <c r="BY79" s="79"/>
      <c r="BZ79" s="79"/>
      <c r="CA79" s="79"/>
      <c r="CB79" s="79"/>
      <c r="CC79" s="79"/>
      <c r="CD79" s="79"/>
      <c r="CE79" s="79"/>
      <c r="CF79" s="79"/>
      <c r="CG79" s="79"/>
      <c r="CH79" s="79"/>
      <c r="CI79" s="79"/>
      <c r="CJ79" s="79"/>
      <c r="CK79" s="79"/>
      <c r="CL79" s="79"/>
      <c r="CM79" s="79"/>
      <c r="CN79" s="79"/>
      <c r="CO79" s="79"/>
      <c r="CP79" s="79"/>
      <c r="CQ79" s="79"/>
      <c r="CR79" s="79"/>
      <c r="CS79" s="79"/>
      <c r="CT79" s="79"/>
      <c r="CU79" s="79"/>
      <c r="CV79" s="79"/>
      <c r="CW79" s="79"/>
      <c r="CX79" s="79"/>
      <c r="CY79" s="79"/>
      <c r="CZ79" s="79"/>
    </row>
    <row r="80" spans="1:104" s="76" customFormat="1">
      <c r="A80" s="84"/>
      <c r="B80" s="34"/>
      <c r="C80" s="88"/>
      <c r="D80" s="88"/>
      <c r="E80" s="91"/>
      <c r="F80" s="90"/>
      <c r="G80" s="90"/>
      <c r="H80" s="90"/>
      <c r="I80" s="88"/>
      <c r="J80" s="88"/>
      <c r="K80" s="88"/>
      <c r="L80" s="88"/>
      <c r="M80" s="88"/>
      <c r="N80" s="88"/>
      <c r="O80" s="88"/>
      <c r="P80" s="88"/>
      <c r="Q80" s="88"/>
      <c r="R80" s="90"/>
      <c r="S80" s="88"/>
      <c r="T80" s="88"/>
      <c r="U80" s="90"/>
      <c r="V80" s="90"/>
      <c r="W80" s="90"/>
      <c r="X80" s="157"/>
      <c r="Y80" s="74"/>
      <c r="Z80" s="35"/>
      <c r="AA80" s="106"/>
      <c r="AB80" s="106"/>
      <c r="AC80" s="184"/>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5"/>
    </row>
    <row r="81" spans="1:104" s="78" customFormat="1">
      <c r="A81" s="84"/>
      <c r="B81" s="34"/>
      <c r="C81" s="88"/>
      <c r="D81" s="88"/>
      <c r="E81" s="91"/>
      <c r="F81" s="90"/>
      <c r="G81" s="90"/>
      <c r="H81" s="90"/>
      <c r="I81" s="88"/>
      <c r="J81" s="88"/>
      <c r="K81" s="88"/>
      <c r="L81" s="88"/>
      <c r="M81" s="88"/>
      <c r="N81" s="88"/>
      <c r="O81" s="88"/>
      <c r="P81" s="88"/>
      <c r="Q81" s="88"/>
      <c r="R81" s="90"/>
      <c r="S81" s="88"/>
      <c r="T81" s="88"/>
      <c r="U81" s="90"/>
      <c r="V81" s="90"/>
      <c r="W81" s="90"/>
      <c r="X81" s="157"/>
      <c r="Y81" s="74"/>
      <c r="Z81" s="35"/>
      <c r="AA81" s="106"/>
      <c r="AB81" s="106"/>
      <c r="AC81" s="184"/>
      <c r="AD81" s="75"/>
      <c r="AE81" s="75"/>
      <c r="AF81" s="75"/>
      <c r="AG81" s="75"/>
      <c r="AH81" s="75"/>
      <c r="AI81" s="75"/>
      <c r="AJ81" s="75"/>
      <c r="AK81" s="75"/>
      <c r="AL81" s="75"/>
      <c r="AM81" s="75"/>
      <c r="AN81" s="75"/>
      <c r="AO81" s="75"/>
      <c r="AP81" s="75"/>
      <c r="AQ81" s="75"/>
      <c r="AR81" s="75"/>
      <c r="AS81" s="75"/>
      <c r="AT81" s="75"/>
      <c r="AU81" s="75"/>
      <c r="AV81" s="75"/>
      <c r="AW81" s="75"/>
      <c r="AX81" s="75"/>
      <c r="AY81" s="75"/>
      <c r="AZ81" s="75"/>
      <c r="BA81" s="75"/>
      <c r="BB81" s="75"/>
      <c r="BC81" s="75"/>
      <c r="BD81" s="75"/>
      <c r="BE81" s="75"/>
      <c r="BF81" s="75"/>
      <c r="BG81" s="75"/>
      <c r="BH81" s="75"/>
      <c r="BI81" s="75"/>
      <c r="BJ81" s="76"/>
      <c r="BK81" s="76"/>
      <c r="BL81" s="76"/>
      <c r="BM81" s="76"/>
      <c r="BN81" s="76"/>
      <c r="BO81" s="76"/>
      <c r="BP81" s="76"/>
      <c r="BQ81" s="76"/>
      <c r="BR81" s="76"/>
      <c r="BS81" s="76"/>
      <c r="BT81" s="76"/>
      <c r="BU81" s="76"/>
      <c r="BV81" s="76"/>
      <c r="BW81" s="76"/>
      <c r="BX81" s="76"/>
      <c r="BY81" s="76"/>
      <c r="BZ81" s="76"/>
      <c r="CA81" s="76"/>
      <c r="CB81" s="76"/>
      <c r="CC81" s="76"/>
      <c r="CD81" s="76"/>
      <c r="CE81" s="76"/>
      <c r="CF81" s="76"/>
      <c r="CG81" s="76"/>
      <c r="CH81" s="76"/>
      <c r="CI81" s="76"/>
      <c r="CJ81" s="76"/>
      <c r="CK81" s="76"/>
      <c r="CL81" s="76"/>
      <c r="CM81" s="76"/>
      <c r="CN81" s="76"/>
      <c r="CO81" s="76"/>
      <c r="CP81" s="76"/>
      <c r="CQ81" s="76"/>
      <c r="CR81" s="76"/>
      <c r="CS81" s="76"/>
      <c r="CT81" s="76"/>
      <c r="CU81" s="76"/>
      <c r="CV81" s="76"/>
      <c r="CW81" s="76"/>
      <c r="CX81" s="76"/>
      <c r="CY81" s="76"/>
      <c r="CZ81" s="76"/>
    </row>
  </sheetData>
  <sortState ref="C83:C133">
    <sortCondition ref="C133"/>
  </sortState>
  <phoneticPr fontId="0" type="noConversion"/>
  <pageMargins left="0.75" right="0.75" top="1" bottom="1" header="0.5" footer="0.5"/>
  <pageSetup paperSize="9" orientation="portrait" horizontalDpi="4294967293" r:id="rId1"/>
  <headerFooter alignWithMargins="0"/>
</worksheet>
</file>

<file path=xl/worksheets/sheet4.xml><?xml version="1.0" encoding="utf-8"?>
<worksheet xmlns="http://schemas.openxmlformats.org/spreadsheetml/2006/main" xmlns:r="http://schemas.openxmlformats.org/officeDocument/2006/relationships">
  <sheetPr codeName="Blad7"/>
  <dimension ref="A1:V34"/>
  <sheetViews>
    <sheetView showZeros="0" zoomScale="85" workbookViewId="0">
      <selection activeCell="A30" sqref="A30"/>
    </sheetView>
  </sheetViews>
  <sheetFormatPr defaultRowHeight="12.75"/>
  <cols>
    <col min="1" max="1" width="12" style="20" customWidth="1"/>
    <col min="2" max="2" width="6" style="18" customWidth="1"/>
    <col min="3" max="3" width="11" style="20" customWidth="1"/>
    <col min="4" max="4" width="10.140625" style="19" customWidth="1"/>
    <col min="5" max="5" width="11.85546875" style="20" customWidth="1"/>
    <col min="6" max="6" width="5.7109375" style="19" customWidth="1"/>
    <col min="7" max="7" width="10.7109375" style="20" customWidth="1"/>
    <col min="8" max="8" width="5.7109375" style="18" customWidth="1"/>
    <col min="9" max="9" width="9.7109375" style="20" customWidth="1"/>
    <col min="10" max="10" width="6.28515625" style="18" customWidth="1"/>
    <col min="11" max="11" width="12" style="20" customWidth="1"/>
    <col min="12" max="12" width="6" style="18" customWidth="1"/>
    <col min="13" max="13" width="10.7109375" style="20" customWidth="1"/>
    <col min="14" max="14" width="5.42578125" style="18" customWidth="1"/>
    <col min="15" max="15" width="11" style="21" customWidth="1"/>
    <col min="16" max="16" width="4.85546875" style="18" customWidth="1"/>
    <col min="17" max="17" width="10.42578125" style="20" customWidth="1"/>
    <col min="18" max="18" width="5.7109375" style="18" customWidth="1"/>
    <col min="19" max="19" width="10.42578125" style="20" customWidth="1"/>
    <col min="20" max="20" width="5.28515625" style="19" customWidth="1"/>
    <col min="21" max="21" width="10.85546875" style="20" customWidth="1"/>
    <col min="22" max="22" width="5.5703125" style="18" customWidth="1"/>
    <col min="23" max="23" width="9.140625" style="19" customWidth="1"/>
    <col min="24" max="16384" width="9.140625" style="19"/>
  </cols>
  <sheetData>
    <row r="1" spans="1:22">
      <c r="A1" s="19" t="str">
        <f>IJff!C1</f>
        <v>IJffjes Boys</v>
      </c>
      <c r="B1" s="27"/>
      <c r="C1" s="19" t="str">
        <f>Lothar!C1</f>
        <v>Lothars Grand Depart</v>
      </c>
      <c r="D1" s="27"/>
      <c r="E1" s="19" t="str">
        <f>Freaky!C1</f>
        <v>Freaky naar de top</v>
      </c>
      <c r="F1" s="27"/>
      <c r="G1" s="19" t="str">
        <f>Selfkant!C1</f>
        <v>Am Selfkant</v>
      </c>
      <c r="H1" s="27"/>
      <c r="I1" s="19" t="str">
        <f>Tin!C1</f>
        <v>TinTopTeam</v>
      </c>
      <c r="J1" s="27"/>
      <c r="K1" s="19" t="str">
        <f>Ami!C1</f>
        <v>Equipe l'Ami</v>
      </c>
      <c r="L1" s="27"/>
      <c r="M1" s="19" t="str">
        <f>Lange!C1</f>
        <v>De Lange Man</v>
      </c>
      <c r="N1" s="27"/>
      <c r="O1" s="217" t="str">
        <f>Wadaf!C1</f>
        <v>wadaf*ckers</v>
      </c>
      <c r="P1" s="27"/>
      <c r="Q1" s="19" t="str">
        <f>Lego!C1</f>
        <v>Van Lego kun je alles maken</v>
      </c>
      <c r="R1" s="27"/>
      <c r="S1" s="19" t="str">
        <f>Gran!C1</f>
        <v>El Gran</v>
      </c>
      <c r="T1" s="27"/>
      <c r="U1" s="19" t="str">
        <f>Bangkok!C1</f>
        <v>Mahawat</v>
      </c>
      <c r="V1" s="27"/>
    </row>
    <row r="2" spans="1:22">
      <c r="A2" s="19">
        <f>IJff!C2</f>
        <v>0</v>
      </c>
      <c r="B2" s="19"/>
      <c r="C2" s="19">
        <f>Lothar!C2</f>
        <v>0</v>
      </c>
      <c r="E2" s="19">
        <f>Freaky!C2</f>
        <v>0</v>
      </c>
      <c r="G2" s="19">
        <f>Selfkant!C2</f>
        <v>0</v>
      </c>
      <c r="H2" s="19"/>
      <c r="I2" s="59">
        <f>Tin!C2</f>
        <v>0</v>
      </c>
      <c r="J2" s="19"/>
      <c r="K2" s="19">
        <f>Ami!C2</f>
        <v>0</v>
      </c>
      <c r="L2" s="19"/>
      <c r="M2" s="59">
        <f>Lange!C2</f>
        <v>0</v>
      </c>
      <c r="N2" s="19"/>
      <c r="O2" s="218">
        <f>Wadaf!C2</f>
        <v>0</v>
      </c>
      <c r="P2" s="19"/>
      <c r="Q2" s="19">
        <f>Lego!C2</f>
        <v>0</v>
      </c>
      <c r="R2" s="19"/>
      <c r="S2" s="59">
        <f>Bangkok!C2</f>
        <v>0</v>
      </c>
      <c r="U2" s="19">
        <f>Niet!C2</f>
        <v>0</v>
      </c>
      <c r="V2" s="19"/>
    </row>
    <row r="3" spans="1:22" s="23" customFormat="1" ht="39.75" customHeight="1" thickBot="1">
      <c r="A3" s="86" t="str">
        <f>IJff!C3</f>
        <v>Annita IJff</v>
      </c>
      <c r="C3" s="86" t="str">
        <f>Lothar!C3</f>
        <v>Lothar Matthäus</v>
      </c>
      <c r="E3" s="86" t="str">
        <f>Freaky!C3</f>
        <v>Carin Kruiskamp</v>
      </c>
      <c r="G3" s="86" t="str">
        <f>Selfkant!C3</f>
        <v>Peter K.</v>
      </c>
      <c r="I3" s="86" t="str">
        <f>Tin!C3</f>
        <v>Marjon Tinnemans</v>
      </c>
      <c r="K3" s="86" t="str">
        <f>Ami!C3</f>
        <v>Willem</v>
      </c>
      <c r="M3" s="86" t="str">
        <f>Lange!C3</f>
        <v>Gerard Brinksma</v>
      </c>
      <c r="O3" s="86" t="str">
        <f>Wadaf!C3</f>
        <v>Kees</v>
      </c>
      <c r="Q3" s="86" t="str">
        <f>Lego!C3</f>
        <v>Jolanthe &amp; Bart</v>
      </c>
      <c r="S3" s="86" t="str">
        <f>Gran!C3</f>
        <v>Leen</v>
      </c>
      <c r="U3" s="86" t="str">
        <f>Bangkok!C3</f>
        <v>Jan</v>
      </c>
    </row>
    <row r="4" spans="1:22" s="27" customFormat="1" ht="13.5" thickTop="1">
      <c r="A4" s="198" t="str">
        <f>IJff!C4</f>
        <v>Gallopin</v>
      </c>
      <c r="B4" s="195">
        <f ca="1">VLOOKUP(A4,Score!$B$2:$X$77,23,0)</f>
        <v>183.03917019247459</v>
      </c>
      <c r="C4" s="27" t="str">
        <f>Lothar!C4</f>
        <v>Boasson Hagen</v>
      </c>
      <c r="D4" s="195">
        <f ca="1">VLOOKUP(C4,Score!$B$2:$X$77,23,0)</f>
        <v>116.0230697155452</v>
      </c>
      <c r="E4" s="198" t="str">
        <f>Freaky!C4</f>
        <v>Kwiatkowski</v>
      </c>
      <c r="F4" s="195">
        <f ca="1">VLOOKUP(E4,Score!$B$2:$X$77,23,0)</f>
        <v>7.3887579843106635E-2</v>
      </c>
      <c r="G4" s="198" t="str">
        <f>Selfkant!C4</f>
        <v>Kwiatkowski</v>
      </c>
      <c r="H4" s="195">
        <f ca="1">VLOOKUP(G4,Score!$B$2:$X$77,23,0)</f>
        <v>7.3887579843106635E-2</v>
      </c>
      <c r="I4" s="198" t="str">
        <f>Tin!C4</f>
        <v>Boasson Hagen</v>
      </c>
      <c r="J4" s="195">
        <f ca="1">VLOOKUP(I4,Score!$B$2:$X$77,23,0)</f>
        <v>116.0230697155452</v>
      </c>
      <c r="K4" s="198" t="str">
        <f>Ami!C4</f>
        <v>Kwiatkowski</v>
      </c>
      <c r="L4" s="195">
        <f ca="1">VLOOKUP(K4,Score!$B$2:$X$77,23,0)</f>
        <v>7.3887579843106635E-2</v>
      </c>
      <c r="M4" s="198" t="str">
        <f>Lange!C4</f>
        <v>Boasson Hagen</v>
      </c>
      <c r="N4" s="195">
        <f ca="1">VLOOKUP(M4,Score!$B$2:$X$77,23,0)</f>
        <v>116.0230697155452</v>
      </c>
      <c r="O4" s="219" t="str">
        <f>Wadaf!C4</f>
        <v>Kwiatkowski</v>
      </c>
      <c r="P4" s="195">
        <f ca="1">VLOOKUP(O4,Score!$B$2:$X$77,23,0)</f>
        <v>7.3887579843106635E-2</v>
      </c>
      <c r="Q4" s="198" t="str">
        <f>Lego!C4</f>
        <v>Cancellara</v>
      </c>
      <c r="R4" s="195">
        <f ca="1">VLOOKUP(Q4,Score!$B$2:$X$77,23,0)</f>
        <v>77.028092940482708</v>
      </c>
      <c r="S4" s="198" t="str">
        <f>Gran!C4</f>
        <v>Kwiatkowski</v>
      </c>
      <c r="T4" s="195">
        <f ca="1">VLOOKUP(S4,Score!$B$2:$X$77,23,0)</f>
        <v>7.3887579843106635E-2</v>
      </c>
      <c r="U4" s="198" t="str">
        <f>Bangkok!C4</f>
        <v>boasson hagen</v>
      </c>
      <c r="V4" s="195">
        <f ca="1">VLOOKUP(U4,Score!$B$2:$X$77,23,0)</f>
        <v>116.0230697155452</v>
      </c>
    </row>
    <row r="5" spans="1:22" s="27" customFormat="1">
      <c r="A5" s="198" t="str">
        <f>IJff!C5</f>
        <v>Kwiatkowski</v>
      </c>
      <c r="B5" s="195">
        <f ca="1">VLOOKUP(A5,Score!$B$2:$X$77,23,0)</f>
        <v>7.3887579843106635E-2</v>
      </c>
      <c r="C5" s="27" t="str">
        <f>Lothar!C5</f>
        <v>Kwiatkowski</v>
      </c>
      <c r="D5" s="195">
        <f ca="1">VLOOKUP(C5,Score!$B$2:$X$77,23,0)</f>
        <v>7.3887579843106635E-2</v>
      </c>
      <c r="E5" s="305" t="str">
        <f>Freaky!C5</f>
        <v>Bardet</v>
      </c>
      <c r="F5" s="195">
        <f ca="1">VLOOKUP(E5,Score!$B$2:$X$77,23,0)</f>
        <v>152.09857885058679</v>
      </c>
      <c r="G5" s="305" t="str">
        <f>Selfkant!C5</f>
        <v>Arredondo</v>
      </c>
      <c r="H5" s="195">
        <f ca="1">VLOOKUP(G5,Score!$B$2:$X$77,23,0)</f>
        <v>28.025130256466799</v>
      </c>
      <c r="I5" s="305" t="str">
        <f>Tin!C5</f>
        <v>Bardet</v>
      </c>
      <c r="J5" s="195">
        <f ca="1">VLOOKUP(I5,Score!$B$2:$X$77,23,0)</f>
        <v>152.09857885058679</v>
      </c>
      <c r="K5" s="305" t="str">
        <f>Ami!C5</f>
        <v>Bardet</v>
      </c>
      <c r="L5" s="195">
        <f ca="1">VLOOKUP(K5,Score!$B$2:$X$77,23,0)</f>
        <v>152.09857885058679</v>
      </c>
      <c r="M5" s="198" t="str">
        <f>Lange!C5</f>
        <v>Kwiatkowski</v>
      </c>
      <c r="N5" s="195">
        <f ca="1">VLOOKUP(M5,Score!$B$2:$X$77,23,0)</f>
        <v>7.3887579843106635E-2</v>
      </c>
      <c r="O5" s="304" t="str">
        <f>Wadaf!C5</f>
        <v>Bardet</v>
      </c>
      <c r="P5" s="195">
        <f ca="1">VLOOKUP(O5,Score!$B$2:$X$77,23,0)</f>
        <v>152.09857885058679</v>
      </c>
      <c r="Q5" s="198" t="str">
        <f>Lego!C5</f>
        <v>Kwiatkowski</v>
      </c>
      <c r="R5" s="195">
        <f ca="1">VLOOKUP(Q5,Score!$B$2:$X$77,23,0)</f>
        <v>7.3887579843106635E-2</v>
      </c>
      <c r="S5" s="198" t="str">
        <f>Gran!C5</f>
        <v>T.Martin</v>
      </c>
      <c r="T5" s="195">
        <f ca="1">VLOOKUP(S5,Score!$B$2:$X$77,23,0)</f>
        <v>147.06732715684512</v>
      </c>
      <c r="U5" s="198" t="str">
        <f>Bangkok!C5</f>
        <v>cancellara</v>
      </c>
      <c r="V5" s="195">
        <f ca="1">VLOOKUP(U5,Score!$B$2:$X$77,23,0)</f>
        <v>77.028092940482708</v>
      </c>
    </row>
    <row r="6" spans="1:22" s="27" customFormat="1">
      <c r="A6" s="305" t="str">
        <f>IJff!C6</f>
        <v>Buchmann</v>
      </c>
      <c r="B6" s="195">
        <f ca="1">VLOOKUP(A6,Score!$B$2:$X$77,23,0)</f>
        <v>26.062222845787456</v>
      </c>
      <c r="C6" s="308" t="str">
        <f>Lothar!C6</f>
        <v>Bardet</v>
      </c>
      <c r="D6" s="195">
        <f ca="1">VLOOKUP(C6,Score!$B$2:$X$77,23,0)</f>
        <v>152.09857885058679</v>
      </c>
      <c r="E6" s="305" t="str">
        <f>Freaky!C6</f>
        <v>Costa</v>
      </c>
      <c r="F6" s="195">
        <f ca="1">VLOOKUP(E6,Score!$B$2:$X$77,23,0)</f>
        <v>8.0369351678980475E-2</v>
      </c>
      <c r="G6" s="305" t="str">
        <f>Selfkant!C6</f>
        <v>Bardet</v>
      </c>
      <c r="H6" s="195">
        <f ca="1">VLOOKUP(G6,Score!$B$2:$X$77,23,0)</f>
        <v>152.09857885058679</v>
      </c>
      <c r="I6" s="305" t="str">
        <f>Tin!C6</f>
        <v>D.Martin</v>
      </c>
      <c r="J6" s="195">
        <f ca="1">VLOOKUP(I6,Score!$B$2:$X$77,23,0)</f>
        <v>84.078852876928579</v>
      </c>
      <c r="K6" s="305" t="str">
        <f>Ami!C6</f>
        <v>Kelderman</v>
      </c>
      <c r="L6" s="195">
        <f ca="1">VLOOKUP(K6,Score!$B$2:$X$77,23,0)</f>
        <v>25.058341169026072</v>
      </c>
      <c r="M6" s="198" t="str">
        <f>Lange!C6</f>
        <v>T.Martin</v>
      </c>
      <c r="N6" s="195">
        <f ca="1">VLOOKUP(M6,Score!$B$2:$X$77,23,0)</f>
        <v>147.06732715684512</v>
      </c>
      <c r="O6" s="304" t="str">
        <f>Wadaf!C6</f>
        <v>Costa</v>
      </c>
      <c r="P6" s="195">
        <f ca="1">VLOOKUP(O6,Score!$B$2:$X$77,23,0)</f>
        <v>8.0369351678980475E-2</v>
      </c>
      <c r="Q6" s="305" t="str">
        <f>Lego!C6</f>
        <v>Bardet</v>
      </c>
      <c r="R6" s="195">
        <f ca="1">VLOOKUP(Q6,Score!$B$2:$X$77,23,0)</f>
        <v>152.09857885058679</v>
      </c>
      <c r="S6" s="305" t="str">
        <f>Gran!C6</f>
        <v>Bardet</v>
      </c>
      <c r="T6" s="195">
        <f ca="1">VLOOKUP(S6,Score!$B$2:$X$77,23,0)</f>
        <v>152.09857885058679</v>
      </c>
      <c r="U6" s="198" t="str">
        <f>Bangkok!C6</f>
        <v>t.martin</v>
      </c>
      <c r="V6" s="195">
        <f ca="1">VLOOKUP(U6,Score!$B$2:$X$77,23,0)</f>
        <v>147.06732715684512</v>
      </c>
    </row>
    <row r="7" spans="1:22" s="27" customFormat="1">
      <c r="A7" s="305" t="str">
        <f>IJff!C7</f>
        <v>Costa</v>
      </c>
      <c r="B7" s="195">
        <f ca="1">VLOOKUP(A7,Score!$B$2:$X$77,23,0)</f>
        <v>8.0369351678980475E-2</v>
      </c>
      <c r="C7" s="308" t="str">
        <f>Lothar!C7</f>
        <v>Costa</v>
      </c>
      <c r="D7" s="195">
        <f ca="1">VLOOKUP(C7,Score!$B$2:$X$77,23,0)</f>
        <v>8.0369351678980475E-2</v>
      </c>
      <c r="E7" s="305" t="str">
        <f>Freaky!C7</f>
        <v>Majka</v>
      </c>
      <c r="F7" s="195">
        <f ca="1">VLOOKUP(E7,Score!$B$2:$X$77,23,0)</f>
        <v>88.089619655998845</v>
      </c>
      <c r="G7" s="305" t="str">
        <f>Selfkant!C7</f>
        <v>Barguil</v>
      </c>
      <c r="H7" s="195">
        <f ca="1">VLOOKUP(G7,Score!$B$2:$X$77,23,0)</f>
        <v>94.025177333395334</v>
      </c>
      <c r="I7" s="305" t="str">
        <f>Tin!C7</f>
        <v>Fuglsang</v>
      </c>
      <c r="J7" s="195">
        <f ca="1">VLOOKUP(I7,Score!$B$2:$X$77,23,0)</f>
        <v>88.019994407842191</v>
      </c>
      <c r="K7" s="305" t="str">
        <f>Ami!C7</f>
        <v>Konig</v>
      </c>
      <c r="L7" s="195">
        <f ca="1">VLOOKUP(K7,Score!$B$2:$X$77,23,0)</f>
        <v>3.3016557519409059E-2</v>
      </c>
      <c r="M7" s="305" t="str">
        <f>Lange!C7</f>
        <v>Bardet</v>
      </c>
      <c r="N7" s="195">
        <f ca="1">VLOOKUP(M7,Score!$B$2:$X$77,23,0)</f>
        <v>152.09857885058679</v>
      </c>
      <c r="O7" s="304" t="str">
        <f>Wadaf!C7</f>
        <v>Kelderman</v>
      </c>
      <c r="P7" s="195">
        <f ca="1">VLOOKUP(O7,Score!$B$2:$X$77,23,0)</f>
        <v>25.058341169026072</v>
      </c>
      <c r="Q7" s="305" t="str">
        <f>Lego!C7</f>
        <v>Majka</v>
      </c>
      <c r="R7" s="195">
        <f ca="1">VLOOKUP(Q7,Score!$B$2:$X$77,23,0)</f>
        <v>88.089619655998845</v>
      </c>
      <c r="S7" s="305" t="str">
        <f>Gran!C7</f>
        <v>Pinot</v>
      </c>
      <c r="T7" s="195">
        <f ca="1">VLOOKUP(S7,Score!$B$2:$X$77,23,0)</f>
        <v>139.00067678008929</v>
      </c>
      <c r="U7" s="198" t="str">
        <f>Bangkok!C7</f>
        <v>fuglsang</v>
      </c>
      <c r="V7" s="195">
        <f ca="1">VLOOKUP(U7,Score!$B$2:$X$77,23,0)</f>
        <v>88.019994407842191</v>
      </c>
    </row>
    <row r="8" spans="1:22" s="27" customFormat="1">
      <c r="A8" s="305" t="str">
        <f>IJff!C8</f>
        <v>Frank</v>
      </c>
      <c r="B8" s="195">
        <f ca="1">VLOOKUP(A8,Score!$B$2:$X$77,23,0)</f>
        <v>83.046675452487932</v>
      </c>
      <c r="C8" s="308" t="str">
        <f>Lothar!C8</f>
        <v>D.Martin</v>
      </c>
      <c r="D8" s="195">
        <f ca="1">VLOOKUP(C8,Score!$B$2:$X$77,23,0)</f>
        <v>84.078852876928579</v>
      </c>
      <c r="E8" s="305" t="str">
        <f>Freaky!C8</f>
        <v>Meintjes</v>
      </c>
      <c r="F8" s="195">
        <f ca="1">VLOOKUP(E8,Score!$B$2:$X$77,23,0)</f>
        <v>22.044047845229152</v>
      </c>
      <c r="G8" s="305" t="str">
        <f>Selfkant!C8</f>
        <v>Costa</v>
      </c>
      <c r="H8" s="195">
        <f ca="1">VLOOKUP(G8,Score!$B$2:$X$77,23,0)</f>
        <v>8.0369351678980475E-2</v>
      </c>
      <c r="I8" s="305" t="str">
        <f>Tin!C8</f>
        <v>Majka</v>
      </c>
      <c r="J8" s="195">
        <f ca="1">VLOOKUP(I8,Score!$B$2:$X$77,23,0)</f>
        <v>88.089619655998845</v>
      </c>
      <c r="K8" s="305" t="str">
        <f>Ami!C8</f>
        <v>Majka</v>
      </c>
      <c r="L8" s="195">
        <f ca="1">VLOOKUP(K8,Score!$B$2:$X$77,23,0)</f>
        <v>88.089619655998845</v>
      </c>
      <c r="M8" s="305" t="str">
        <f>Lange!C8</f>
        <v>Costa</v>
      </c>
      <c r="N8" s="195">
        <f ca="1">VLOOKUP(M8,Score!$B$2:$X$77,23,0)</f>
        <v>8.0369351678980475E-2</v>
      </c>
      <c r="O8" s="304" t="str">
        <f>Wadaf!C8</f>
        <v>Mollema</v>
      </c>
      <c r="P8" s="195">
        <f ca="1">VLOOKUP(O8,Score!$B$2:$X$77,23,0)</f>
        <v>144.09364151412717</v>
      </c>
      <c r="Q8" s="305" t="str">
        <f>Lego!C8</f>
        <v>Mollema</v>
      </c>
      <c r="R8" s="195">
        <f ca="1">VLOOKUP(Q8,Score!$B$2:$X$77,23,0)</f>
        <v>144.09364151412717</v>
      </c>
      <c r="S8" s="305" t="str">
        <f>Gran!C8</f>
        <v>Porte</v>
      </c>
      <c r="T8" s="195">
        <f ca="1">VLOOKUP(S8,Score!$B$2:$X$77,23,0)</f>
        <v>68.025664521866773</v>
      </c>
      <c r="U8" s="305" t="str">
        <f>Bangkok!C8</f>
        <v>gesink</v>
      </c>
      <c r="V8" s="195">
        <f ca="1">VLOOKUP(U8,Score!$B$2:$X$77,23,0)</f>
        <v>209.01238302441232</v>
      </c>
    </row>
    <row r="9" spans="1:22" s="27" customFormat="1">
      <c r="A9" s="305" t="str">
        <f>IJff!C9</f>
        <v>Kelderman</v>
      </c>
      <c r="B9" s="195">
        <f ca="1">VLOOKUP(A9,Score!$B$2:$X$77,23,0)</f>
        <v>25.058341169026072</v>
      </c>
      <c r="C9" s="308" t="str">
        <f>Lothar!C9</f>
        <v>Frank</v>
      </c>
      <c r="D9" s="195">
        <f ca="1">VLOOKUP(C9,Score!$B$2:$X$77,23,0)</f>
        <v>83.046675452487932</v>
      </c>
      <c r="E9" s="305" t="str">
        <f>Freaky!C9</f>
        <v>Pinot</v>
      </c>
      <c r="F9" s="195">
        <f ca="1">VLOOKUP(E9,Score!$B$2:$X$77,23,0)</f>
        <v>139.00067678008929</v>
      </c>
      <c r="G9" s="305" t="str">
        <f>Selfkant!C9</f>
        <v>Majka</v>
      </c>
      <c r="H9" s="195">
        <f ca="1">VLOOKUP(G9,Score!$B$2:$X$77,23,0)</f>
        <v>88.089619655998845</v>
      </c>
      <c r="I9" s="305" t="str">
        <f>Tin!C9</f>
        <v>Pinot</v>
      </c>
      <c r="J9" s="195">
        <f ca="1">VLOOKUP(I9,Score!$B$2:$X$77,23,0)</f>
        <v>139.00067678008929</v>
      </c>
      <c r="K9" s="305" t="str">
        <f>Ami!C9</f>
        <v>Peraud</v>
      </c>
      <c r="L9" s="195">
        <f ca="1">VLOOKUP(K9,Score!$B$2:$X$77,23,0)</f>
        <v>10.038275879654501</v>
      </c>
      <c r="M9" s="305" t="str">
        <f>Lange!C9</f>
        <v>Gesink</v>
      </c>
      <c r="N9" s="195">
        <f ca="1">VLOOKUP(M9,Score!$B$2:$X$77,23,0)</f>
        <v>209.01238302441232</v>
      </c>
      <c r="O9" s="304" t="str">
        <f>Wadaf!C9</f>
        <v>Pinot</v>
      </c>
      <c r="P9" s="195">
        <f ca="1">VLOOKUP(O9,Score!$B$2:$X$77,23,0)</f>
        <v>139.00067678008929</v>
      </c>
      <c r="Q9" s="305" t="str">
        <f>Lego!C9</f>
        <v>Pinot</v>
      </c>
      <c r="R9" s="195">
        <f ca="1">VLOOKUP(Q9,Score!$B$2:$X$77,23,0)</f>
        <v>139.00067678008929</v>
      </c>
      <c r="S9" s="305" t="str">
        <f>Gran!C9</f>
        <v>Rodriguez</v>
      </c>
      <c r="T9" s="195">
        <f ca="1">VLOOKUP(S9,Score!$B$2:$X$77,23,0)</f>
        <v>178.01066917445166</v>
      </c>
      <c r="U9" s="305" t="str">
        <f>Bangkok!C9</f>
        <v>hesjedal</v>
      </c>
      <c r="V9" s="195">
        <f ca="1">VLOOKUP(U9,Score!$B$2:$X$77,23,0)</f>
        <v>37.07008480701024</v>
      </c>
    </row>
    <row r="10" spans="1:22" s="27" customFormat="1">
      <c r="A10" s="305" t="str">
        <f>IJff!C10</f>
        <v>Mollema</v>
      </c>
      <c r="B10" s="195">
        <f ca="1">VLOOKUP(A10,Score!$B$2:$X$77,23,0)</f>
        <v>144.09364151412717</v>
      </c>
      <c r="C10" s="308" t="str">
        <f>Lothar!C10</f>
        <v>Fuglsang</v>
      </c>
      <c r="D10" s="195">
        <f ca="1">VLOOKUP(C10,Score!$B$2:$X$77,23,0)</f>
        <v>88.019994407842191</v>
      </c>
      <c r="E10" s="305" t="str">
        <f>Freaky!C10</f>
        <v>Porte</v>
      </c>
      <c r="F10" s="195">
        <f ca="1">VLOOKUP(E10,Score!$B$2:$X$77,23,0)</f>
        <v>68.025664521866773</v>
      </c>
      <c r="G10" s="305" t="str">
        <f>Selfkant!C10</f>
        <v>Pinot</v>
      </c>
      <c r="H10" s="195">
        <f ca="1">VLOOKUP(G10,Score!$B$2:$X$77,23,0)</f>
        <v>139.00067678008929</v>
      </c>
      <c r="I10" s="305" t="str">
        <f>Tin!C10</f>
        <v>Rodriguez</v>
      </c>
      <c r="J10" s="195">
        <f ca="1">VLOOKUP(I10,Score!$B$2:$X$77,23,0)</f>
        <v>178.01066917445166</v>
      </c>
      <c r="K10" s="305" t="str">
        <f>Ami!C10</f>
        <v>Pinot</v>
      </c>
      <c r="L10" s="195">
        <f ca="1">VLOOKUP(K10,Score!$B$2:$X$77,23,0)</f>
        <v>139.00067678008929</v>
      </c>
      <c r="M10" s="305" t="str">
        <f>Lange!C10</f>
        <v>Kangert</v>
      </c>
      <c r="N10" s="195">
        <f ca="1">VLOOKUP(M10,Score!$B$2:$X$77,23,0)</f>
        <v>9.0223350412144683</v>
      </c>
      <c r="O10" s="304" t="str">
        <f>Wadaf!C10</f>
        <v>Rodriguez</v>
      </c>
      <c r="P10" s="195">
        <f ca="1">VLOOKUP(O10,Score!$B$2:$X$77,23,0)</f>
        <v>178.01066917445166</v>
      </c>
      <c r="Q10" s="305" t="str">
        <f>Lego!C10</f>
        <v>Rodriguez</v>
      </c>
      <c r="R10" s="195">
        <f ca="1">VLOOKUP(Q10,Score!$B$2:$X$77,23,0)</f>
        <v>178.01066917445166</v>
      </c>
      <c r="S10" s="305" t="str">
        <f>Gran!C10</f>
        <v>Rolland</v>
      </c>
      <c r="T10" s="195">
        <f ca="1">VLOOKUP(S10,Score!$B$2:$X$77,23,0)</f>
        <v>126.02617611132293</v>
      </c>
      <c r="U10" s="305" t="str">
        <f>Bangkok!C10</f>
        <v>majka</v>
      </c>
      <c r="V10" s="195">
        <f ca="1">VLOOKUP(U10,Score!$B$2:$X$77,23,0)</f>
        <v>88.089619655998845</v>
      </c>
    </row>
    <row r="11" spans="1:22" s="27" customFormat="1">
      <c r="A11" s="305" t="str">
        <f>IJff!C11</f>
        <v>Peraud</v>
      </c>
      <c r="B11" s="195">
        <f ca="1">VLOOKUP(A11,Score!$B$2:$X$77,23,0)</f>
        <v>10.038275879654501</v>
      </c>
      <c r="C11" s="308" t="str">
        <f>Lothar!C11</f>
        <v>Gesink</v>
      </c>
      <c r="D11" s="195">
        <f ca="1">VLOOKUP(C11,Score!$B$2:$X$77,23,0)</f>
        <v>209.01238302441232</v>
      </c>
      <c r="E11" s="305" t="str">
        <f>Freaky!C11</f>
        <v>Rodriguez</v>
      </c>
      <c r="F11" s="195">
        <f ca="1">VLOOKUP(E11,Score!$B$2:$X$77,23,0)</f>
        <v>178.01066917445166</v>
      </c>
      <c r="G11" s="305" t="str">
        <f>Selfkant!C11</f>
        <v>Rodriguez</v>
      </c>
      <c r="H11" s="195">
        <f ca="1">VLOOKUP(G11,Score!$B$2:$X$77,23,0)</f>
        <v>178.01066917445166</v>
      </c>
      <c r="I11" s="305" t="str">
        <f>Tin!C11</f>
        <v>Rolland</v>
      </c>
      <c r="J11" s="195">
        <f ca="1">VLOOKUP(I11,Score!$B$2:$X$77,23,0)</f>
        <v>126.02617611132293</v>
      </c>
      <c r="K11" s="305" t="str">
        <f>Ami!C11</f>
        <v>Uran</v>
      </c>
      <c r="L11" s="195">
        <f ca="1">VLOOKUP(K11,Score!$B$2:$X$77,23,0)</f>
        <v>141.00536290997948</v>
      </c>
      <c r="M11" s="305" t="str">
        <f>Lange!C11</f>
        <v>Peraud</v>
      </c>
      <c r="N11" s="195">
        <f ca="1">VLOOKUP(M11,Score!$B$2:$X$77,23,0)</f>
        <v>10.038275879654501</v>
      </c>
      <c r="O11" s="304" t="str">
        <f>Wadaf!C11</f>
        <v>Talansky</v>
      </c>
      <c r="P11" s="195">
        <f ca="1">VLOOKUP(O11,Score!$B$2:$X$77,23,0)</f>
        <v>73.023257340919173</v>
      </c>
      <c r="Q11" s="305" t="str">
        <f>Lego!C11</f>
        <v>Rolland</v>
      </c>
      <c r="R11" s="195">
        <f ca="1">VLOOKUP(Q11,Score!$B$2:$X$77,23,0)</f>
        <v>126.02617611132293</v>
      </c>
      <c r="S11" s="305" t="str">
        <f>Gran!C11</f>
        <v>S.Yates</v>
      </c>
      <c r="T11" s="195">
        <f ca="1">VLOOKUP(S11,Score!$B$2:$X$77,23,0)</f>
        <v>49.088628244576313</v>
      </c>
      <c r="U11" s="305" t="str">
        <f>Bangkok!C11</f>
        <v>mollema</v>
      </c>
      <c r="V11" s="195">
        <f ca="1">VLOOKUP(U11,Score!$B$2:$X$77,23,0)</f>
        <v>144.09364151412717</v>
      </c>
    </row>
    <row r="12" spans="1:22" s="27" customFormat="1">
      <c r="A12" s="305" t="str">
        <f>IJff!C12</f>
        <v>Pinot</v>
      </c>
      <c r="B12" s="195">
        <f ca="1">VLOOKUP(A12,Score!$B$2:$X$77,23,0)</f>
        <v>139.00067678008929</v>
      </c>
      <c r="C12" s="308" t="str">
        <f>Lothar!C12</f>
        <v>Kelderman</v>
      </c>
      <c r="D12" s="195">
        <f ca="1">VLOOKUP(C12,Score!$B$2:$X$77,23,0)</f>
        <v>25.058341169026072</v>
      </c>
      <c r="E12" s="305" t="str">
        <f>Freaky!C12</f>
        <v>Talansky</v>
      </c>
      <c r="F12" s="195">
        <f ca="1">VLOOKUP(E12,Score!$B$2:$X$77,23,0)</f>
        <v>73.023257340919173</v>
      </c>
      <c r="G12" s="305" t="str">
        <f>Selfkant!C12</f>
        <v>Rolland</v>
      </c>
      <c r="H12" s="195">
        <f ca="1">VLOOKUP(G12,Score!$B$2:$X$77,23,0)</f>
        <v>126.02617611132293</v>
      </c>
      <c r="I12" s="305" t="str">
        <f>Tin!C12</f>
        <v>Talansky</v>
      </c>
      <c r="J12" s="195">
        <f ca="1">VLOOKUP(I12,Score!$B$2:$X$77,23,0)</f>
        <v>73.023257340919173</v>
      </c>
      <c r="K12" s="305" t="str">
        <f>Ami!C12</f>
        <v>Valverde</v>
      </c>
      <c r="L12" s="195">
        <f ca="1">VLOOKUP(K12,Score!$B$2:$X$77,23,0)</f>
        <v>288.0308528257716</v>
      </c>
      <c r="M12" s="305" t="str">
        <f>Lange!C12</f>
        <v>Rodriguez</v>
      </c>
      <c r="N12" s="195">
        <f ca="1">VLOOKUP(M12,Score!$B$2:$X$77,23,0)</f>
        <v>178.01066917445166</v>
      </c>
      <c r="O12" s="304" t="str">
        <f>Wadaf!C12</f>
        <v>Valverde</v>
      </c>
      <c r="P12" s="195">
        <f ca="1">VLOOKUP(O12,Score!$B$2:$X$77,23,0)</f>
        <v>288.0308528257716</v>
      </c>
      <c r="Q12" s="305" t="str">
        <f>Lego!C12</f>
        <v>Valverde</v>
      </c>
      <c r="R12" s="195">
        <f ca="1">VLOOKUP(Q12,Score!$B$2:$X$77,23,0)</f>
        <v>288.0308528257716</v>
      </c>
      <c r="S12" s="305" t="str">
        <f>Gran!C12</f>
        <v>Uran</v>
      </c>
      <c r="T12" s="195">
        <f ca="1">VLOOKUP(S12,Score!$B$2:$X$77,23,0)</f>
        <v>141.00536290997948</v>
      </c>
      <c r="U12" s="305" t="str">
        <f>Bangkok!C12</f>
        <v>pinot</v>
      </c>
      <c r="V12" s="195">
        <f ca="1">VLOOKUP(U12,Score!$B$2:$X$77,23,0)</f>
        <v>139.00067678008929</v>
      </c>
    </row>
    <row r="13" spans="1:22" s="27" customFormat="1">
      <c r="A13" s="305" t="str">
        <f>IJff!C13</f>
        <v>Rodriguez</v>
      </c>
      <c r="B13" s="195">
        <f ca="1">VLOOKUP(A13,Score!$B$2:$X$77,23,0)</f>
        <v>178.01066917445166</v>
      </c>
      <c r="C13" s="308" t="str">
        <f>Lothar!C13</f>
        <v>Konig</v>
      </c>
      <c r="D13" s="195">
        <f ca="1">VLOOKUP(C13,Score!$B$2:$X$77,23,0)</f>
        <v>3.3016557519409059E-2</v>
      </c>
      <c r="E13" s="305" t="str">
        <f>Freaky!C13</f>
        <v>Uran</v>
      </c>
      <c r="F13" s="195">
        <f ca="1">VLOOKUP(E13,Score!$B$2:$X$77,23,0)</f>
        <v>141.00536290997948</v>
      </c>
      <c r="G13" s="305" t="str">
        <f>Selfkant!C13</f>
        <v>Talansky</v>
      </c>
      <c r="H13" s="195">
        <f ca="1">VLOOKUP(G13,Score!$B$2:$X$77,23,0)</f>
        <v>73.023257340919173</v>
      </c>
      <c r="I13" s="305" t="str">
        <f>Tin!C13</f>
        <v>Valverde</v>
      </c>
      <c r="J13" s="195">
        <f ca="1">VLOOKUP(I13,Score!$B$2:$X$77,23,0)</f>
        <v>288.0308528257716</v>
      </c>
      <c r="K13" s="305" t="str">
        <f>Ami!C13</f>
        <v>van Garderen</v>
      </c>
      <c r="L13" s="195">
        <f ca="1">VLOOKUP(K13,Score!$B$2:$X$77,23,0)</f>
        <v>226.18908810956881</v>
      </c>
      <c r="M13" s="305" t="str">
        <f>Lange!C13</f>
        <v>Rolland</v>
      </c>
      <c r="N13" s="195">
        <f ca="1">VLOOKUP(M13,Score!$B$2:$X$77,23,0)</f>
        <v>126.02617611132293</v>
      </c>
      <c r="O13" s="304" t="str">
        <f>Wadaf!C13</f>
        <v>van Garderen</v>
      </c>
      <c r="P13" s="195">
        <f ca="1">VLOOKUP(O13,Score!$B$2:$X$77,23,0)</f>
        <v>226.18908810956881</v>
      </c>
      <c r="Q13" s="305" t="str">
        <f>Lego!C13</f>
        <v>Van Garderen</v>
      </c>
      <c r="R13" s="195">
        <f ca="1">VLOOKUP(Q13,Score!$B$2:$X$77,23,0)</f>
        <v>226.18908810956881</v>
      </c>
      <c r="S13" s="305" t="str">
        <f>Gran!C13</f>
        <v>Van Garderen</v>
      </c>
      <c r="T13" s="195">
        <f ca="1">VLOOKUP(S13,Score!$B$2:$X$77,23,0)</f>
        <v>226.18908810956881</v>
      </c>
      <c r="U13" s="319" t="str">
        <f>Bangkok!C13</f>
        <v>valverde</v>
      </c>
      <c r="V13" s="195">
        <f ca="1">VLOOKUP(U13,Score!$B$2:$X$77,23,0)</f>
        <v>288.0308528257716</v>
      </c>
    </row>
    <row r="14" spans="1:22" s="27" customFormat="1">
      <c r="A14" s="305" t="str">
        <f>IJff!C14</f>
        <v>Rolland</v>
      </c>
      <c r="B14" s="195">
        <f ca="1">VLOOKUP(A14,Score!$B$2:$X$77,23,0)</f>
        <v>126.02617611132293</v>
      </c>
      <c r="C14" s="308" t="str">
        <f>Lothar!C14</f>
        <v>Mollema</v>
      </c>
      <c r="D14" s="195">
        <f ca="1">VLOOKUP(C14,Score!$B$2:$X$77,23,0)</f>
        <v>144.09364151412717</v>
      </c>
      <c r="E14" s="305" t="str">
        <f>Freaky!C14</f>
        <v>Valverde</v>
      </c>
      <c r="F14" s="195">
        <f ca="1">VLOOKUP(E14,Score!$B$2:$X$77,23,0)</f>
        <v>288.0308528257716</v>
      </c>
      <c r="G14" s="305" t="str">
        <f>Selfkant!C14</f>
        <v>Valverde</v>
      </c>
      <c r="H14" s="195">
        <f ca="1">VLOOKUP(G14,Score!$B$2:$X$77,23,0)</f>
        <v>288.0308528257716</v>
      </c>
      <c r="I14" s="305" t="str">
        <f>Tin!C14</f>
        <v>van Garderen</v>
      </c>
      <c r="J14" s="195">
        <f ca="1">VLOOKUP(I14,Score!$B$2:$X$77,23,0)</f>
        <v>226.18908810956881</v>
      </c>
      <c r="K14" s="305" t="str">
        <f>Ami!C14</f>
        <v>Zubeldia</v>
      </c>
      <c r="L14" s="195">
        <f ca="1">VLOOKUP(K14,Score!$B$2:$X$77,23,0)</f>
        <v>2.0007606671200405E-2</v>
      </c>
      <c r="M14" s="305" t="str">
        <f>Lange!C14</f>
        <v>Valverde</v>
      </c>
      <c r="N14" s="195">
        <f ca="1">VLOOKUP(M14,Score!$B$2:$X$77,23,0)</f>
        <v>288.0308528257716</v>
      </c>
      <c r="O14" s="306" t="str">
        <f>Wadaf!C14</f>
        <v>Cavendish</v>
      </c>
      <c r="P14" s="195">
        <f ca="1">VLOOKUP(O14,Score!$B$2:$X$77,23,0)</f>
        <v>159.09430241757497</v>
      </c>
      <c r="Q14" s="307" t="str">
        <f>Lego!C14</f>
        <v>Cavendish</v>
      </c>
      <c r="R14" s="195">
        <f ca="1">VLOOKUP(Q14,Score!$B$2:$X$77,23,0)</f>
        <v>159.09430241757497</v>
      </c>
      <c r="S14" s="198" t="str">
        <f>Gran!C14</f>
        <v>Poels</v>
      </c>
      <c r="T14" s="195">
        <f ca="1">VLOOKUP(S14,Score!$B$2:$X$77,23,0)</f>
        <v>27.043644692745186</v>
      </c>
      <c r="U14" s="305" t="str">
        <f>Bangkok!C14</f>
        <v>van garderen</v>
      </c>
      <c r="V14" s="195">
        <f ca="1">VLOOKUP(U14,Score!$B$2:$X$77,23,0)</f>
        <v>226.18908810956881</v>
      </c>
    </row>
    <row r="15" spans="1:22" s="27" customFormat="1">
      <c r="A15" s="305" t="str">
        <f>IJff!C15</f>
        <v>Sepulveda</v>
      </c>
      <c r="B15" s="195">
        <f ca="1">VLOOKUP(A15,Score!$B$2:$X$77,23,0)</f>
        <v>7.0549914081303795</v>
      </c>
      <c r="C15" s="308" t="str">
        <f>Lothar!C15</f>
        <v>Pinot</v>
      </c>
      <c r="D15" s="195">
        <f ca="1">VLOOKUP(C15,Score!$B$2:$X$77,23,0)</f>
        <v>139.00067678008929</v>
      </c>
      <c r="E15" s="305" t="str">
        <f>Freaky!C15</f>
        <v>van Garderen</v>
      </c>
      <c r="F15" s="195">
        <f ca="1">VLOOKUP(E15,Score!$B$2:$X$77,23,0)</f>
        <v>226.18908810956881</v>
      </c>
      <c r="G15" s="305" t="str">
        <f>Selfkant!C15</f>
        <v>van Garderen</v>
      </c>
      <c r="H15" s="195">
        <f ca="1">VLOOKUP(G15,Score!$B$2:$X$77,23,0)</f>
        <v>226.18908810956881</v>
      </c>
      <c r="I15" s="307" t="str">
        <f>Tin!C15</f>
        <v>Cavendish</v>
      </c>
      <c r="J15" s="195">
        <f ca="1">VLOOKUP(I15,Score!$B$2:$X$77,23,0)</f>
        <v>159.09430241757497</v>
      </c>
      <c r="K15" s="307" t="str">
        <f>Ami!C15</f>
        <v>Bouhanni</v>
      </c>
      <c r="L15" s="195">
        <f ca="1">VLOOKUP(K15,Score!$B$2:$X$77,23,0)</f>
        <v>20.056860563974624</v>
      </c>
      <c r="M15" s="305" t="str">
        <f>Lange!C15</f>
        <v>van Garderen</v>
      </c>
      <c r="N15" s="195">
        <f ca="1">VLOOKUP(M15,Score!$B$2:$X$77,23,0)</f>
        <v>226.18908810956881</v>
      </c>
      <c r="O15" s="306" t="str">
        <f>Wadaf!C15</f>
        <v>Cimolai</v>
      </c>
      <c r="P15" s="195">
        <f ca="1">VLOOKUP(O15,Score!$B$2:$X$77,23,0)</f>
        <v>76.060731459019337</v>
      </c>
      <c r="Q15" s="307" t="str">
        <f>Lego!C15</f>
        <v>Coquard</v>
      </c>
      <c r="R15" s="195">
        <f ca="1">VLOOKUP(Q15,Score!$B$2:$X$77,23,0)</f>
        <v>128.05315453887638</v>
      </c>
      <c r="S15" s="307" t="str">
        <f>Gran!C15</f>
        <v>Cavendish</v>
      </c>
      <c r="T15" s="195">
        <f ca="1">VLOOKUP(S15,Score!$B$2:$X$77,23,0)</f>
        <v>159.09430241757497</v>
      </c>
      <c r="U15" s="198" t="str">
        <f>Bangkok!C15</f>
        <v>basso</v>
      </c>
      <c r="V15" s="195">
        <f ca="1">VLOOKUP(U15,Score!$B$2:$X$77,23,0)</f>
        <v>6.8926163849955674E-2</v>
      </c>
    </row>
    <row r="16" spans="1:22" s="27" customFormat="1">
      <c r="A16" s="305" t="str">
        <f>IJff!C16</f>
        <v>Talansky</v>
      </c>
      <c r="B16" s="195">
        <f ca="1">VLOOKUP(A16,Score!$B$2:$X$77,23,0)</f>
        <v>73.023257340919173</v>
      </c>
      <c r="C16" s="308" t="str">
        <f>Lothar!C16</f>
        <v>Talansky</v>
      </c>
      <c r="D16" s="195">
        <f ca="1">VLOOKUP(C16,Score!$B$2:$X$77,23,0)</f>
        <v>73.023257340919173</v>
      </c>
      <c r="E16" s="307" t="str">
        <f>Freaky!C16</f>
        <v>Cavendish</v>
      </c>
      <c r="F16" s="195">
        <f ca="1">VLOOKUP(E16,Score!$B$2:$X$77,23,0)</f>
        <v>159.09430241757497</v>
      </c>
      <c r="G16" s="307" t="str">
        <f>Selfkant!C16</f>
        <v>Cavendish</v>
      </c>
      <c r="H16" s="195">
        <f ca="1">VLOOKUP(G16,Score!$B$2:$X$77,23,0)</f>
        <v>159.09430241757497</v>
      </c>
      <c r="I16" s="307" t="str">
        <f>Tin!C16</f>
        <v>Coquard</v>
      </c>
      <c r="J16" s="195">
        <f ca="1">VLOOKUP(I16,Score!$B$2:$X$77,23,0)</f>
        <v>128.05315453887638</v>
      </c>
      <c r="K16" s="307" t="str">
        <f>Ami!C16</f>
        <v>Cavendish</v>
      </c>
      <c r="L16" s="195">
        <f ca="1">VLOOKUP(K16,Score!$B$2:$X$77,23,0)</f>
        <v>159.09430241757497</v>
      </c>
      <c r="M16" s="307" t="str">
        <f>Lange!C16</f>
        <v>Degenkolb</v>
      </c>
      <c r="N16" s="195">
        <f ca="1">VLOOKUP(M16,Score!$B$2:$X$77,23,0)</f>
        <v>218.00714110252321</v>
      </c>
      <c r="O16" s="306" t="str">
        <f>Wadaf!C16</f>
        <v>Degenkolb</v>
      </c>
      <c r="P16" s="195">
        <f ca="1">VLOOKUP(O16,Score!$B$2:$X$77,23,0)</f>
        <v>218.00714110252321</v>
      </c>
      <c r="Q16" s="307" t="str">
        <f>Lego!C16</f>
        <v>Degenkolb</v>
      </c>
      <c r="R16" s="195">
        <f ca="1">VLOOKUP(Q16,Score!$B$2:$X$77,23,0)</f>
        <v>218.00714110252321</v>
      </c>
      <c r="S16" s="307" t="str">
        <f>Gran!C16</f>
        <v>Degenkolb</v>
      </c>
      <c r="T16" s="195">
        <f ca="1">VLOOKUP(S16,Score!$B$2:$X$77,23,0)</f>
        <v>218.00714110252321</v>
      </c>
      <c r="U16" s="307" t="str">
        <f>Bangkok!C16</f>
        <v>cavendish</v>
      </c>
      <c r="V16" s="195">
        <f ca="1">VLOOKUP(U16,Score!$B$2:$X$77,23,0)</f>
        <v>159.09430241757497</v>
      </c>
    </row>
    <row r="17" spans="1:22" s="27" customFormat="1">
      <c r="A17" s="305" t="str">
        <f>IJff!C17</f>
        <v>Valverde</v>
      </c>
      <c r="B17" s="195">
        <f ca="1">VLOOKUP(A17,Score!$B$2:$X$77,23,0)</f>
        <v>288.0308528257716</v>
      </c>
      <c r="C17" s="308" t="str">
        <f>Lothar!C17</f>
        <v>Valverde</v>
      </c>
      <c r="D17" s="195">
        <f ca="1">VLOOKUP(C17,Score!$B$2:$X$77,23,0)</f>
        <v>288.0308528257716</v>
      </c>
      <c r="E17" s="307" t="str">
        <f>Freaky!C17</f>
        <v>Degenkolb</v>
      </c>
      <c r="F17" s="195">
        <f ca="1">VLOOKUP(E17,Score!$B$2:$X$77,23,0)</f>
        <v>218.00714110252321</v>
      </c>
      <c r="G17" s="307" t="str">
        <f>Selfkant!C17</f>
        <v>Degenkolb</v>
      </c>
      <c r="H17" s="195">
        <f ca="1">VLOOKUP(G17,Score!$B$2:$X$77,23,0)</f>
        <v>218.00714110252321</v>
      </c>
      <c r="I17" s="307" t="str">
        <f>Tin!C17</f>
        <v>Degenkolb</v>
      </c>
      <c r="J17" s="195">
        <f ca="1">VLOOKUP(I17,Score!$B$2:$X$77,23,0)</f>
        <v>218.00714110252321</v>
      </c>
      <c r="K17" s="307" t="str">
        <f>Ami!C17</f>
        <v>Demare</v>
      </c>
      <c r="L17" s="195">
        <f ca="1">VLOOKUP(K17,Score!$B$2:$X$77,23,0)</f>
        <v>61.083544147459484</v>
      </c>
      <c r="M17" s="307" t="str">
        <f>Lange!C17</f>
        <v>Greipel</v>
      </c>
      <c r="N17" s="195">
        <f ca="1">VLOOKUP(M17,Score!$B$2:$X$77,23,0)</f>
        <v>253.09294801930983</v>
      </c>
      <c r="O17" s="306" t="str">
        <f>Wadaf!C17</f>
        <v>Demare</v>
      </c>
      <c r="P17" s="195">
        <f ca="1">VLOOKUP(O17,Score!$B$2:$X$77,23,0)</f>
        <v>61.083544147459484</v>
      </c>
      <c r="Q17" s="307" t="str">
        <f>Lego!C17</f>
        <v>Demare</v>
      </c>
      <c r="R17" s="195">
        <f ca="1">VLOOKUP(Q17,Score!$B$2:$X$77,23,0)</f>
        <v>61.083544147459484</v>
      </c>
      <c r="S17" s="307" t="str">
        <f>Gran!C17</f>
        <v>Greipel</v>
      </c>
      <c r="T17" s="195">
        <f ca="1">VLOOKUP(S17,Score!$B$2:$X$77,23,0)</f>
        <v>253.09294801930983</v>
      </c>
      <c r="U17" s="307" t="str">
        <f>Bangkok!C17</f>
        <v>degenkolb</v>
      </c>
      <c r="V17" s="195">
        <f ca="1">VLOOKUP(U17,Score!$B$2:$X$77,23,0)</f>
        <v>218.00714110252321</v>
      </c>
    </row>
    <row r="18" spans="1:22" s="27" customFormat="1">
      <c r="A18" s="305" t="str">
        <f>IJff!C18</f>
        <v>van Garderen</v>
      </c>
      <c r="B18" s="195">
        <f ca="1">VLOOKUP(A18,Score!$B$2:$X$77,23,0)</f>
        <v>226.18908810956881</v>
      </c>
      <c r="C18" s="308" t="str">
        <f>Lothar!C18</f>
        <v>van Garderen</v>
      </c>
      <c r="D18" s="195">
        <f ca="1">VLOOKUP(C18,Score!$B$2:$X$77,23,0)</f>
        <v>226.18908810956881</v>
      </c>
      <c r="E18" s="307" t="str">
        <f>Freaky!C18</f>
        <v>Kristoff</v>
      </c>
      <c r="F18" s="195">
        <f ca="1">VLOOKUP(E18,Score!$B$2:$X$77,23,0)</f>
        <v>113.09749620163156</v>
      </c>
      <c r="G18" s="307" t="str">
        <f>Selfkant!C18</f>
        <v>Kristoff</v>
      </c>
      <c r="H18" s="195">
        <f ca="1">VLOOKUP(G18,Score!$B$2:$X$77,23,0)</f>
        <v>113.09749620163156</v>
      </c>
      <c r="I18" s="307" t="str">
        <f>Tin!C18</f>
        <v>Kristoff</v>
      </c>
      <c r="J18" s="195">
        <f ca="1">VLOOKUP(I18,Score!$B$2:$X$77,23,0)</f>
        <v>113.09749620163156</v>
      </c>
      <c r="K18" s="307" t="str">
        <f>Ami!C18</f>
        <v>Greipel</v>
      </c>
      <c r="L18" s="195">
        <f ca="1">VLOOKUP(K18,Score!$B$2:$X$77,23,0)</f>
        <v>253.09294801930983</v>
      </c>
      <c r="M18" s="307" t="str">
        <f>Lange!C18</f>
        <v>Kristoff</v>
      </c>
      <c r="N18" s="195">
        <f ca="1">VLOOKUP(M18,Score!$B$2:$X$77,23,0)</f>
        <v>113.09749620163156</v>
      </c>
      <c r="O18" s="306" t="str">
        <f>Wadaf!C18</f>
        <v>Kristoff</v>
      </c>
      <c r="P18" s="195">
        <f ca="1">VLOOKUP(O18,Score!$B$2:$X$77,23,0)</f>
        <v>113.09749620163156</v>
      </c>
      <c r="Q18" s="307" t="str">
        <f>Lego!C18</f>
        <v>Greipel</v>
      </c>
      <c r="R18" s="195">
        <f ca="1">VLOOKUP(Q18,Score!$B$2:$X$77,23,0)</f>
        <v>253.09294801930983</v>
      </c>
      <c r="S18" s="307" t="str">
        <f>Gran!C18</f>
        <v>Kristoff</v>
      </c>
      <c r="T18" s="195">
        <f ca="1">VLOOKUP(S18,Score!$B$2:$X$77,23,0)</f>
        <v>113.09749620163156</v>
      </c>
      <c r="U18" s="307" t="str">
        <f>Bangkok!C18</f>
        <v>greipel</v>
      </c>
      <c r="V18" s="195">
        <f ca="1">VLOOKUP(U18,Score!$B$2:$X$77,23,0)</f>
        <v>253.09294801930983</v>
      </c>
    </row>
    <row r="19" spans="1:22" s="27" customFormat="1">
      <c r="A19" s="307" t="str">
        <f>IJff!C19</f>
        <v>Bouhanni</v>
      </c>
      <c r="B19" s="195">
        <f ca="1">VLOOKUP(A19,Score!$B$2:$X$77,23,0)</f>
        <v>20.056860563974624</v>
      </c>
      <c r="C19" s="309" t="str">
        <f>Lothar!C19</f>
        <v>Kristoff</v>
      </c>
      <c r="D19" s="195">
        <f ca="1">VLOOKUP(C19,Score!$B$2:$X$77,23,0)</f>
        <v>113.09749620163156</v>
      </c>
      <c r="E19" s="307" t="str">
        <f>Freaky!C19</f>
        <v>Matthews</v>
      </c>
      <c r="F19" s="195">
        <f ca="1">VLOOKUP(E19,Score!$B$2:$X$77,23,0)</f>
        <v>44.082152753603047</v>
      </c>
      <c r="G19" s="307" t="str">
        <f>Selfkant!C19</f>
        <v>Matthews</v>
      </c>
      <c r="H19" s="195">
        <f ca="1">VLOOKUP(G19,Score!$B$2:$X$77,23,0)</f>
        <v>44.082152753603047</v>
      </c>
      <c r="I19" s="307" t="str">
        <f>Tin!C19</f>
        <v>Matthews</v>
      </c>
      <c r="J19" s="195">
        <f ca="1">VLOOKUP(I19,Score!$B$2:$X$77,23,0)</f>
        <v>44.082152753603047</v>
      </c>
      <c r="K19" s="307" t="str">
        <f>Ami!C19</f>
        <v>Kristoff</v>
      </c>
      <c r="L19" s="195">
        <f ca="1">VLOOKUP(K19,Score!$B$2:$X$77,23,0)</f>
        <v>113.09749620163156</v>
      </c>
      <c r="M19" s="307" t="str">
        <f>Lange!C19</f>
        <v>Navardauskas</v>
      </c>
      <c r="N19" s="195">
        <f ca="1">VLOOKUP(M19,Score!$B$2:$X$77,23,0)</f>
        <v>51.075604763725842</v>
      </c>
      <c r="O19" s="306" t="str">
        <f>Wadaf!C19</f>
        <v>Matthews</v>
      </c>
      <c r="P19" s="195">
        <f ca="1">VLOOKUP(O19,Score!$B$2:$X$77,23,0)</f>
        <v>44.082152753603047</v>
      </c>
      <c r="Q19" s="307" t="str">
        <f>Lego!C19</f>
        <v>Kristoff</v>
      </c>
      <c r="R19" s="195">
        <f ca="1">VLOOKUP(Q19,Score!$B$2:$X$77,23,0)</f>
        <v>113.09749620163156</v>
      </c>
      <c r="S19" s="307" t="str">
        <f>Gran!C19</f>
        <v>Sagan</v>
      </c>
      <c r="T19" s="195">
        <f ca="1">VLOOKUP(S19,Score!$B$2:$X$77,23,0)</f>
        <v>436.01544144758032</v>
      </c>
      <c r="U19" s="307" t="str">
        <f>Bangkok!C19</f>
        <v>kristoff</v>
      </c>
      <c r="V19" s="195">
        <f ca="1">VLOOKUP(U19,Score!$B$2:$X$77,23,0)</f>
        <v>113.09749620163156</v>
      </c>
    </row>
    <row r="20" spans="1:22" s="27" customFormat="1">
      <c r="A20" s="307" t="str">
        <f>IJff!C20</f>
        <v>Degenkolb</v>
      </c>
      <c r="B20" s="195">
        <f ca="1">VLOOKUP(A20,Score!$B$2:$X$77,23,0)</f>
        <v>218.00714110252321</v>
      </c>
      <c r="C20" s="309" t="str">
        <f>Lothar!C20</f>
        <v>Sagan</v>
      </c>
      <c r="D20" s="195">
        <f ca="1">VLOOKUP(C20,Score!$B$2:$X$77,23,0)</f>
        <v>436.01544144758032</v>
      </c>
      <c r="E20" s="307" t="str">
        <f>Freaky!C20</f>
        <v>Sagan</v>
      </c>
      <c r="F20" s="195">
        <f ca="1">VLOOKUP(E20,Score!$B$2:$X$77,23,0)</f>
        <v>436.01544144758032</v>
      </c>
      <c r="G20" s="307" t="str">
        <f>Selfkant!C20</f>
        <v>Sagan</v>
      </c>
      <c r="H20" s="195">
        <f ca="1">VLOOKUP(G20,Score!$B$2:$X$77,23,0)</f>
        <v>436.01544144758032</v>
      </c>
      <c r="I20" s="307" t="str">
        <f>Tin!C20</f>
        <v>Sagan</v>
      </c>
      <c r="J20" s="195">
        <f ca="1">VLOOKUP(I20,Score!$B$2:$X$77,23,0)</f>
        <v>436.01544144758032</v>
      </c>
      <c r="K20" s="307" t="str">
        <f>Ami!C20</f>
        <v>Sagan</v>
      </c>
      <c r="L20" s="195">
        <f ca="1">VLOOKUP(K20,Score!$B$2:$X$77,23,0)</f>
        <v>436.01544144758032</v>
      </c>
      <c r="M20" s="307" t="str">
        <f>Lange!C20</f>
        <v>Sagan</v>
      </c>
      <c r="N20" s="195">
        <f ca="1">VLOOKUP(M20,Score!$B$2:$X$77,23,0)</f>
        <v>436.01544144758032</v>
      </c>
      <c r="O20" s="306" t="str">
        <f>Wadaf!C20</f>
        <v>Sagan</v>
      </c>
      <c r="P20" s="195">
        <f ca="1">VLOOKUP(O20,Score!$B$2:$X$77,23,0)</f>
        <v>436.01544144758032</v>
      </c>
      <c r="Q20" s="307" t="str">
        <f>Lego!C20</f>
        <v>Sagan</v>
      </c>
      <c r="R20" s="195">
        <f ca="1">VLOOKUP(Q20,Score!$B$2:$X$77,23,0)</f>
        <v>436.01544144758032</v>
      </c>
      <c r="S20" s="307" t="str">
        <f>Gran!C20</f>
        <v>van Avermaet</v>
      </c>
      <c r="T20" s="195">
        <f ca="1">VLOOKUP(S20,Score!$B$2:$X$77,23,0)</f>
        <v>193.05122585079224</v>
      </c>
      <c r="U20" s="307" t="str">
        <f>Bangkok!C20</f>
        <v>sagan</v>
      </c>
      <c r="V20" s="195">
        <f ca="1">VLOOKUP(U20,Score!$B$2:$X$77,23,0)</f>
        <v>436.01544144758032</v>
      </c>
    </row>
    <row r="21" spans="1:22">
      <c r="A21" s="199">
        <f>IJff!C21</f>
        <v>0</v>
      </c>
      <c r="B21" s="195"/>
      <c r="C21" s="29">
        <f>Lothar!C21</f>
        <v>0</v>
      </c>
      <c r="D21" s="195"/>
      <c r="E21" s="199">
        <f>Freaky!C21</f>
        <v>0</v>
      </c>
      <c r="F21" s="195"/>
      <c r="G21" s="199">
        <f>Selfkant!C21</f>
        <v>0</v>
      </c>
      <c r="H21" s="195"/>
      <c r="I21" s="198">
        <f>Tin!C21</f>
        <v>0</v>
      </c>
      <c r="J21" s="195"/>
      <c r="K21" s="199">
        <f>Ami!C21</f>
        <v>0</v>
      </c>
      <c r="L21" s="195"/>
      <c r="M21" s="198">
        <f>Lange!C21</f>
        <v>0</v>
      </c>
      <c r="N21" s="195"/>
      <c r="O21" s="219">
        <f>Wadaf!C21</f>
        <v>0</v>
      </c>
      <c r="P21" s="195"/>
      <c r="Q21" s="198">
        <f>Lego!C21</f>
        <v>0</v>
      </c>
      <c r="R21" s="195"/>
      <c r="S21" s="198">
        <f>Gran!C21</f>
        <v>0</v>
      </c>
      <c r="T21" s="195"/>
      <c r="U21" s="199">
        <f>Bangkok!C21</f>
        <v>0</v>
      </c>
      <c r="V21" s="195"/>
    </row>
    <row r="22" spans="1:22" s="59" customFormat="1">
      <c r="A22" s="200">
        <f>IJff!C22</f>
        <v>0</v>
      </c>
      <c r="B22" s="196">
        <f ca="1">SUM(B4:B21)</f>
        <v>1746.8922974018315</v>
      </c>
      <c r="C22" s="194">
        <f>Lothar!C22</f>
        <v>0</v>
      </c>
      <c r="D22" s="196">
        <f ca="1">SUM(D4:D21)</f>
        <v>2176.9756232055588</v>
      </c>
      <c r="E22" s="200">
        <f>Freaky!C22</f>
        <v>0</v>
      </c>
      <c r="F22" s="196">
        <f ca="1">SUM(F4:F21)</f>
        <v>2345.9686088688968</v>
      </c>
      <c r="G22" s="200">
        <f>Selfkant!C22</f>
        <v>0</v>
      </c>
      <c r="H22" s="196">
        <f ca="1">SUM(H4:H21)</f>
        <v>2362.9700172930061</v>
      </c>
      <c r="I22" s="221">
        <f>Tin!C22</f>
        <v>0</v>
      </c>
      <c r="J22" s="196">
        <f ca="1">SUM(J4:J21)</f>
        <v>2656.9405243108149</v>
      </c>
      <c r="K22" s="200">
        <f>Ami!C22</f>
        <v>0</v>
      </c>
      <c r="L22" s="196">
        <f ca="1">SUM(L4:L21)</f>
        <v>2112.0783007222399</v>
      </c>
      <c r="M22" s="221">
        <f>Lange!C22</f>
        <v>0</v>
      </c>
      <c r="N22" s="196">
        <f ca="1">SUM(N4:N21)</f>
        <v>2532.961644355667</v>
      </c>
      <c r="O22" s="220">
        <f>Wadaf!C22</f>
        <v>0</v>
      </c>
      <c r="P22" s="196">
        <f ca="1">SUM(P4:P21)</f>
        <v>2333.1001722254541</v>
      </c>
      <c r="Q22" s="198">
        <f>Lego!C22</f>
        <v>0</v>
      </c>
      <c r="R22" s="196">
        <f ca="1">SUM(R4:R21)</f>
        <v>2787.0853114171987</v>
      </c>
      <c r="S22" s="198">
        <f>Gran!C22</f>
        <v>0</v>
      </c>
      <c r="T22" s="196">
        <f ca="1">SUM(T4:T21)</f>
        <v>2625.9882591712876</v>
      </c>
      <c r="U22" s="200">
        <f>Bangkok!C22</f>
        <v>0</v>
      </c>
      <c r="V22" s="196">
        <f ca="1">SUM(V4:V21)</f>
        <v>2739.0010862901636</v>
      </c>
    </row>
    <row r="23" spans="1:22" s="22" customFormat="1">
      <c r="A23" s="199">
        <f>IJff!C23</f>
        <v>0</v>
      </c>
      <c r="B23" s="197"/>
      <c r="C23" s="29">
        <f>Lothar!C23</f>
        <v>0</v>
      </c>
      <c r="D23" s="197"/>
      <c r="E23" s="199">
        <f>Freaky!C23</f>
        <v>0</v>
      </c>
      <c r="F23" s="197"/>
      <c r="G23" s="199">
        <f>Selfkant!C23</f>
        <v>0</v>
      </c>
      <c r="H23" s="197"/>
      <c r="I23" s="198">
        <f>Tin!C23</f>
        <v>0</v>
      </c>
      <c r="J23" s="197"/>
      <c r="K23" s="199">
        <f>Ami!C23</f>
        <v>0</v>
      </c>
      <c r="L23" s="197"/>
      <c r="M23" s="198">
        <f>Lange!C23</f>
        <v>0</v>
      </c>
      <c r="N23" s="197"/>
      <c r="O23" s="219">
        <f>Wadaf!C23</f>
        <v>0</v>
      </c>
      <c r="P23" s="197"/>
      <c r="Q23" s="198">
        <f>Lego!C23</f>
        <v>0</v>
      </c>
      <c r="R23" s="197"/>
      <c r="S23" s="198">
        <f>Gran!C23</f>
        <v>0</v>
      </c>
      <c r="T23" s="197"/>
      <c r="U23" s="199">
        <f>Bangkok!C23</f>
        <v>0</v>
      </c>
      <c r="V23" s="197"/>
    </row>
    <row r="24" spans="1:22" s="280" customFormat="1">
      <c r="A24" s="283" t="str">
        <f>IJff!C24</f>
        <v>Porte</v>
      </c>
      <c r="B24" s="281">
        <f ca="1">VLOOKUP(A24,Score!$B$2:$X$77,23,0)</f>
        <v>68.025664521866773</v>
      </c>
      <c r="C24" s="280" t="str">
        <f>Lothar!C24</f>
        <v>Arredondo</v>
      </c>
      <c r="D24" s="281">
        <f ca="1">VLOOKUP(C24,Score!$B$2:$X$77,23,0)</f>
        <v>28.025130256466799</v>
      </c>
      <c r="E24" s="283" t="str">
        <f>Freaky!C24</f>
        <v>Arredondo</v>
      </c>
      <c r="F24" s="281">
        <f ca="1">VLOOKUP(E24,Score!$B$2:$X$77,23,0)</f>
        <v>28.025130256466799</v>
      </c>
      <c r="G24" s="283" t="str">
        <f>Selfkant!C24</f>
        <v>Porte</v>
      </c>
      <c r="H24" s="281">
        <f ca="1">VLOOKUP(G24,Score!$B$2:$X$77,23,0)</f>
        <v>68.025664521866773</v>
      </c>
      <c r="I24" s="283" t="str">
        <f>Tin!C24</f>
        <v>Gesink</v>
      </c>
      <c r="J24" s="281">
        <f ca="1">VLOOKUP(I24,Score!$B$2:$X$77,23,0)</f>
        <v>209.01238302441232</v>
      </c>
      <c r="K24" s="283" t="str">
        <f>Ami!C24</f>
        <v>T.Martin</v>
      </c>
      <c r="L24" s="281">
        <f ca="1">VLOOKUP(K24,Score!$B$2:$X$77,23,0)</f>
        <v>147.06732715684512</v>
      </c>
      <c r="M24" s="283" t="str">
        <f>Lange!C24</f>
        <v>Cavendish</v>
      </c>
      <c r="N24" s="281">
        <f ca="1">VLOOKUP(M24,Score!$B$2:$X$77,23,0)</f>
        <v>159.09430241757497</v>
      </c>
      <c r="O24" s="282" t="str">
        <f>Wadaf!C24</f>
        <v>Barguil</v>
      </c>
      <c r="P24" s="281">
        <f ca="1">VLOOKUP(O24,Score!$B$2:$X$77,23,0)</f>
        <v>94.025177333395334</v>
      </c>
      <c r="Q24" s="284" t="str">
        <f>Lego!C24</f>
        <v>Porte</v>
      </c>
      <c r="R24" s="281">
        <f ca="1">VLOOKUP(Q24,Score!$B$2:$X$77,23,0)</f>
        <v>68.025664521866773</v>
      </c>
      <c r="S24" s="284">
        <f>Gran!C24</f>
        <v>0</v>
      </c>
      <c r="T24" s="281" t="e">
        <f>VLOOKUP(S24,Score!$B$2:$X$77,23,0)</f>
        <v>#N/A</v>
      </c>
      <c r="U24" s="283" t="str">
        <f>Bangkok!C24</f>
        <v>uran</v>
      </c>
      <c r="V24" s="281">
        <f ca="1">VLOOKUP(U24,Score!$B$2:$X$77,23,0)</f>
        <v>141.00536290997948</v>
      </c>
    </row>
    <row r="25" spans="1:22" s="280" customFormat="1">
      <c r="A25" s="283" t="str">
        <f>IJff!C25</f>
        <v>Kreuziger</v>
      </c>
      <c r="B25" s="281">
        <f ca="1">VLOOKUP(A25,Score!$B$2:$X$77,23,0)</f>
        <v>27.077011532304212</v>
      </c>
      <c r="C25" s="280" t="str">
        <f>Lothar!C25</f>
        <v>Cavendish</v>
      </c>
      <c r="D25" s="281">
        <f ca="1">VLOOKUP(C25,Score!$B$2:$X$77,23,0)</f>
        <v>159.09430241757497</v>
      </c>
      <c r="E25" s="283" t="str">
        <f>Freaky!C25</f>
        <v>S.Yates</v>
      </c>
      <c r="F25" s="281">
        <f ca="1">VLOOKUP(E25,Score!$B$2:$X$77,23,0)</f>
        <v>49.088628244576313</v>
      </c>
      <c r="G25" s="283">
        <f>Selfkant!C25</f>
        <v>0</v>
      </c>
      <c r="H25" s="281" t="e">
        <f>VLOOKUP(G25,Score!$B$2:$X$77,23,0)</f>
        <v>#N/A</v>
      </c>
      <c r="I25" s="283" t="str">
        <f>Tin!C25</f>
        <v>Mollema</v>
      </c>
      <c r="J25" s="281">
        <f ca="1">VLOOKUP(I25,Score!$B$2:$X$77,23,0)</f>
        <v>144.09364151412717</v>
      </c>
      <c r="K25" s="283" t="str">
        <f>Ami!C25</f>
        <v>Mollema</v>
      </c>
      <c r="L25" s="281">
        <f ca="1">VLOOKUP(K25,Score!$B$2:$X$77,23,0)</f>
        <v>144.09364151412717</v>
      </c>
      <c r="M25" s="283">
        <f>Lange!C25</f>
        <v>0</v>
      </c>
      <c r="N25" s="281" t="e">
        <f>VLOOKUP(M25,Score!$B$2:$X$77,23,0)</f>
        <v>#N/A</v>
      </c>
      <c r="O25" s="282" t="str">
        <f>Wadaf!C25</f>
        <v>Coquard</v>
      </c>
      <c r="P25" s="281">
        <f ca="1">VLOOKUP(O25,Score!$B$2:$X$77,23,0)</f>
        <v>128.05315453887638</v>
      </c>
      <c r="Q25" s="284" t="str">
        <f>Lego!C25</f>
        <v>Vanmarcke</v>
      </c>
      <c r="R25" s="281">
        <f ca="1">VLOOKUP(Q25,Score!$B$2:$X$77,23,0)</f>
        <v>2.7266795408266997E-2</v>
      </c>
      <c r="S25" s="284" t="str">
        <f>Gran!C25</f>
        <v>Cancellara</v>
      </c>
      <c r="T25" s="281">
        <f ca="1">VLOOKUP(S25,Score!$B$2:$X$77,23,0)</f>
        <v>77.028092940482708</v>
      </c>
      <c r="U25" s="283" t="str">
        <f>Bangkok!C25</f>
        <v>rodriguez</v>
      </c>
      <c r="V25" s="281">
        <f ca="1">VLOOKUP(U25,Score!$B$2:$X$77,23,0)</f>
        <v>178.01066917445166</v>
      </c>
    </row>
    <row r="26" spans="1:22" s="280" customFormat="1">
      <c r="A26" s="283">
        <f>IJff!C26</f>
        <v>0</v>
      </c>
      <c r="B26" s="281" t="e">
        <f>VLOOKUP(A26,Score!$B$2:$X$77,23,0)</f>
        <v>#N/A</v>
      </c>
      <c r="C26" s="280" t="str">
        <f>Lothar!C26</f>
        <v>Coquard</v>
      </c>
      <c r="D26" s="281">
        <f ca="1">VLOOKUP(C26,Score!$B$2:$X$77,23,0)</f>
        <v>128.05315453887638</v>
      </c>
      <c r="E26" s="283" t="str">
        <f>Freaky!C26</f>
        <v>Rolland</v>
      </c>
      <c r="F26" s="281">
        <f ca="1">VLOOKUP(E26,Score!$B$2:$X$77,23,0)</f>
        <v>126.02617611132293</v>
      </c>
      <c r="G26" s="283" t="str">
        <f>Selfkant!C26</f>
        <v>Kruijswijk</v>
      </c>
      <c r="H26" s="281">
        <f ca="1">VLOOKUP(G26,Score!$B$2:$X$77,23,0)</f>
        <v>33.017095955613158</v>
      </c>
      <c r="I26" s="283" t="str">
        <f>Tin!C26</f>
        <v>Bouhanni</v>
      </c>
      <c r="J26" s="281">
        <f ca="1">VLOOKUP(I26,Score!$B$2:$X$77,23,0)</f>
        <v>20.056860563974624</v>
      </c>
      <c r="K26" s="283" t="str">
        <f>Ami!C26</f>
        <v>Degenkolb</v>
      </c>
      <c r="L26" s="281">
        <f ca="1">VLOOKUP(K26,Score!$B$2:$X$77,23,0)</f>
        <v>218.00714110252321</v>
      </c>
      <c r="M26" s="283">
        <f>Lange!C26</f>
        <v>0</v>
      </c>
      <c r="N26" s="281" t="e">
        <f>VLOOKUP(M26,Score!$B$2:$X$77,23,0)</f>
        <v>#N/A</v>
      </c>
      <c r="O26" s="282" t="str">
        <f>Wadaf!C26</f>
        <v>Majka</v>
      </c>
      <c r="P26" s="281">
        <f ca="1">VLOOKUP(O26,Score!$B$2:$X$77,23,0)</f>
        <v>88.089619655998845</v>
      </c>
      <c r="Q26" s="284">
        <f>Lego!C26</f>
        <v>0</v>
      </c>
      <c r="R26" s="281" t="e">
        <f>VLOOKUP(Q26,Score!$B$2:$X$77,23,0)</f>
        <v>#N/A</v>
      </c>
      <c r="S26" s="284" t="str">
        <f>Gran!C26</f>
        <v>Kelderman</v>
      </c>
      <c r="T26" s="281">
        <f ca="1">VLOOKUP(S26,Score!$B$2:$X$77,23,0)</f>
        <v>25.058341169026072</v>
      </c>
      <c r="U26" s="283" t="str">
        <f>Bangkok!C26</f>
        <v>matthews</v>
      </c>
      <c r="V26" s="281">
        <f ca="1">VLOOKUP(U26,Score!$B$2:$X$77,23,0)</f>
        <v>44.082152753603047</v>
      </c>
    </row>
    <row r="27" spans="1:22" s="27" customFormat="1">
      <c r="A27" s="225"/>
      <c r="B27" s="20"/>
      <c r="C27" s="280">
        <f>Lothar!C27</f>
        <v>0</v>
      </c>
      <c r="E27" s="222"/>
      <c r="G27" s="225"/>
      <c r="H27" s="20"/>
      <c r="I27" s="224"/>
      <c r="J27" s="20"/>
      <c r="K27" s="225"/>
      <c r="L27" s="20"/>
      <c r="M27" s="226"/>
      <c r="N27" s="20"/>
      <c r="O27" s="223"/>
      <c r="P27" s="20"/>
      <c r="Q27" s="224"/>
      <c r="R27" s="20"/>
      <c r="S27" s="227"/>
      <c r="U27" s="224"/>
      <c r="V27" s="20"/>
    </row>
    <row r="28" spans="1:22" s="65" customFormat="1">
      <c r="A28" s="24" t="s">
        <v>10</v>
      </c>
      <c r="B28" s="305">
        <f>IJff!D28</f>
        <v>13</v>
      </c>
      <c r="D28" s="308">
        <f>Lothar!D28</f>
        <v>13</v>
      </c>
      <c r="E28" s="320"/>
      <c r="F28" s="305">
        <f>Freaky!D28</f>
        <v>11</v>
      </c>
      <c r="G28" s="321"/>
      <c r="H28" s="305">
        <f>Selfkant!D28</f>
        <v>11</v>
      </c>
      <c r="I28" s="321"/>
      <c r="J28" s="305">
        <f>Tin!D28</f>
        <v>10</v>
      </c>
      <c r="K28" s="320"/>
      <c r="L28" s="305">
        <f>Ami!D28</f>
        <v>10</v>
      </c>
      <c r="M28" s="320"/>
      <c r="N28" s="305">
        <f>Lange!D28</f>
        <v>9</v>
      </c>
      <c r="O28" s="322"/>
      <c r="P28" s="304">
        <f>Wadaf!D28</f>
        <v>9</v>
      </c>
      <c r="Q28" s="320"/>
      <c r="R28" s="305">
        <f>Lego!D28</f>
        <v>8</v>
      </c>
      <c r="T28" s="305">
        <f>Gran!D28</f>
        <v>8</v>
      </c>
      <c r="U28" s="323"/>
      <c r="V28" s="305">
        <f>Bangkok!D28</f>
        <v>8</v>
      </c>
    </row>
    <row r="29" spans="1:22" s="27" customFormat="1">
      <c r="A29" s="25" t="s">
        <v>11</v>
      </c>
      <c r="B29" s="307">
        <f>IJff!D29</f>
        <v>2</v>
      </c>
      <c r="D29" s="309">
        <f>Lothar!D29</f>
        <v>2</v>
      </c>
      <c r="E29" s="222"/>
      <c r="F29" s="307">
        <f>Freaky!D29</f>
        <v>5</v>
      </c>
      <c r="G29" s="222"/>
      <c r="H29" s="307">
        <f>Selfkant!D29</f>
        <v>5</v>
      </c>
      <c r="I29" s="224"/>
      <c r="J29" s="307">
        <f>Tin!D29</f>
        <v>6</v>
      </c>
      <c r="K29" s="222"/>
      <c r="L29" s="307">
        <f>Ami!D29</f>
        <v>6</v>
      </c>
      <c r="M29" s="225"/>
      <c r="N29" s="307">
        <f>Lange!D29</f>
        <v>5</v>
      </c>
      <c r="O29" s="20"/>
      <c r="P29" s="306">
        <f>Wadaf!D29</f>
        <v>7</v>
      </c>
      <c r="Q29" s="222"/>
      <c r="R29" s="307">
        <f>Lego!D29</f>
        <v>7</v>
      </c>
      <c r="S29" s="222"/>
      <c r="T29" s="307">
        <f>Gran!D29</f>
        <v>6</v>
      </c>
      <c r="U29" s="324"/>
      <c r="V29" s="307">
        <f>Bangkok!D29</f>
        <v>5</v>
      </c>
    </row>
    <row r="30" spans="1:22" ht="13.5" thickBot="1">
      <c r="A30" s="26" t="s">
        <v>117</v>
      </c>
      <c r="B30" s="198">
        <f>IJff!D30</f>
        <v>2</v>
      </c>
      <c r="D30" s="27">
        <f>Lothar!D30</f>
        <v>2</v>
      </c>
      <c r="E30" s="27"/>
      <c r="F30" s="198">
        <f>Freaky!D30</f>
        <v>1</v>
      </c>
      <c r="G30" s="228"/>
      <c r="H30" s="198">
        <f>Selfkant!D30</f>
        <v>1</v>
      </c>
      <c r="J30" s="198">
        <f>Tin!D30</f>
        <v>1</v>
      </c>
      <c r="L30" s="198">
        <f>Ami!D30</f>
        <v>1</v>
      </c>
      <c r="M30" s="229"/>
      <c r="N30" s="198">
        <f>Lange!D30</f>
        <v>3</v>
      </c>
      <c r="O30" s="18"/>
      <c r="P30" s="219">
        <f>Wadaf!D30</f>
        <v>1</v>
      </c>
      <c r="Q30" s="223"/>
      <c r="R30" s="198">
        <f>Lego!D30</f>
        <v>2</v>
      </c>
      <c r="S30" s="27"/>
      <c r="T30" s="198">
        <f>Gran!D30</f>
        <v>2</v>
      </c>
      <c r="V30" s="198">
        <f>Bangkok!D30</f>
        <v>3</v>
      </c>
    </row>
    <row r="31" spans="1:22">
      <c r="C31" s="19"/>
      <c r="D31" s="18"/>
      <c r="E31" s="27"/>
      <c r="G31" s="228"/>
      <c r="M31" s="230"/>
      <c r="N31" s="20"/>
      <c r="O31" s="18"/>
      <c r="Q31" s="223"/>
      <c r="S31" s="27"/>
    </row>
    <row r="32" spans="1:22">
      <c r="C32" s="19"/>
      <c r="D32" s="18"/>
      <c r="E32" s="27"/>
      <c r="G32" s="228"/>
      <c r="M32" s="230"/>
      <c r="N32" s="20"/>
      <c r="O32" s="18"/>
      <c r="Q32" s="223"/>
      <c r="S32" s="27"/>
    </row>
    <row r="34" spans="3:3">
      <c r="C34" s="19"/>
    </row>
  </sheetData>
  <phoneticPr fontId="0" type="noConversion"/>
  <pageMargins left="0.75" right="0.75" top="1" bottom="1" header="0.5" footer="0.5"/>
  <pageSetup paperSize="9" orientation="portrait" r:id="rId1"/>
  <headerFooter alignWithMargins="0"/>
  <ignoredErrors>
    <ignoredError sqref="G4:G20 E4:E20 M4:M20 Q4:Q20 S4:S20 U4:U20" formula="1"/>
  </ignoredErrors>
  <drawing r:id="rId2"/>
</worksheet>
</file>

<file path=xl/worksheets/sheet5.xml><?xml version="1.0" encoding="utf-8"?>
<worksheet xmlns="http://schemas.openxmlformats.org/spreadsheetml/2006/main" xmlns:r="http://schemas.openxmlformats.org/officeDocument/2006/relationships">
  <sheetPr codeName="Blad11" enableFormatConditionsCalculation="0">
    <tabColor indexed="12"/>
  </sheetPr>
  <dimension ref="B1:AB30"/>
  <sheetViews>
    <sheetView showZeros="0" workbookViewId="0">
      <selection activeCell="W24" sqref="W24"/>
    </sheetView>
  </sheetViews>
  <sheetFormatPr defaultRowHeight="12.75"/>
  <cols>
    <col min="1" max="1" width="2.7109375" style="116" customWidth="1"/>
    <col min="2" max="2" width="8.85546875" style="116" customWidth="1"/>
    <col min="3" max="4" width="13" style="121" customWidth="1"/>
    <col min="5" max="7" width="5" style="117" customWidth="1"/>
    <col min="8" max="8" width="5" style="148" customWidth="1"/>
    <col min="9" max="16" width="5" style="136" customWidth="1"/>
    <col min="17" max="17" width="5" style="134" customWidth="1"/>
    <col min="18" max="26" width="5" style="116" customWidth="1"/>
    <col min="27" max="27" width="5" style="120" customWidth="1"/>
    <col min="28" max="28" width="15" style="116" customWidth="1"/>
    <col min="29" max="16384" width="9.140625" style="116"/>
  </cols>
  <sheetData>
    <row r="1" spans="2:28">
      <c r="C1" s="273" t="s">
        <v>158</v>
      </c>
      <c r="D1" s="273"/>
    </row>
    <row r="2" spans="2:28">
      <c r="C2" s="177"/>
      <c r="D2" s="177"/>
      <c r="H2" s="136"/>
    </row>
    <row r="3" spans="2:28" s="134" customFormat="1" ht="13.5" thickBot="1">
      <c r="C3" s="274" t="s">
        <v>124</v>
      </c>
      <c r="D3" s="274"/>
      <c r="E3" s="119">
        <v>1</v>
      </c>
      <c r="F3" s="119">
        <v>2</v>
      </c>
      <c r="G3" s="119">
        <v>3</v>
      </c>
      <c r="H3" s="119">
        <v>4</v>
      </c>
      <c r="I3" s="119">
        <v>5</v>
      </c>
      <c r="J3" s="119">
        <v>6</v>
      </c>
      <c r="K3" s="119">
        <v>7</v>
      </c>
      <c r="L3" s="119">
        <v>8</v>
      </c>
      <c r="M3" s="119">
        <v>9</v>
      </c>
      <c r="N3" s="119">
        <v>10</v>
      </c>
      <c r="O3" s="119">
        <v>11</v>
      </c>
      <c r="P3" s="119">
        <v>12</v>
      </c>
      <c r="Q3" s="119">
        <v>13</v>
      </c>
      <c r="R3" s="119">
        <v>14</v>
      </c>
      <c r="S3" s="119">
        <v>15</v>
      </c>
      <c r="T3" s="119">
        <v>16</v>
      </c>
      <c r="U3" s="119">
        <v>17</v>
      </c>
      <c r="V3" s="119">
        <v>18</v>
      </c>
      <c r="W3" s="119">
        <v>19</v>
      </c>
      <c r="X3" s="119">
        <v>20</v>
      </c>
      <c r="Y3" s="119">
        <v>21</v>
      </c>
      <c r="Z3" s="119" t="s">
        <v>1</v>
      </c>
      <c r="AA3" s="154"/>
    </row>
    <row r="4" spans="2:28">
      <c r="B4" s="169"/>
      <c r="C4" s="275" t="s">
        <v>115</v>
      </c>
      <c r="D4" s="276" t="s">
        <v>117</v>
      </c>
      <c r="E4" s="117">
        <f t="shared" ref="E4:N13" si="0">INDEX(scorematrix,MATCH($C4,renners,0),MATCH(E$3,etappes,0))</f>
        <v>37</v>
      </c>
      <c r="F4" s="117">
        <f t="shared" si="0"/>
        <v>39</v>
      </c>
      <c r="G4" s="117">
        <f t="shared" si="0"/>
        <v>1</v>
      </c>
      <c r="H4" s="117">
        <f t="shared" si="0"/>
        <v>0</v>
      </c>
      <c r="I4" s="117">
        <f t="shared" si="0"/>
        <v>0</v>
      </c>
      <c r="J4" s="117">
        <f t="shared" si="0"/>
        <v>0</v>
      </c>
      <c r="K4" s="117">
        <f t="shared" si="0"/>
        <v>0</v>
      </c>
      <c r="L4" s="117">
        <f t="shared" si="0"/>
        <v>0</v>
      </c>
      <c r="M4" s="117">
        <f t="shared" si="0"/>
        <v>0</v>
      </c>
      <c r="N4" s="117">
        <f t="shared" si="0"/>
        <v>0</v>
      </c>
      <c r="O4" s="117">
        <f t="shared" ref="O4:Z13" si="1">INDEX(scorematrix,MATCH($C4,renners,0),MATCH(O$3,etappes,0))</f>
        <v>0</v>
      </c>
      <c r="P4" s="117">
        <f t="shared" si="1"/>
        <v>0</v>
      </c>
      <c r="Q4" s="117">
        <f t="shared" si="1"/>
        <v>0</v>
      </c>
      <c r="R4" s="117">
        <f t="shared" si="1"/>
        <v>0</v>
      </c>
      <c r="S4" s="117">
        <f t="shared" si="1"/>
        <v>0</v>
      </c>
      <c r="T4" s="117">
        <f t="shared" si="1"/>
        <v>0</v>
      </c>
      <c r="U4" s="117">
        <f t="shared" si="1"/>
        <v>0</v>
      </c>
      <c r="V4" s="117">
        <f t="shared" si="1"/>
        <v>0</v>
      </c>
      <c r="W4" s="117">
        <f t="shared" si="1"/>
        <v>0</v>
      </c>
      <c r="X4" s="117">
        <f t="shared" si="1"/>
        <v>0</v>
      </c>
      <c r="Y4" s="117">
        <f t="shared" si="1"/>
        <v>0</v>
      </c>
      <c r="Z4" s="117">
        <f t="shared" si="1"/>
        <v>0</v>
      </c>
      <c r="AA4" s="186">
        <f t="shared" ref="AA4:AA21" si="2">SUM(E4:Z4)</f>
        <v>77</v>
      </c>
      <c r="AB4" s="116" t="str">
        <f t="shared" ref="AB4:AB18" si="3">C4</f>
        <v>Cancellara</v>
      </c>
    </row>
    <row r="5" spans="2:28">
      <c r="B5" s="169"/>
      <c r="C5" s="277" t="s">
        <v>111</v>
      </c>
      <c r="D5" s="276" t="s">
        <v>117</v>
      </c>
      <c r="E5" s="117">
        <f t="shared" si="0"/>
        <v>0</v>
      </c>
      <c r="F5" s="117">
        <f t="shared" si="0"/>
        <v>0</v>
      </c>
      <c r="G5" s="117">
        <f t="shared" si="0"/>
        <v>0</v>
      </c>
      <c r="H5" s="117">
        <f t="shared" si="0"/>
        <v>0</v>
      </c>
      <c r="I5" s="117">
        <f t="shared" si="0"/>
        <v>0</v>
      </c>
      <c r="J5" s="117">
        <f t="shared" si="0"/>
        <v>0</v>
      </c>
      <c r="K5" s="117">
        <f t="shared" si="0"/>
        <v>0</v>
      </c>
      <c r="L5" s="117">
        <f t="shared" si="0"/>
        <v>0</v>
      </c>
      <c r="M5" s="117">
        <f t="shared" si="0"/>
        <v>0</v>
      </c>
      <c r="N5" s="117">
        <f t="shared" si="0"/>
        <v>0</v>
      </c>
      <c r="O5" s="117">
        <f t="shared" si="1"/>
        <v>0</v>
      </c>
      <c r="P5" s="117">
        <f t="shared" si="1"/>
        <v>0</v>
      </c>
      <c r="Q5" s="117">
        <f t="shared" si="1"/>
        <v>0</v>
      </c>
      <c r="R5" s="117">
        <f t="shared" si="1"/>
        <v>0</v>
      </c>
      <c r="S5" s="117">
        <f t="shared" si="1"/>
        <v>0</v>
      </c>
      <c r="T5" s="117">
        <f t="shared" si="1"/>
        <v>0</v>
      </c>
      <c r="U5" s="117">
        <f t="shared" si="1"/>
        <v>0</v>
      </c>
      <c r="V5" s="117">
        <f t="shared" si="1"/>
        <v>0</v>
      </c>
      <c r="W5" s="117">
        <f t="shared" si="1"/>
        <v>0</v>
      </c>
      <c r="X5" s="117">
        <f t="shared" si="1"/>
        <v>0</v>
      </c>
      <c r="Y5" s="117">
        <f t="shared" si="1"/>
        <v>0</v>
      </c>
      <c r="Z5" s="117">
        <f t="shared" si="1"/>
        <v>0</v>
      </c>
      <c r="AA5" s="186">
        <f t="shared" si="2"/>
        <v>0</v>
      </c>
      <c r="AB5" s="116" t="str">
        <f t="shared" si="3"/>
        <v>Kwiatkowski</v>
      </c>
    </row>
    <row r="6" spans="2:28">
      <c r="B6" s="169"/>
      <c r="C6" s="277" t="s">
        <v>116</v>
      </c>
      <c r="D6" s="276" t="s">
        <v>136</v>
      </c>
      <c r="E6" s="117">
        <f t="shared" si="0"/>
        <v>0</v>
      </c>
      <c r="F6" s="117">
        <f t="shared" si="0"/>
        <v>0</v>
      </c>
      <c r="G6" s="117">
        <f t="shared" si="0"/>
        <v>0</v>
      </c>
      <c r="H6" s="117">
        <f t="shared" si="0"/>
        <v>8</v>
      </c>
      <c r="I6" s="117">
        <f t="shared" si="0"/>
        <v>0</v>
      </c>
      <c r="J6" s="117">
        <f t="shared" si="0"/>
        <v>0</v>
      </c>
      <c r="K6" s="117">
        <f t="shared" si="0"/>
        <v>0</v>
      </c>
      <c r="L6" s="117">
        <f t="shared" si="0"/>
        <v>0</v>
      </c>
      <c r="M6" s="117">
        <f t="shared" si="0"/>
        <v>0</v>
      </c>
      <c r="N6" s="117">
        <f t="shared" si="0"/>
        <v>0</v>
      </c>
      <c r="O6" s="117">
        <f t="shared" si="1"/>
        <v>0</v>
      </c>
      <c r="P6" s="117">
        <f t="shared" si="1"/>
        <v>27</v>
      </c>
      <c r="Q6" s="117">
        <f t="shared" si="1"/>
        <v>1</v>
      </c>
      <c r="R6" s="117">
        <f t="shared" si="1"/>
        <v>27</v>
      </c>
      <c r="S6" s="117">
        <f t="shared" si="1"/>
        <v>1</v>
      </c>
      <c r="T6" s="117">
        <f t="shared" si="1"/>
        <v>1</v>
      </c>
      <c r="U6" s="117">
        <f t="shared" si="1"/>
        <v>0</v>
      </c>
      <c r="V6" s="117">
        <f t="shared" si="1"/>
        <v>40</v>
      </c>
      <c r="W6" s="117">
        <f t="shared" si="1"/>
        <v>29</v>
      </c>
      <c r="X6" s="117">
        <f t="shared" si="1"/>
        <v>13</v>
      </c>
      <c r="Y6" s="117">
        <f t="shared" si="1"/>
        <v>5</v>
      </c>
      <c r="Z6" s="117">
        <f t="shared" si="1"/>
        <v>39</v>
      </c>
      <c r="AA6" s="186">
        <f t="shared" si="2"/>
        <v>191</v>
      </c>
      <c r="AB6" s="116" t="str">
        <f t="shared" si="3"/>
        <v>Bardet</v>
      </c>
    </row>
    <row r="7" spans="2:28">
      <c r="B7" s="169"/>
      <c r="C7" s="277" t="s">
        <v>139</v>
      </c>
      <c r="D7" s="276" t="s">
        <v>136</v>
      </c>
      <c r="E7" s="117">
        <f t="shared" si="0"/>
        <v>0</v>
      </c>
      <c r="F7" s="117">
        <f t="shared" si="0"/>
        <v>0</v>
      </c>
      <c r="G7" s="117">
        <f t="shared" si="0"/>
        <v>4</v>
      </c>
      <c r="H7" s="117">
        <f t="shared" si="0"/>
        <v>4</v>
      </c>
      <c r="I7" s="117">
        <f t="shared" si="0"/>
        <v>4</v>
      </c>
      <c r="J7" s="117">
        <f t="shared" si="0"/>
        <v>2</v>
      </c>
      <c r="K7" s="117">
        <f t="shared" si="0"/>
        <v>2</v>
      </c>
      <c r="L7" s="117">
        <f t="shared" si="0"/>
        <v>1</v>
      </c>
      <c r="M7" s="117">
        <f t="shared" si="0"/>
        <v>0</v>
      </c>
      <c r="N7" s="117">
        <f t="shared" si="0"/>
        <v>0</v>
      </c>
      <c r="O7" s="117">
        <f t="shared" si="1"/>
        <v>38</v>
      </c>
      <c r="P7" s="117">
        <f t="shared" si="1"/>
        <v>0</v>
      </c>
      <c r="Q7" s="117">
        <f t="shared" si="1"/>
        <v>0</v>
      </c>
      <c r="R7" s="117">
        <f t="shared" si="1"/>
        <v>0</v>
      </c>
      <c r="S7" s="117">
        <f t="shared" si="1"/>
        <v>0</v>
      </c>
      <c r="T7" s="117">
        <f t="shared" si="1"/>
        <v>0</v>
      </c>
      <c r="U7" s="117">
        <f t="shared" si="1"/>
        <v>13</v>
      </c>
      <c r="V7" s="117">
        <f t="shared" si="1"/>
        <v>0</v>
      </c>
      <c r="W7" s="117">
        <f t="shared" si="1"/>
        <v>11</v>
      </c>
      <c r="X7" s="117">
        <f t="shared" si="1"/>
        <v>9</v>
      </c>
      <c r="Y7" s="117">
        <f t="shared" si="1"/>
        <v>0</v>
      </c>
      <c r="Z7" s="117">
        <f t="shared" si="1"/>
        <v>0</v>
      </c>
      <c r="AA7" s="186">
        <f t="shared" si="2"/>
        <v>88</v>
      </c>
      <c r="AB7" s="116" t="str">
        <f t="shared" si="3"/>
        <v>Majka</v>
      </c>
    </row>
    <row r="8" spans="2:28">
      <c r="B8" s="169"/>
      <c r="C8" s="296" t="s">
        <v>55</v>
      </c>
      <c r="D8" s="276" t="s">
        <v>136</v>
      </c>
      <c r="E8" s="117">
        <f t="shared" si="0"/>
        <v>12</v>
      </c>
      <c r="F8" s="117">
        <f t="shared" si="0"/>
        <v>0</v>
      </c>
      <c r="G8" s="117">
        <f t="shared" si="0"/>
        <v>16</v>
      </c>
      <c r="H8" s="117">
        <f t="shared" si="0"/>
        <v>10</v>
      </c>
      <c r="I8" s="117">
        <f t="shared" si="0"/>
        <v>0</v>
      </c>
      <c r="J8" s="117">
        <f t="shared" si="0"/>
        <v>0</v>
      </c>
      <c r="K8" s="117">
        <f t="shared" si="0"/>
        <v>0</v>
      </c>
      <c r="L8" s="117">
        <f t="shared" si="0"/>
        <v>18</v>
      </c>
      <c r="M8" s="117">
        <f t="shared" si="0"/>
        <v>0</v>
      </c>
      <c r="N8" s="117">
        <f t="shared" si="0"/>
        <v>9</v>
      </c>
      <c r="O8" s="117">
        <f t="shared" si="1"/>
        <v>20</v>
      </c>
      <c r="P8" s="117">
        <f t="shared" si="1"/>
        <v>8</v>
      </c>
      <c r="Q8" s="117">
        <f t="shared" si="1"/>
        <v>1</v>
      </c>
      <c r="R8" s="117">
        <f t="shared" si="1"/>
        <v>1</v>
      </c>
      <c r="S8" s="117">
        <f t="shared" si="1"/>
        <v>1</v>
      </c>
      <c r="T8" s="117">
        <f t="shared" si="1"/>
        <v>2</v>
      </c>
      <c r="U8" s="117">
        <f t="shared" si="1"/>
        <v>2</v>
      </c>
      <c r="V8" s="117">
        <f t="shared" si="1"/>
        <v>2</v>
      </c>
      <c r="W8" s="117">
        <f t="shared" si="1"/>
        <v>22</v>
      </c>
      <c r="X8" s="117">
        <f t="shared" si="1"/>
        <v>16</v>
      </c>
      <c r="Y8" s="117">
        <f t="shared" si="1"/>
        <v>4</v>
      </c>
      <c r="Z8" s="117">
        <f t="shared" si="1"/>
        <v>38</v>
      </c>
      <c r="AA8" s="186">
        <f t="shared" si="2"/>
        <v>182</v>
      </c>
      <c r="AB8" s="116" t="str">
        <f t="shared" si="3"/>
        <v>Mollema</v>
      </c>
    </row>
    <row r="9" spans="2:28">
      <c r="B9" s="169"/>
      <c r="C9" s="277" t="s">
        <v>90</v>
      </c>
      <c r="D9" s="276" t="s">
        <v>136</v>
      </c>
      <c r="E9" s="117">
        <f t="shared" si="0"/>
        <v>8</v>
      </c>
      <c r="F9" s="117">
        <f t="shared" si="0"/>
        <v>0</v>
      </c>
      <c r="G9" s="117">
        <f t="shared" si="0"/>
        <v>0</v>
      </c>
      <c r="H9" s="117">
        <f t="shared" si="0"/>
        <v>0</v>
      </c>
      <c r="I9" s="117">
        <f t="shared" si="0"/>
        <v>0</v>
      </c>
      <c r="J9" s="117">
        <f t="shared" si="0"/>
        <v>0</v>
      </c>
      <c r="K9" s="117">
        <f t="shared" si="0"/>
        <v>0</v>
      </c>
      <c r="L9" s="117">
        <f t="shared" si="0"/>
        <v>0</v>
      </c>
      <c r="M9" s="117">
        <f t="shared" si="0"/>
        <v>0</v>
      </c>
      <c r="N9" s="117">
        <f t="shared" si="0"/>
        <v>0</v>
      </c>
      <c r="O9" s="117">
        <f t="shared" si="1"/>
        <v>0</v>
      </c>
      <c r="P9" s="117">
        <f t="shared" si="1"/>
        <v>14</v>
      </c>
      <c r="Q9" s="117">
        <f t="shared" si="1"/>
        <v>0</v>
      </c>
      <c r="R9" s="117">
        <f t="shared" si="1"/>
        <v>30</v>
      </c>
      <c r="S9" s="117">
        <f t="shared" si="1"/>
        <v>0</v>
      </c>
      <c r="T9" s="117">
        <f t="shared" si="1"/>
        <v>0</v>
      </c>
      <c r="U9" s="117">
        <f t="shared" si="1"/>
        <v>24</v>
      </c>
      <c r="V9" s="117">
        <f t="shared" si="1"/>
        <v>0</v>
      </c>
      <c r="W9" s="117">
        <f t="shared" si="1"/>
        <v>24</v>
      </c>
      <c r="X9" s="117">
        <f t="shared" si="1"/>
        <v>37</v>
      </c>
      <c r="Y9" s="117">
        <f t="shared" si="1"/>
        <v>2</v>
      </c>
      <c r="Z9" s="117">
        <f t="shared" si="1"/>
        <v>23</v>
      </c>
      <c r="AA9" s="186">
        <f t="shared" si="2"/>
        <v>162</v>
      </c>
      <c r="AB9" s="116" t="str">
        <f t="shared" si="3"/>
        <v>Pinot</v>
      </c>
    </row>
    <row r="10" spans="2:28">
      <c r="B10" s="169"/>
      <c r="C10" s="277" t="s">
        <v>94</v>
      </c>
      <c r="D10" s="276" t="s">
        <v>136</v>
      </c>
      <c r="E10" s="117">
        <f t="shared" si="0"/>
        <v>0</v>
      </c>
      <c r="F10" s="117">
        <f t="shared" si="0"/>
        <v>0</v>
      </c>
      <c r="G10" s="117">
        <f t="shared" si="0"/>
        <v>40</v>
      </c>
      <c r="H10" s="117">
        <f t="shared" si="0"/>
        <v>11</v>
      </c>
      <c r="I10" s="117">
        <f t="shared" si="0"/>
        <v>5</v>
      </c>
      <c r="J10" s="117">
        <f t="shared" si="0"/>
        <v>17</v>
      </c>
      <c r="K10" s="117">
        <f t="shared" si="0"/>
        <v>4</v>
      </c>
      <c r="L10" s="117">
        <f t="shared" si="0"/>
        <v>18</v>
      </c>
      <c r="M10" s="117">
        <f t="shared" si="0"/>
        <v>0</v>
      </c>
      <c r="N10" s="117">
        <f t="shared" si="0"/>
        <v>0</v>
      </c>
      <c r="O10" s="117">
        <f t="shared" si="1"/>
        <v>0</v>
      </c>
      <c r="P10" s="117">
        <f t="shared" si="1"/>
        <v>39</v>
      </c>
      <c r="Q10" s="117">
        <f t="shared" si="1"/>
        <v>4</v>
      </c>
      <c r="R10" s="117">
        <f t="shared" si="1"/>
        <v>4</v>
      </c>
      <c r="S10" s="117">
        <f t="shared" si="1"/>
        <v>4</v>
      </c>
      <c r="T10" s="117">
        <f t="shared" si="1"/>
        <v>4</v>
      </c>
      <c r="U10" s="117">
        <f t="shared" si="1"/>
        <v>4</v>
      </c>
      <c r="V10" s="117">
        <f t="shared" si="1"/>
        <v>5</v>
      </c>
      <c r="W10" s="117">
        <f t="shared" si="1"/>
        <v>3</v>
      </c>
      <c r="X10" s="117">
        <f t="shared" si="1"/>
        <v>15</v>
      </c>
      <c r="Y10" s="117">
        <f t="shared" si="1"/>
        <v>1</v>
      </c>
      <c r="Z10" s="117">
        <f t="shared" si="1"/>
        <v>1</v>
      </c>
      <c r="AA10" s="186">
        <f t="shared" si="2"/>
        <v>179</v>
      </c>
      <c r="AB10" s="116" t="str">
        <f t="shared" si="3"/>
        <v>Rodriguez</v>
      </c>
    </row>
    <row r="11" spans="2:28">
      <c r="B11" s="169"/>
      <c r="C11" s="277" t="s">
        <v>81</v>
      </c>
      <c r="D11" s="276" t="s">
        <v>136</v>
      </c>
      <c r="E11" s="117">
        <f t="shared" si="0"/>
        <v>0</v>
      </c>
      <c r="F11" s="117">
        <f t="shared" si="0"/>
        <v>0</v>
      </c>
      <c r="G11" s="117">
        <f t="shared" si="0"/>
        <v>6</v>
      </c>
      <c r="H11" s="117">
        <f t="shared" si="0"/>
        <v>0</v>
      </c>
      <c r="I11" s="117">
        <f t="shared" si="0"/>
        <v>0</v>
      </c>
      <c r="J11" s="117">
        <f t="shared" si="0"/>
        <v>0</v>
      </c>
      <c r="K11" s="117">
        <f t="shared" si="0"/>
        <v>0</v>
      </c>
      <c r="L11" s="117">
        <f t="shared" si="0"/>
        <v>6</v>
      </c>
      <c r="M11" s="117">
        <f t="shared" si="0"/>
        <v>0</v>
      </c>
      <c r="N11" s="117">
        <f t="shared" si="0"/>
        <v>18</v>
      </c>
      <c r="O11" s="117">
        <f t="shared" si="1"/>
        <v>10</v>
      </c>
      <c r="P11" s="117">
        <f t="shared" si="1"/>
        <v>11</v>
      </c>
      <c r="Q11" s="117">
        <f t="shared" si="1"/>
        <v>7</v>
      </c>
      <c r="R11" s="117">
        <f t="shared" si="1"/>
        <v>0</v>
      </c>
      <c r="S11" s="117">
        <f t="shared" si="1"/>
        <v>0</v>
      </c>
      <c r="T11" s="117">
        <f t="shared" si="1"/>
        <v>0</v>
      </c>
      <c r="U11" s="117">
        <f t="shared" si="1"/>
        <v>0</v>
      </c>
      <c r="V11" s="117">
        <f t="shared" si="1"/>
        <v>30</v>
      </c>
      <c r="W11" s="117">
        <f t="shared" si="1"/>
        <v>16</v>
      </c>
      <c r="X11" s="117">
        <f t="shared" si="1"/>
        <v>21</v>
      </c>
      <c r="Y11" s="117">
        <f t="shared" si="1"/>
        <v>1</v>
      </c>
      <c r="Z11" s="117">
        <f t="shared" si="1"/>
        <v>32</v>
      </c>
      <c r="AA11" s="186">
        <f t="shared" si="2"/>
        <v>158</v>
      </c>
      <c r="AB11" s="116" t="str">
        <f t="shared" si="3"/>
        <v>Rolland</v>
      </c>
    </row>
    <row r="12" spans="2:28">
      <c r="B12" s="169"/>
      <c r="C12" s="277" t="s">
        <v>76</v>
      </c>
      <c r="D12" s="276" t="s">
        <v>136</v>
      </c>
      <c r="E12" s="117">
        <f t="shared" si="0"/>
        <v>0</v>
      </c>
      <c r="F12" s="117">
        <f t="shared" si="0"/>
        <v>0</v>
      </c>
      <c r="G12" s="117">
        <f t="shared" si="0"/>
        <v>15</v>
      </c>
      <c r="H12" s="117">
        <f t="shared" si="0"/>
        <v>15</v>
      </c>
      <c r="I12" s="117">
        <f t="shared" si="0"/>
        <v>0</v>
      </c>
      <c r="J12" s="117">
        <f t="shared" si="0"/>
        <v>11</v>
      </c>
      <c r="K12" s="117">
        <f t="shared" si="0"/>
        <v>0</v>
      </c>
      <c r="L12" s="117">
        <f t="shared" si="0"/>
        <v>26</v>
      </c>
      <c r="M12" s="117">
        <f t="shared" si="0"/>
        <v>0</v>
      </c>
      <c r="N12" s="117">
        <f t="shared" si="0"/>
        <v>30</v>
      </c>
      <c r="O12" s="117">
        <f t="shared" si="1"/>
        <v>25</v>
      </c>
      <c r="P12" s="117">
        <f t="shared" si="1"/>
        <v>24</v>
      </c>
      <c r="Q12" s="117">
        <f t="shared" si="1"/>
        <v>24</v>
      </c>
      <c r="R12" s="117">
        <f t="shared" si="1"/>
        <v>7</v>
      </c>
      <c r="S12" s="117">
        <f t="shared" si="1"/>
        <v>7</v>
      </c>
      <c r="T12" s="117">
        <f t="shared" si="1"/>
        <v>7</v>
      </c>
      <c r="U12" s="117">
        <f t="shared" si="1"/>
        <v>8</v>
      </c>
      <c r="V12" s="117">
        <f t="shared" si="1"/>
        <v>21</v>
      </c>
      <c r="W12" s="117">
        <f t="shared" si="1"/>
        <v>28</v>
      </c>
      <c r="X12" s="117">
        <f t="shared" si="1"/>
        <v>32</v>
      </c>
      <c r="Y12" s="117">
        <f t="shared" si="1"/>
        <v>8</v>
      </c>
      <c r="Z12" s="117">
        <f t="shared" si="1"/>
        <v>52</v>
      </c>
      <c r="AA12" s="186">
        <f t="shared" si="2"/>
        <v>340</v>
      </c>
      <c r="AB12" s="116" t="str">
        <f t="shared" si="3"/>
        <v>Valverde</v>
      </c>
    </row>
    <row r="13" spans="2:28">
      <c r="B13" s="169"/>
      <c r="C13" s="277" t="s">
        <v>146</v>
      </c>
      <c r="D13" s="276" t="s">
        <v>136</v>
      </c>
      <c r="E13" s="117">
        <f t="shared" si="0"/>
        <v>6</v>
      </c>
      <c r="F13" s="117">
        <f t="shared" si="0"/>
        <v>18</v>
      </c>
      <c r="G13" s="117">
        <f t="shared" si="0"/>
        <v>28</v>
      </c>
      <c r="H13" s="117">
        <f t="shared" si="0"/>
        <v>8</v>
      </c>
      <c r="I13" s="117">
        <f t="shared" si="0"/>
        <v>8</v>
      </c>
      <c r="J13" s="117">
        <f t="shared" si="0"/>
        <v>8</v>
      </c>
      <c r="K13" s="117">
        <f t="shared" si="0"/>
        <v>8</v>
      </c>
      <c r="L13" s="117">
        <f t="shared" si="0"/>
        <v>24</v>
      </c>
      <c r="M13" s="117">
        <f t="shared" si="0"/>
        <v>0.1</v>
      </c>
      <c r="N13" s="117">
        <f t="shared" si="0"/>
        <v>25</v>
      </c>
      <c r="O13" s="117">
        <f t="shared" si="1"/>
        <v>22</v>
      </c>
      <c r="P13" s="117">
        <f t="shared" si="1"/>
        <v>22</v>
      </c>
      <c r="Q13" s="117">
        <f t="shared" si="1"/>
        <v>25</v>
      </c>
      <c r="R13" s="117">
        <f t="shared" si="1"/>
        <v>8</v>
      </c>
      <c r="S13" s="117">
        <f t="shared" si="1"/>
        <v>8</v>
      </c>
      <c r="T13" s="117">
        <f t="shared" si="1"/>
        <v>8</v>
      </c>
      <c r="U13" s="117">
        <f t="shared" si="1"/>
        <v>0</v>
      </c>
      <c r="V13" s="117">
        <f t="shared" si="1"/>
        <v>0</v>
      </c>
      <c r="W13" s="117">
        <f t="shared" si="1"/>
        <v>0</v>
      </c>
      <c r="X13" s="117">
        <f t="shared" si="1"/>
        <v>0</v>
      </c>
      <c r="Y13" s="117">
        <f t="shared" si="1"/>
        <v>0</v>
      </c>
      <c r="Z13" s="117">
        <f t="shared" si="1"/>
        <v>0</v>
      </c>
      <c r="AA13" s="186">
        <f t="shared" si="2"/>
        <v>226.1</v>
      </c>
      <c r="AB13" s="116" t="str">
        <f t="shared" si="3"/>
        <v>Van Garderen</v>
      </c>
    </row>
    <row r="14" spans="2:28">
      <c r="B14" s="169"/>
      <c r="C14" s="277" t="s">
        <v>45</v>
      </c>
      <c r="D14" s="276" t="s">
        <v>11</v>
      </c>
      <c r="E14" s="117">
        <f t="shared" ref="E14:N20" si="4">INDEX(scorematrix,MATCH($C14,renners,0),MATCH(E$3,etappes,0))</f>
        <v>0</v>
      </c>
      <c r="F14" s="117">
        <f t="shared" si="4"/>
        <v>26</v>
      </c>
      <c r="G14" s="117">
        <f t="shared" si="4"/>
        <v>2</v>
      </c>
      <c r="H14" s="117">
        <f t="shared" si="4"/>
        <v>15</v>
      </c>
      <c r="I14" s="117">
        <f t="shared" si="4"/>
        <v>28</v>
      </c>
      <c r="J14" s="117">
        <f t="shared" si="4"/>
        <v>2</v>
      </c>
      <c r="K14" s="117">
        <f t="shared" si="4"/>
        <v>38</v>
      </c>
      <c r="L14" s="117">
        <f t="shared" si="4"/>
        <v>3</v>
      </c>
      <c r="M14" s="117">
        <f t="shared" si="4"/>
        <v>0</v>
      </c>
      <c r="N14" s="117">
        <f t="shared" si="4"/>
        <v>3</v>
      </c>
      <c r="O14" s="117">
        <f t="shared" ref="O14:Z20" si="5">INDEX(scorematrix,MATCH($C14,renners,0),MATCH(O$3,etappes,0))</f>
        <v>2</v>
      </c>
      <c r="P14" s="117">
        <f t="shared" si="5"/>
        <v>2</v>
      </c>
      <c r="Q14" s="117">
        <f t="shared" si="5"/>
        <v>2</v>
      </c>
      <c r="R14" s="117">
        <f t="shared" si="5"/>
        <v>2</v>
      </c>
      <c r="S14" s="117">
        <f t="shared" si="5"/>
        <v>2</v>
      </c>
      <c r="T14" s="117">
        <f t="shared" si="5"/>
        <v>2</v>
      </c>
      <c r="U14" s="117">
        <f t="shared" si="5"/>
        <v>2</v>
      </c>
      <c r="V14" s="117">
        <f t="shared" si="5"/>
        <v>2</v>
      </c>
      <c r="W14" s="117">
        <f t="shared" si="5"/>
        <v>2</v>
      </c>
      <c r="X14" s="117">
        <f t="shared" si="5"/>
        <v>2</v>
      </c>
      <c r="Y14" s="117">
        <f t="shared" si="5"/>
        <v>22</v>
      </c>
      <c r="Z14" s="117">
        <f t="shared" si="5"/>
        <v>3</v>
      </c>
      <c r="AA14" s="186">
        <f t="shared" si="2"/>
        <v>162</v>
      </c>
      <c r="AB14" s="116" t="str">
        <f t="shared" si="3"/>
        <v>Cavendish</v>
      </c>
    </row>
    <row r="15" spans="2:28">
      <c r="B15" s="169"/>
      <c r="C15" s="277" t="s">
        <v>112</v>
      </c>
      <c r="D15" s="276" t="s">
        <v>11</v>
      </c>
      <c r="E15" s="117">
        <f t="shared" si="4"/>
        <v>0</v>
      </c>
      <c r="F15" s="117">
        <f t="shared" si="4"/>
        <v>0</v>
      </c>
      <c r="G15" s="117">
        <f t="shared" si="4"/>
        <v>0</v>
      </c>
      <c r="H15" s="117">
        <f t="shared" si="4"/>
        <v>16</v>
      </c>
      <c r="I15" s="117">
        <f t="shared" si="4"/>
        <v>18</v>
      </c>
      <c r="J15" s="117">
        <f t="shared" si="4"/>
        <v>27</v>
      </c>
      <c r="K15" s="117">
        <f t="shared" si="4"/>
        <v>15</v>
      </c>
      <c r="L15" s="117">
        <f t="shared" si="4"/>
        <v>1</v>
      </c>
      <c r="M15" s="117">
        <f t="shared" si="4"/>
        <v>0</v>
      </c>
      <c r="N15" s="117">
        <f t="shared" si="4"/>
        <v>1</v>
      </c>
      <c r="O15" s="117">
        <f t="shared" si="5"/>
        <v>1</v>
      </c>
      <c r="P15" s="117">
        <f t="shared" si="5"/>
        <v>1</v>
      </c>
      <c r="Q15" s="117">
        <f t="shared" si="5"/>
        <v>1</v>
      </c>
      <c r="R15" s="117">
        <f t="shared" si="5"/>
        <v>1</v>
      </c>
      <c r="S15" s="117">
        <f t="shared" si="5"/>
        <v>12</v>
      </c>
      <c r="T15" s="117">
        <f t="shared" si="5"/>
        <v>1</v>
      </c>
      <c r="U15" s="117">
        <f t="shared" si="5"/>
        <v>1</v>
      </c>
      <c r="V15" s="117">
        <f t="shared" si="5"/>
        <v>1</v>
      </c>
      <c r="W15" s="117">
        <f t="shared" si="5"/>
        <v>0</v>
      </c>
      <c r="X15" s="117">
        <f t="shared" si="5"/>
        <v>0</v>
      </c>
      <c r="Y15" s="117">
        <f t="shared" si="5"/>
        <v>31</v>
      </c>
      <c r="Z15" s="117">
        <f t="shared" si="5"/>
        <v>1</v>
      </c>
      <c r="AA15" s="186">
        <f t="shared" si="2"/>
        <v>129</v>
      </c>
      <c r="AB15" s="116" t="str">
        <f t="shared" si="3"/>
        <v>Coquard</v>
      </c>
    </row>
    <row r="16" spans="2:28">
      <c r="B16" s="169"/>
      <c r="C16" s="277" t="s">
        <v>96</v>
      </c>
      <c r="D16" s="276" t="s">
        <v>11</v>
      </c>
      <c r="E16" s="117">
        <f t="shared" si="4"/>
        <v>0</v>
      </c>
      <c r="F16" s="117">
        <f t="shared" si="4"/>
        <v>0</v>
      </c>
      <c r="G16" s="117">
        <f t="shared" si="4"/>
        <v>0</v>
      </c>
      <c r="H16" s="117">
        <f t="shared" si="4"/>
        <v>33</v>
      </c>
      <c r="I16" s="117">
        <f t="shared" si="4"/>
        <v>23</v>
      </c>
      <c r="J16" s="117">
        <f t="shared" si="4"/>
        <v>27</v>
      </c>
      <c r="K16" s="117">
        <f t="shared" si="4"/>
        <v>26</v>
      </c>
      <c r="L16" s="117">
        <f t="shared" si="4"/>
        <v>2</v>
      </c>
      <c r="M16" s="117">
        <f t="shared" si="4"/>
        <v>0</v>
      </c>
      <c r="N16" s="117">
        <f t="shared" si="4"/>
        <v>2</v>
      </c>
      <c r="O16" s="117">
        <f t="shared" si="5"/>
        <v>3</v>
      </c>
      <c r="P16" s="117">
        <f t="shared" si="5"/>
        <v>3</v>
      </c>
      <c r="Q16" s="117">
        <f t="shared" si="5"/>
        <v>27</v>
      </c>
      <c r="R16" s="117">
        <f t="shared" si="5"/>
        <v>3</v>
      </c>
      <c r="S16" s="117">
        <f t="shared" si="5"/>
        <v>33</v>
      </c>
      <c r="T16" s="117">
        <f t="shared" si="5"/>
        <v>3</v>
      </c>
      <c r="U16" s="117">
        <f t="shared" si="5"/>
        <v>3</v>
      </c>
      <c r="V16" s="117">
        <f t="shared" si="5"/>
        <v>3</v>
      </c>
      <c r="W16" s="117">
        <f t="shared" si="5"/>
        <v>3</v>
      </c>
      <c r="X16" s="117">
        <f t="shared" si="5"/>
        <v>3</v>
      </c>
      <c r="Y16" s="117">
        <f t="shared" si="5"/>
        <v>21</v>
      </c>
      <c r="Z16" s="117">
        <f t="shared" si="5"/>
        <v>5</v>
      </c>
      <c r="AA16" s="186">
        <f t="shared" si="2"/>
        <v>223</v>
      </c>
      <c r="AB16" s="116" t="str">
        <f t="shared" si="3"/>
        <v>Degenkolb</v>
      </c>
    </row>
    <row r="17" spans="2:28" s="170" customFormat="1">
      <c r="B17" s="169"/>
      <c r="C17" s="277" t="s">
        <v>155</v>
      </c>
      <c r="D17" s="276" t="s">
        <v>11</v>
      </c>
      <c r="E17" s="117">
        <f t="shared" si="4"/>
        <v>0</v>
      </c>
      <c r="F17" s="117">
        <f t="shared" si="4"/>
        <v>0</v>
      </c>
      <c r="G17" s="117">
        <f t="shared" si="4"/>
        <v>0</v>
      </c>
      <c r="H17" s="117">
        <f t="shared" si="4"/>
        <v>0</v>
      </c>
      <c r="I17" s="117">
        <f t="shared" si="4"/>
        <v>19</v>
      </c>
      <c r="J17" s="117">
        <f t="shared" si="4"/>
        <v>0</v>
      </c>
      <c r="K17" s="117">
        <f t="shared" si="4"/>
        <v>20</v>
      </c>
      <c r="L17" s="117">
        <f t="shared" si="4"/>
        <v>0</v>
      </c>
      <c r="M17" s="117">
        <f t="shared" si="4"/>
        <v>0</v>
      </c>
      <c r="N17" s="117">
        <f t="shared" si="4"/>
        <v>0</v>
      </c>
      <c r="O17" s="117">
        <f t="shared" si="5"/>
        <v>0</v>
      </c>
      <c r="P17" s="117">
        <f t="shared" si="5"/>
        <v>0</v>
      </c>
      <c r="Q17" s="117">
        <f t="shared" si="5"/>
        <v>0</v>
      </c>
      <c r="R17" s="117">
        <f t="shared" si="5"/>
        <v>0</v>
      </c>
      <c r="S17" s="117">
        <f t="shared" si="5"/>
        <v>0</v>
      </c>
      <c r="T17" s="117">
        <f t="shared" si="5"/>
        <v>0</v>
      </c>
      <c r="U17" s="117">
        <f t="shared" si="5"/>
        <v>0</v>
      </c>
      <c r="V17" s="117">
        <f t="shared" si="5"/>
        <v>0</v>
      </c>
      <c r="W17" s="117">
        <f t="shared" si="5"/>
        <v>0</v>
      </c>
      <c r="X17" s="117">
        <f t="shared" si="5"/>
        <v>0</v>
      </c>
      <c r="Y17" s="117">
        <f t="shared" si="5"/>
        <v>22</v>
      </c>
      <c r="Z17" s="117">
        <f t="shared" si="5"/>
        <v>0</v>
      </c>
      <c r="AA17" s="186">
        <f t="shared" si="2"/>
        <v>61</v>
      </c>
      <c r="AB17" s="116" t="str">
        <f t="shared" si="3"/>
        <v>Demare</v>
      </c>
    </row>
    <row r="18" spans="2:28" s="170" customFormat="1">
      <c r="B18" s="169"/>
      <c r="C18" s="277" t="s">
        <v>56</v>
      </c>
      <c r="D18" s="276" t="s">
        <v>11</v>
      </c>
      <c r="E18" s="117">
        <f t="shared" si="4"/>
        <v>0</v>
      </c>
      <c r="F18" s="117">
        <f t="shared" si="4"/>
        <v>40</v>
      </c>
      <c r="G18" s="117">
        <f t="shared" si="4"/>
        <v>5</v>
      </c>
      <c r="H18" s="117">
        <f t="shared" si="4"/>
        <v>5</v>
      </c>
      <c r="I18" s="117">
        <f t="shared" si="4"/>
        <v>40</v>
      </c>
      <c r="J18" s="117">
        <f t="shared" si="4"/>
        <v>5</v>
      </c>
      <c r="K18" s="117">
        <f t="shared" si="4"/>
        <v>35</v>
      </c>
      <c r="L18" s="117">
        <f t="shared" si="4"/>
        <v>4</v>
      </c>
      <c r="M18" s="117">
        <f t="shared" si="4"/>
        <v>0</v>
      </c>
      <c r="N18" s="117">
        <f t="shared" si="4"/>
        <v>5</v>
      </c>
      <c r="O18" s="117">
        <f t="shared" si="5"/>
        <v>4</v>
      </c>
      <c r="P18" s="117">
        <f t="shared" si="5"/>
        <v>4</v>
      </c>
      <c r="Q18" s="117">
        <f t="shared" si="5"/>
        <v>4</v>
      </c>
      <c r="R18" s="117">
        <f t="shared" si="5"/>
        <v>4</v>
      </c>
      <c r="S18" s="117">
        <f t="shared" si="5"/>
        <v>39</v>
      </c>
      <c r="T18" s="117">
        <f t="shared" si="5"/>
        <v>4</v>
      </c>
      <c r="U18" s="117">
        <f t="shared" si="5"/>
        <v>4</v>
      </c>
      <c r="V18" s="117">
        <f t="shared" si="5"/>
        <v>4</v>
      </c>
      <c r="W18" s="117">
        <f t="shared" si="5"/>
        <v>4</v>
      </c>
      <c r="X18" s="117">
        <f t="shared" si="5"/>
        <v>4</v>
      </c>
      <c r="Y18" s="117">
        <f t="shared" si="5"/>
        <v>39</v>
      </c>
      <c r="Z18" s="117">
        <f t="shared" si="5"/>
        <v>7</v>
      </c>
      <c r="AA18" s="186">
        <f t="shared" si="2"/>
        <v>260</v>
      </c>
      <c r="AB18" s="116" t="str">
        <f t="shared" si="3"/>
        <v>Greipel</v>
      </c>
    </row>
    <row r="19" spans="2:28">
      <c r="B19" s="169"/>
      <c r="C19" s="277" t="s">
        <v>97</v>
      </c>
      <c r="D19" s="276" t="s">
        <v>11</v>
      </c>
      <c r="E19" s="117">
        <f t="shared" si="4"/>
        <v>0</v>
      </c>
      <c r="F19" s="117">
        <f t="shared" si="4"/>
        <v>0</v>
      </c>
      <c r="G19" s="117">
        <f t="shared" si="4"/>
        <v>0</v>
      </c>
      <c r="H19" s="117">
        <f t="shared" si="4"/>
        <v>0</v>
      </c>
      <c r="I19" s="117">
        <f t="shared" si="4"/>
        <v>24</v>
      </c>
      <c r="J19" s="117">
        <f t="shared" si="4"/>
        <v>15</v>
      </c>
      <c r="K19" s="117">
        <f t="shared" si="4"/>
        <v>22</v>
      </c>
      <c r="L19" s="117">
        <f t="shared" si="4"/>
        <v>0</v>
      </c>
      <c r="M19" s="117">
        <f t="shared" si="4"/>
        <v>0</v>
      </c>
      <c r="N19" s="117">
        <f t="shared" si="4"/>
        <v>0</v>
      </c>
      <c r="O19" s="117">
        <f t="shared" si="5"/>
        <v>0</v>
      </c>
      <c r="P19" s="117">
        <f t="shared" si="5"/>
        <v>0</v>
      </c>
      <c r="Q19" s="117">
        <f t="shared" si="5"/>
        <v>0</v>
      </c>
      <c r="R19" s="117">
        <f t="shared" si="5"/>
        <v>0</v>
      </c>
      <c r="S19" s="117">
        <f t="shared" si="5"/>
        <v>26</v>
      </c>
      <c r="T19" s="117">
        <f t="shared" si="5"/>
        <v>0</v>
      </c>
      <c r="U19" s="117">
        <f t="shared" si="5"/>
        <v>0</v>
      </c>
      <c r="V19" s="117">
        <f t="shared" si="5"/>
        <v>0</v>
      </c>
      <c r="W19" s="117">
        <f t="shared" si="5"/>
        <v>0</v>
      </c>
      <c r="X19" s="117">
        <f t="shared" si="5"/>
        <v>0</v>
      </c>
      <c r="Y19" s="117">
        <f t="shared" si="5"/>
        <v>26</v>
      </c>
      <c r="Z19" s="117">
        <f t="shared" si="5"/>
        <v>0</v>
      </c>
      <c r="AA19" s="186">
        <f t="shared" si="2"/>
        <v>113</v>
      </c>
      <c r="AB19" s="116" t="str">
        <f>C19</f>
        <v>Kristoff</v>
      </c>
    </row>
    <row r="20" spans="2:28" ht="13.5" thickBot="1">
      <c r="B20" s="169"/>
      <c r="C20" s="289" t="s">
        <v>74</v>
      </c>
      <c r="D20" s="276" t="s">
        <v>11</v>
      </c>
      <c r="E20" s="117">
        <f t="shared" si="4"/>
        <v>7</v>
      </c>
      <c r="F20" s="117">
        <f t="shared" si="4"/>
        <v>41</v>
      </c>
      <c r="G20" s="117">
        <f t="shared" si="4"/>
        <v>9</v>
      </c>
      <c r="H20" s="117">
        <f t="shared" si="4"/>
        <v>36</v>
      </c>
      <c r="I20" s="117">
        <f t="shared" si="4"/>
        <v>41</v>
      </c>
      <c r="J20" s="117">
        <f t="shared" si="4"/>
        <v>41</v>
      </c>
      <c r="K20" s="117">
        <f t="shared" si="4"/>
        <v>39</v>
      </c>
      <c r="L20" s="117">
        <f t="shared" si="4"/>
        <v>38</v>
      </c>
      <c r="M20" s="117">
        <f t="shared" si="4"/>
        <v>0</v>
      </c>
      <c r="N20" s="117">
        <f t="shared" si="4"/>
        <v>4</v>
      </c>
      <c r="O20" s="117">
        <f t="shared" si="5"/>
        <v>5</v>
      </c>
      <c r="P20" s="117">
        <f t="shared" si="5"/>
        <v>5</v>
      </c>
      <c r="Q20" s="117">
        <f t="shared" si="5"/>
        <v>35</v>
      </c>
      <c r="R20" s="117">
        <f t="shared" si="5"/>
        <v>27</v>
      </c>
      <c r="S20" s="117">
        <f t="shared" si="5"/>
        <v>29</v>
      </c>
      <c r="T20" s="117">
        <f t="shared" si="5"/>
        <v>35</v>
      </c>
      <c r="U20" s="117">
        <f t="shared" si="5"/>
        <v>5</v>
      </c>
      <c r="V20" s="117">
        <f t="shared" si="5"/>
        <v>5</v>
      </c>
      <c r="W20" s="117">
        <f t="shared" si="5"/>
        <v>5</v>
      </c>
      <c r="X20" s="117">
        <f t="shared" si="5"/>
        <v>5</v>
      </c>
      <c r="Y20" s="117">
        <f t="shared" si="5"/>
        <v>24</v>
      </c>
      <c r="Z20" s="117">
        <f t="shared" si="5"/>
        <v>10</v>
      </c>
      <c r="AA20" s="186">
        <f t="shared" si="2"/>
        <v>446</v>
      </c>
      <c r="AB20" s="116" t="str">
        <f>C20</f>
        <v>Sagan</v>
      </c>
    </row>
    <row r="21" spans="2:28" s="171" customFormat="1">
      <c r="C21" s="278"/>
      <c r="D21" s="178"/>
      <c r="E21" s="180"/>
      <c r="F21" s="180"/>
      <c r="G21" s="180"/>
      <c r="H21" s="180">
        <f>H25</f>
        <v>0</v>
      </c>
      <c r="I21" s="180"/>
      <c r="J21" s="180"/>
      <c r="K21" s="180"/>
      <c r="L21" s="180"/>
      <c r="M21" s="180"/>
      <c r="N21" s="180"/>
      <c r="O21" s="180"/>
      <c r="P21" s="180"/>
      <c r="Q21" s="180"/>
      <c r="R21" s="180"/>
      <c r="S21" s="180"/>
      <c r="T21" s="180"/>
      <c r="U21" s="180"/>
      <c r="V21" s="180"/>
      <c r="W21" s="180"/>
      <c r="X21" s="180">
        <f t="shared" ref="W21:X21" si="6">X24</f>
        <v>19</v>
      </c>
      <c r="Y21" s="180"/>
      <c r="Z21" s="180"/>
      <c r="AA21" s="235">
        <f t="shared" si="2"/>
        <v>19</v>
      </c>
    </row>
    <row r="22" spans="2:28" s="120" customFormat="1">
      <c r="C22" s="179"/>
      <c r="D22" s="179"/>
      <c r="E22" s="172">
        <f t="shared" ref="E22:AA22" si="7">SUM(E4:E21)</f>
        <v>70</v>
      </c>
      <c r="F22" s="172">
        <f t="shared" ref="F22" si="8">SUM(F4:F21)</f>
        <v>164</v>
      </c>
      <c r="G22" s="172">
        <f>SUM(G4:G21)</f>
        <v>126</v>
      </c>
      <c r="H22" s="172">
        <f t="shared" si="7"/>
        <v>161</v>
      </c>
      <c r="I22" s="172">
        <f t="shared" si="7"/>
        <v>210</v>
      </c>
      <c r="J22" s="172">
        <f t="shared" si="7"/>
        <v>155</v>
      </c>
      <c r="K22" s="172">
        <f t="shared" si="7"/>
        <v>209</v>
      </c>
      <c r="L22" s="172">
        <f t="shared" si="7"/>
        <v>141</v>
      </c>
      <c r="M22" s="172">
        <f t="shared" si="7"/>
        <v>0.1</v>
      </c>
      <c r="N22" s="172">
        <f t="shared" si="7"/>
        <v>97</v>
      </c>
      <c r="O22" s="172">
        <f t="shared" si="7"/>
        <v>130</v>
      </c>
      <c r="P22" s="172">
        <f t="shared" si="7"/>
        <v>160</v>
      </c>
      <c r="Q22" s="172">
        <f t="shared" si="7"/>
        <v>131</v>
      </c>
      <c r="R22" s="172">
        <f t="shared" si="7"/>
        <v>114</v>
      </c>
      <c r="S22" s="172">
        <f t="shared" si="7"/>
        <v>162</v>
      </c>
      <c r="T22" s="172">
        <f t="shared" si="7"/>
        <v>67</v>
      </c>
      <c r="U22" s="172">
        <f t="shared" si="7"/>
        <v>66</v>
      </c>
      <c r="V22" s="172">
        <f t="shared" si="7"/>
        <v>113</v>
      </c>
      <c r="W22" s="172">
        <f t="shared" si="7"/>
        <v>147</v>
      </c>
      <c r="X22" s="172">
        <f t="shared" si="7"/>
        <v>176</v>
      </c>
      <c r="Y22" s="172">
        <f t="shared" si="7"/>
        <v>206</v>
      </c>
      <c r="Z22" s="172">
        <f t="shared" si="7"/>
        <v>211</v>
      </c>
      <c r="AA22" s="236">
        <f t="shared" si="7"/>
        <v>3016.1</v>
      </c>
    </row>
    <row r="23" spans="2:28" s="173" customFormat="1">
      <c r="C23" s="176"/>
      <c r="D23" s="176"/>
      <c r="E23" s="151"/>
      <c r="F23" s="151"/>
      <c r="G23" s="151"/>
      <c r="H23" s="174"/>
      <c r="I23" s="151"/>
      <c r="J23" s="151"/>
      <c r="K23" s="151"/>
      <c r="L23" s="151"/>
      <c r="M23" s="151"/>
      <c r="N23" s="151"/>
      <c r="O23" s="151"/>
      <c r="P23" s="151"/>
      <c r="Q23" s="151"/>
      <c r="R23" s="151"/>
      <c r="S23" s="151"/>
      <c r="T23" s="151"/>
      <c r="U23" s="151"/>
      <c r="V23" s="151"/>
      <c r="W23" s="151"/>
      <c r="X23" s="151"/>
      <c r="Y23" s="151"/>
      <c r="Z23" s="151"/>
      <c r="AA23" s="237"/>
    </row>
    <row r="24" spans="2:28" s="175" customFormat="1">
      <c r="B24" s="169"/>
      <c r="C24" s="279" t="s">
        <v>91</v>
      </c>
      <c r="D24" s="279"/>
      <c r="E24" s="193">
        <f t="shared" ref="E24:Z26" si="9">INDEX(scorematrix,MATCH($C24,renners,0),MATCH(E$3,etappes,0))</f>
        <v>0</v>
      </c>
      <c r="F24" s="193">
        <f t="shared" si="9"/>
        <v>0</v>
      </c>
      <c r="G24" s="193">
        <f t="shared" si="9"/>
        <v>0</v>
      </c>
      <c r="H24" s="193">
        <f t="shared" si="9"/>
        <v>0</v>
      </c>
      <c r="I24" s="193">
        <f t="shared" si="9"/>
        <v>0</v>
      </c>
      <c r="J24" s="193">
        <f t="shared" si="9"/>
        <v>0</v>
      </c>
      <c r="K24" s="193">
        <f t="shared" si="9"/>
        <v>0</v>
      </c>
      <c r="L24" s="193">
        <f t="shared" si="9"/>
        <v>0</v>
      </c>
      <c r="M24" s="193">
        <f t="shared" si="9"/>
        <v>0</v>
      </c>
      <c r="N24" s="193">
        <f t="shared" si="9"/>
        <v>34</v>
      </c>
      <c r="O24" s="193">
        <f t="shared" si="9"/>
        <v>4</v>
      </c>
      <c r="P24" s="193">
        <f t="shared" si="9"/>
        <v>2</v>
      </c>
      <c r="Q24" s="193">
        <f t="shared" si="9"/>
        <v>2</v>
      </c>
      <c r="R24" s="193">
        <f t="shared" si="9"/>
        <v>2</v>
      </c>
      <c r="S24" s="193">
        <f t="shared" si="9"/>
        <v>2</v>
      </c>
      <c r="T24" s="193">
        <f t="shared" si="9"/>
        <v>2</v>
      </c>
      <c r="U24" s="193">
        <f t="shared" si="9"/>
        <v>1</v>
      </c>
      <c r="V24" s="193">
        <f t="shared" si="9"/>
        <v>0</v>
      </c>
      <c r="W24" s="193">
        <f t="shared" si="9"/>
        <v>0</v>
      </c>
      <c r="X24" s="234">
        <f t="shared" si="9"/>
        <v>19</v>
      </c>
      <c r="Y24" s="193">
        <f t="shared" si="9"/>
        <v>0</v>
      </c>
      <c r="Z24" s="193">
        <f t="shared" si="9"/>
        <v>0</v>
      </c>
      <c r="AA24" s="238">
        <f>SUM(E24:Z24)</f>
        <v>68</v>
      </c>
    </row>
    <row r="25" spans="2:28" s="175" customFormat="1">
      <c r="B25" s="169"/>
      <c r="C25" s="279" t="s">
        <v>157</v>
      </c>
      <c r="D25" s="279"/>
      <c r="E25" s="193">
        <f t="shared" si="9"/>
        <v>0</v>
      </c>
      <c r="F25" s="193">
        <f t="shared" si="9"/>
        <v>0</v>
      </c>
      <c r="G25" s="193">
        <f t="shared" si="9"/>
        <v>0</v>
      </c>
      <c r="H25" s="234">
        <f t="shared" si="9"/>
        <v>0</v>
      </c>
      <c r="I25" s="193">
        <f t="shared" si="9"/>
        <v>0</v>
      </c>
      <c r="J25" s="193">
        <f t="shared" si="9"/>
        <v>0</v>
      </c>
      <c r="K25" s="193">
        <f t="shared" si="9"/>
        <v>0</v>
      </c>
      <c r="L25" s="193">
        <f t="shared" si="9"/>
        <v>0</v>
      </c>
      <c r="M25" s="193">
        <f t="shared" si="9"/>
        <v>0</v>
      </c>
      <c r="N25" s="193">
        <f t="shared" si="9"/>
        <v>0</v>
      </c>
      <c r="O25" s="193">
        <f t="shared" si="9"/>
        <v>0</v>
      </c>
      <c r="P25" s="193">
        <f t="shared" si="9"/>
        <v>0</v>
      </c>
      <c r="Q25" s="193">
        <f t="shared" si="9"/>
        <v>0</v>
      </c>
      <c r="R25" s="193">
        <f t="shared" si="9"/>
        <v>0</v>
      </c>
      <c r="S25" s="193">
        <f t="shared" si="9"/>
        <v>0</v>
      </c>
      <c r="T25" s="193">
        <f t="shared" si="9"/>
        <v>0</v>
      </c>
      <c r="U25" s="193">
        <f t="shared" si="9"/>
        <v>0</v>
      </c>
      <c r="V25" s="193">
        <f t="shared" si="9"/>
        <v>0</v>
      </c>
      <c r="W25" s="193">
        <f t="shared" si="9"/>
        <v>0</v>
      </c>
      <c r="X25" s="193">
        <f t="shared" si="9"/>
        <v>0</v>
      </c>
      <c r="Y25" s="193">
        <f t="shared" si="9"/>
        <v>0</v>
      </c>
      <c r="Z25" s="193">
        <f t="shared" si="9"/>
        <v>0</v>
      </c>
      <c r="AA25" s="238">
        <f>SUM(E25:Z25)</f>
        <v>0</v>
      </c>
    </row>
    <row r="26" spans="2:28" s="175" customFormat="1">
      <c r="B26" s="169"/>
      <c r="C26" s="279"/>
      <c r="D26" s="279"/>
      <c r="E26" s="193" t="e">
        <f t="shared" si="9"/>
        <v>#N/A</v>
      </c>
      <c r="F26" s="193" t="e">
        <f t="shared" si="9"/>
        <v>#N/A</v>
      </c>
      <c r="G26" s="193" t="e">
        <f t="shared" si="9"/>
        <v>#N/A</v>
      </c>
      <c r="H26" s="193" t="e">
        <f t="shared" si="9"/>
        <v>#N/A</v>
      </c>
      <c r="I26" s="193" t="e">
        <f t="shared" si="9"/>
        <v>#N/A</v>
      </c>
      <c r="J26" s="193" t="e">
        <f t="shared" si="9"/>
        <v>#N/A</v>
      </c>
      <c r="K26" s="193" t="e">
        <f t="shared" si="9"/>
        <v>#N/A</v>
      </c>
      <c r="L26" s="193" t="e">
        <f t="shared" si="9"/>
        <v>#N/A</v>
      </c>
      <c r="M26" s="193" t="e">
        <f t="shared" si="9"/>
        <v>#N/A</v>
      </c>
      <c r="N26" s="193" t="e">
        <f t="shared" si="9"/>
        <v>#N/A</v>
      </c>
      <c r="O26" s="193" t="e">
        <f t="shared" si="9"/>
        <v>#N/A</v>
      </c>
      <c r="P26" s="193" t="e">
        <f t="shared" si="9"/>
        <v>#N/A</v>
      </c>
      <c r="Q26" s="193" t="e">
        <f t="shared" si="9"/>
        <v>#N/A</v>
      </c>
      <c r="R26" s="193" t="e">
        <f t="shared" si="9"/>
        <v>#N/A</v>
      </c>
      <c r="S26" s="193" t="e">
        <f t="shared" si="9"/>
        <v>#N/A</v>
      </c>
      <c r="T26" s="193" t="e">
        <f t="shared" si="9"/>
        <v>#N/A</v>
      </c>
      <c r="U26" s="193" t="e">
        <f t="shared" si="9"/>
        <v>#N/A</v>
      </c>
      <c r="V26" s="193" t="e">
        <f t="shared" si="9"/>
        <v>#N/A</v>
      </c>
      <c r="W26" s="193" t="e">
        <f t="shared" si="9"/>
        <v>#N/A</v>
      </c>
      <c r="X26" s="193" t="e">
        <f t="shared" si="9"/>
        <v>#N/A</v>
      </c>
      <c r="Y26" s="193" t="e">
        <f t="shared" si="9"/>
        <v>#N/A</v>
      </c>
      <c r="Z26" s="193" t="e">
        <f t="shared" si="9"/>
        <v>#N/A</v>
      </c>
      <c r="AA26" s="238" t="e">
        <f>SUM(E26:Z26)</f>
        <v>#N/A</v>
      </c>
    </row>
    <row r="28" spans="2:28">
      <c r="C28" s="301" t="s">
        <v>136</v>
      </c>
      <c r="D28" s="302">
        <f>COUNTIF($D$4:$D$21,C28)</f>
        <v>8</v>
      </c>
    </row>
    <row r="29" spans="2:28">
      <c r="C29" s="303" t="s">
        <v>11</v>
      </c>
      <c r="D29" s="302">
        <f>COUNTIF($D$4:$D$21,C29)</f>
        <v>7</v>
      </c>
    </row>
    <row r="30" spans="2:28">
      <c r="C30" s="303" t="s">
        <v>117</v>
      </c>
      <c r="D30" s="302">
        <f>COUNTIF($D$4:$D$21,C30)</f>
        <v>2</v>
      </c>
    </row>
  </sheetData>
  <sortState ref="C4:D20">
    <sortCondition ref="D4:D20"/>
    <sortCondition ref="C4:C20"/>
  </sortState>
  <phoneticPr fontId="0" type="noConversion"/>
  <dataValidations count="1">
    <dataValidation type="list" allowBlank="1" showInputMessage="1" showErrorMessage="1" prompt="selecteer type renner:" sqref="D4:D20">
      <formula1>type_renner</formula1>
    </dataValidation>
  </dataValidations>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sheetPr codeName="Blad8" enableFormatConditionsCalculation="0">
    <tabColor indexed="39"/>
  </sheetPr>
  <dimension ref="B1:AB30"/>
  <sheetViews>
    <sheetView showZeros="0" workbookViewId="0">
      <selection activeCell="Y22" sqref="Y22"/>
    </sheetView>
  </sheetViews>
  <sheetFormatPr defaultRowHeight="12.75"/>
  <cols>
    <col min="1" max="1" width="2.7109375" style="116" customWidth="1"/>
    <col min="2" max="2" width="8.85546875" style="116" customWidth="1"/>
    <col min="3" max="4" width="13" style="116" customWidth="1"/>
    <col min="5" max="7" width="5" style="117" customWidth="1"/>
    <col min="8" max="8" width="5" style="148" customWidth="1"/>
    <col min="9" max="16" width="5" style="136" customWidth="1"/>
    <col min="17" max="17" width="5" style="134" customWidth="1"/>
    <col min="18" max="26" width="5" style="116" customWidth="1"/>
    <col min="27" max="27" width="5" style="120" customWidth="1"/>
    <col min="28" max="28" width="15" style="116" customWidth="1"/>
    <col min="29" max="16384" width="9.140625" style="116"/>
  </cols>
  <sheetData>
    <row r="1" spans="2:28">
      <c r="B1" s="207"/>
      <c r="C1" s="201" t="s">
        <v>184</v>
      </c>
      <c r="D1" s="201"/>
    </row>
    <row r="2" spans="2:28">
      <c r="B2" s="207"/>
      <c r="C2" s="202"/>
      <c r="D2" s="202"/>
      <c r="H2" s="136"/>
    </row>
    <row r="3" spans="2:28" s="134" customFormat="1" ht="13.5" thickBot="1">
      <c r="B3" s="209"/>
      <c r="C3" s="214" t="s">
        <v>191</v>
      </c>
      <c r="D3" s="214"/>
      <c r="E3" s="119">
        <f>Score!C1</f>
        <v>1</v>
      </c>
      <c r="F3" s="119">
        <f>Score!D1</f>
        <v>2</v>
      </c>
      <c r="G3" s="119">
        <f>Score!E1</f>
        <v>3</v>
      </c>
      <c r="H3" s="119">
        <f>Score!F1</f>
        <v>4</v>
      </c>
      <c r="I3" s="119">
        <f>Score!G1</f>
        <v>5</v>
      </c>
      <c r="J3" s="119">
        <f>Score!H1</f>
        <v>6</v>
      </c>
      <c r="K3" s="119">
        <f>Score!I1</f>
        <v>7</v>
      </c>
      <c r="L3" s="119">
        <f>Score!J1</f>
        <v>8</v>
      </c>
      <c r="M3" s="119">
        <f>Score!K1</f>
        <v>9</v>
      </c>
      <c r="N3" s="119">
        <f>Score!L1</f>
        <v>10</v>
      </c>
      <c r="O3" s="119">
        <f>Score!M1</f>
        <v>11</v>
      </c>
      <c r="P3" s="119">
        <f>Score!N1</f>
        <v>12</v>
      </c>
      <c r="Q3" s="119">
        <f>Score!O1</f>
        <v>13</v>
      </c>
      <c r="R3" s="119">
        <f>Score!P1</f>
        <v>14</v>
      </c>
      <c r="S3" s="119">
        <f>Score!Q1</f>
        <v>15</v>
      </c>
      <c r="T3" s="119">
        <f>Score!R1</f>
        <v>16</v>
      </c>
      <c r="U3" s="119">
        <f>Score!S1</f>
        <v>17</v>
      </c>
      <c r="V3" s="119">
        <f>Score!T1</f>
        <v>18</v>
      </c>
      <c r="W3" s="119">
        <f>Score!U1</f>
        <v>19</v>
      </c>
      <c r="X3" s="119">
        <f>Score!V1</f>
        <v>20</v>
      </c>
      <c r="Y3" s="119">
        <f>Score!W1</f>
        <v>21</v>
      </c>
      <c r="Z3" s="119" t="s">
        <v>2</v>
      </c>
      <c r="AA3" s="154"/>
    </row>
    <row r="4" spans="2:28">
      <c r="B4" s="210"/>
      <c r="C4" s="203" t="s">
        <v>160</v>
      </c>
      <c r="D4" s="276" t="s">
        <v>117</v>
      </c>
      <c r="E4" s="117">
        <f>VLOOKUP($C4,Score!$B$2:$X$77,2,0)</f>
        <v>0</v>
      </c>
      <c r="F4" s="117">
        <f>VLOOKUP($C4,Score!$B$2:$X$77,3,0)</f>
        <v>0</v>
      </c>
      <c r="G4" s="117">
        <f>VLOOKUP($C4,Score!$B$2:$X$77,4,0)</f>
        <v>0</v>
      </c>
      <c r="H4" s="117">
        <f>VLOOKUP($C4,Score!$B$2:$X$77,5,0)</f>
        <v>22</v>
      </c>
      <c r="I4" s="117">
        <f>VLOOKUP($C4,Score!$B$2:$X$77,6,0)</f>
        <v>22</v>
      </c>
      <c r="J4" s="117">
        <f>VLOOKUP($C4,Score!$B$2:$X$77,7,0)</f>
        <v>19</v>
      </c>
      <c r="K4" s="117">
        <f>VLOOKUP($C4,Score!$B$2:$X$77,8,0)</f>
        <v>0</v>
      </c>
      <c r="L4" s="117">
        <f>VLOOKUP($C4,Score!$B$2:$X$77,9,0)</f>
        <v>0</v>
      </c>
      <c r="M4" s="117">
        <f>VLOOKUP($C4,Score!$B$2:$X$77,10,0)</f>
        <v>0</v>
      </c>
      <c r="N4" s="117">
        <f>VLOOKUP($C4,Score!$B$2:$X$77,11,0)</f>
        <v>0</v>
      </c>
      <c r="O4" s="117">
        <f>VLOOKUP($C4,Score!$B$2:$X$77,12,0)</f>
        <v>0</v>
      </c>
      <c r="P4" s="117">
        <f>VLOOKUP($C4,Score!$B$2:$X$77,13,0)</f>
        <v>0</v>
      </c>
      <c r="Q4" s="117">
        <f>VLOOKUP($C4,Score!$B$2:$X$77,14,0)</f>
        <v>0</v>
      </c>
      <c r="R4" s="117">
        <f>VLOOKUP($C4,Score!$B$2:$X$77,15,0)</f>
        <v>0</v>
      </c>
      <c r="S4" s="117">
        <f>VLOOKUP($C4,Score!$B$2:$X$77,16,0)</f>
        <v>22</v>
      </c>
      <c r="T4" s="117">
        <f>VLOOKUP($C4,Score!$B$2:$X$77,17,0)</f>
        <v>7</v>
      </c>
      <c r="U4" s="117">
        <f>VLOOKUP($C4,Score!$B$2:$X$77,18,0)</f>
        <v>0</v>
      </c>
      <c r="V4" s="117">
        <f>VLOOKUP($C4,Score!$B$2:$X$77,19,0)</f>
        <v>0</v>
      </c>
      <c r="W4" s="117">
        <f>VLOOKUP($C4,Score!$B$2:$X$77,20,0)</f>
        <v>0</v>
      </c>
      <c r="X4" s="117">
        <f>VLOOKUP($C4,Score!$B$2:$Z$76,21,0)</f>
        <v>0</v>
      </c>
      <c r="Y4" s="117">
        <f>VLOOKUP($C4,Score!$B$2:$Z$76,22,0)</f>
        <v>24</v>
      </c>
      <c r="Z4" s="117">
        <f>VLOOKUP($C4,Score!$B$2:$Z$76,24,0)</f>
        <v>0</v>
      </c>
      <c r="AA4" s="186">
        <f t="shared" ref="AA4:AA20" si="0">SUM(E4:Z4)</f>
        <v>116</v>
      </c>
      <c r="AB4" s="116" t="str">
        <f t="shared" ref="AB4:AB20" si="1">C4</f>
        <v>boasson hagen</v>
      </c>
    </row>
    <row r="5" spans="2:28">
      <c r="B5" s="210"/>
      <c r="C5" s="204" t="s">
        <v>177</v>
      </c>
      <c r="D5" s="276" t="s">
        <v>117</v>
      </c>
      <c r="E5" s="117">
        <f>VLOOKUP($C5,Score!$B$2:$X$77,2,0)</f>
        <v>37</v>
      </c>
      <c r="F5" s="117">
        <f>VLOOKUP($C5,Score!$B$2:$X$77,3,0)</f>
        <v>39</v>
      </c>
      <c r="G5" s="117">
        <f>VLOOKUP($C5,Score!$B$2:$X$77,4,0)</f>
        <v>1</v>
      </c>
      <c r="H5" s="117">
        <f>VLOOKUP($C5,Score!$B$2:$X$77,5,0)</f>
        <v>0</v>
      </c>
      <c r="I5" s="117">
        <f>VLOOKUP($C5,Score!$B$2:$X$77,6,0)</f>
        <v>0</v>
      </c>
      <c r="J5" s="117">
        <f>VLOOKUP($C5,Score!$B$2:$X$77,7,0)</f>
        <v>0</v>
      </c>
      <c r="K5" s="117">
        <f>VLOOKUP($C5,Score!$B$2:$X$77,8,0)</f>
        <v>0</v>
      </c>
      <c r="L5" s="117">
        <f>VLOOKUP($C5,Score!$B$2:$X$77,9,0)</f>
        <v>0</v>
      </c>
      <c r="M5" s="117">
        <f>VLOOKUP($C5,Score!$B$2:$X$77,10,0)</f>
        <v>0</v>
      </c>
      <c r="N5" s="117">
        <f>VLOOKUP($C5,Score!$B$2:$X$77,11,0)</f>
        <v>0</v>
      </c>
      <c r="O5" s="117">
        <f>VLOOKUP($C5,Score!$B$2:$X$77,12,0)</f>
        <v>0</v>
      </c>
      <c r="P5" s="117">
        <f>VLOOKUP($C5,Score!$B$2:$X$77,13,0)</f>
        <v>0</v>
      </c>
      <c r="Q5" s="117">
        <f>VLOOKUP($C5,Score!$B$2:$X$77,14,0)</f>
        <v>0</v>
      </c>
      <c r="R5" s="117">
        <f>VLOOKUP($C5,Score!$B$2:$X$77,15,0)</f>
        <v>0</v>
      </c>
      <c r="S5" s="117">
        <f>VLOOKUP($C5,Score!$B$2:$X$77,16,0)</f>
        <v>0</v>
      </c>
      <c r="T5" s="117">
        <f>VLOOKUP($C5,Score!$B$2:$X$77,17,0)</f>
        <v>0</v>
      </c>
      <c r="U5" s="117">
        <f>VLOOKUP($C5,Score!$B$2:$X$77,18,0)</f>
        <v>0</v>
      </c>
      <c r="V5" s="117">
        <f>VLOOKUP($C5,Score!$B$2:$X$77,19,0)</f>
        <v>0</v>
      </c>
      <c r="W5" s="117">
        <f>VLOOKUP($C5,Score!$B$2:$X$77,20,0)</f>
        <v>0</v>
      </c>
      <c r="X5" s="117">
        <f>VLOOKUP($C5,Score!$B$2:$Z$76,21,0)</f>
        <v>0</v>
      </c>
      <c r="Y5" s="117">
        <f>VLOOKUP($C5,Score!$B$2:$Z$76,22,0)</f>
        <v>0</v>
      </c>
      <c r="Z5" s="117">
        <f>VLOOKUP($C5,Score!$B$2:$Z$76,24,0)</f>
        <v>0</v>
      </c>
      <c r="AA5" s="186">
        <f t="shared" si="0"/>
        <v>77</v>
      </c>
      <c r="AB5" s="116" t="str">
        <f t="shared" si="1"/>
        <v>cancellara</v>
      </c>
    </row>
    <row r="6" spans="2:28">
      <c r="B6" s="210"/>
      <c r="C6" s="204" t="s">
        <v>187</v>
      </c>
      <c r="D6" s="276" t="s">
        <v>117</v>
      </c>
      <c r="E6" s="117">
        <f>VLOOKUP($C6,Score!$B$2:$X$77,2,0)</f>
        <v>43</v>
      </c>
      <c r="F6" s="117">
        <f>VLOOKUP($C6,Score!$B$2:$X$77,3,0)</f>
        <v>27</v>
      </c>
      <c r="G6" s="117">
        <f>VLOOKUP($C6,Score!$B$2:$X$77,4,0)</f>
        <v>9</v>
      </c>
      <c r="H6" s="117">
        <f>VLOOKUP($C6,Score!$B$2:$X$77,5,0)</f>
        <v>47</v>
      </c>
      <c r="I6" s="117">
        <f>VLOOKUP($C6,Score!$B$2:$X$77,6,0)</f>
        <v>11</v>
      </c>
      <c r="J6" s="117">
        <f>VLOOKUP($C6,Score!$B$2:$X$77,7,0)</f>
        <v>10</v>
      </c>
      <c r="K6" s="117">
        <f>VLOOKUP($C6,Score!$B$2:$X$77,8,0)</f>
        <v>0</v>
      </c>
      <c r="L6" s="117">
        <f>VLOOKUP($C6,Score!$B$2:$X$77,9,0)</f>
        <v>0</v>
      </c>
      <c r="M6" s="117">
        <f>VLOOKUP($C6,Score!$B$2:$X$77,10,0)</f>
        <v>0</v>
      </c>
      <c r="N6" s="117">
        <f>VLOOKUP($C6,Score!$B$2:$X$77,11,0)</f>
        <v>0</v>
      </c>
      <c r="O6" s="117">
        <f>VLOOKUP($C6,Score!$B$2:$X$77,12,0)</f>
        <v>0</v>
      </c>
      <c r="P6" s="117">
        <f>VLOOKUP($C6,Score!$B$2:$X$77,13,0)</f>
        <v>0</v>
      </c>
      <c r="Q6" s="117">
        <f>VLOOKUP($C6,Score!$B$2:$X$77,14,0)</f>
        <v>0</v>
      </c>
      <c r="R6" s="117">
        <f>VLOOKUP($C6,Score!$B$2:$X$77,15,0)</f>
        <v>0</v>
      </c>
      <c r="S6" s="117">
        <f>VLOOKUP($C6,Score!$B$2:$X$77,16,0)</f>
        <v>0</v>
      </c>
      <c r="T6" s="117">
        <f>VLOOKUP($C6,Score!$B$2:$X$77,17,0)</f>
        <v>0</v>
      </c>
      <c r="U6" s="117">
        <f>VLOOKUP($C6,Score!$B$2:$X$77,18,0)</f>
        <v>0</v>
      </c>
      <c r="V6" s="117">
        <f>VLOOKUP($C6,Score!$B$2:$X$77,19,0)</f>
        <v>0</v>
      </c>
      <c r="W6" s="117">
        <f>VLOOKUP($C6,Score!$B$2:$X$77,20,0)</f>
        <v>0</v>
      </c>
      <c r="X6" s="117">
        <f>VLOOKUP($C6,Score!$B$2:$Z$76,21,0)</f>
        <v>0</v>
      </c>
      <c r="Y6" s="117">
        <f>VLOOKUP($C6,Score!$B$2:$Z$76,22,0)</f>
        <v>0</v>
      </c>
      <c r="Z6" s="117">
        <f>VLOOKUP($C6,Score!$B$2:$Z$76,24,0)</f>
        <v>0</v>
      </c>
      <c r="AA6" s="186">
        <f t="shared" si="0"/>
        <v>147</v>
      </c>
      <c r="AB6" s="116" t="str">
        <f t="shared" si="1"/>
        <v>t.martin</v>
      </c>
    </row>
    <row r="7" spans="2:28">
      <c r="B7" s="210"/>
      <c r="C7" s="204" t="s">
        <v>162</v>
      </c>
      <c r="D7" s="276" t="s">
        <v>136</v>
      </c>
      <c r="E7" s="117">
        <f>VLOOKUP($C7,Score!$B$2:$X$77,2,0)</f>
        <v>0</v>
      </c>
      <c r="F7" s="117">
        <f>VLOOKUP($C7,Score!$B$2:$X$77,3,0)</f>
        <v>0</v>
      </c>
      <c r="G7" s="117">
        <f>VLOOKUP($C7,Score!$B$2:$X$77,4,0)</f>
        <v>0</v>
      </c>
      <c r="H7" s="117">
        <f>VLOOKUP($C7,Score!$B$2:$X$77,5,0)</f>
        <v>0</v>
      </c>
      <c r="I7" s="117">
        <f>VLOOKUP($C7,Score!$B$2:$X$77,6,0)</f>
        <v>0</v>
      </c>
      <c r="J7" s="117">
        <f>VLOOKUP($C7,Score!$B$2:$X$77,7,0)</f>
        <v>0</v>
      </c>
      <c r="K7" s="117">
        <f>VLOOKUP($C7,Score!$B$2:$X$77,8,0)</f>
        <v>0</v>
      </c>
      <c r="L7" s="117">
        <f>VLOOKUP($C7,Score!$B$2:$X$77,9,0)</f>
        <v>0</v>
      </c>
      <c r="M7" s="117">
        <f>VLOOKUP($C7,Score!$B$2:$X$77,10,0)</f>
        <v>0</v>
      </c>
      <c r="N7" s="117">
        <f>VLOOKUP($C7,Score!$B$2:$X$77,11,0)</f>
        <v>13</v>
      </c>
      <c r="O7" s="117">
        <f>VLOOKUP($C7,Score!$B$2:$X$77,12,0)</f>
        <v>0</v>
      </c>
      <c r="P7" s="117">
        <f>VLOOKUP($C7,Score!$B$2:$X$77,13,0)</f>
        <v>33</v>
      </c>
      <c r="Q7" s="117">
        <f>VLOOKUP($C7,Score!$B$2:$X$77,14,0)</f>
        <v>3</v>
      </c>
      <c r="R7" s="117">
        <f>VLOOKUP($C7,Score!$B$2:$X$77,15,0)</f>
        <v>3</v>
      </c>
      <c r="S7" s="117">
        <f>VLOOKUP($C7,Score!$B$2:$X$77,16,0)</f>
        <v>3</v>
      </c>
      <c r="T7" s="117">
        <f>VLOOKUP($C7,Score!$B$2:$X$77,17,0)</f>
        <v>3</v>
      </c>
      <c r="U7" s="117">
        <f>VLOOKUP($C7,Score!$B$2:$X$77,18,0)</f>
        <v>3</v>
      </c>
      <c r="V7" s="117">
        <f>VLOOKUP($C7,Score!$B$2:$X$77,19,0)</f>
        <v>25</v>
      </c>
      <c r="W7" s="117">
        <f>VLOOKUP($C7,Score!$B$2:$X$77,20,0)</f>
        <v>2</v>
      </c>
      <c r="X7" s="117">
        <f>VLOOKUP($C7,Score!$B$2:$Z$76,21,0)</f>
        <v>0</v>
      </c>
      <c r="Y7" s="117">
        <f>VLOOKUP($C7,Score!$B$2:$Z$76,22,0)</f>
        <v>0</v>
      </c>
      <c r="Z7" s="117">
        <f>VLOOKUP($C7,Score!$B$2:$Z$76,24,0)</f>
        <v>0</v>
      </c>
      <c r="AA7" s="186">
        <f t="shared" si="0"/>
        <v>88</v>
      </c>
      <c r="AB7" s="116" t="str">
        <f t="shared" si="1"/>
        <v>fuglsang</v>
      </c>
    </row>
    <row r="8" spans="2:28">
      <c r="B8" s="210"/>
      <c r="C8" s="204" t="s">
        <v>166</v>
      </c>
      <c r="D8" s="276" t="s">
        <v>136</v>
      </c>
      <c r="E8" s="117">
        <f>VLOOKUP($C8,Score!$B$2:$X$77,2,0)</f>
        <v>15</v>
      </c>
      <c r="F8" s="117">
        <f>VLOOKUP($C8,Score!$B$2:$X$77,3,0)</f>
        <v>0</v>
      </c>
      <c r="G8" s="117">
        <f>VLOOKUP($C8,Score!$B$2:$X$77,4,0)</f>
        <v>12</v>
      </c>
      <c r="H8" s="117">
        <f>VLOOKUP($C8,Score!$B$2:$X$77,5,0)</f>
        <v>12</v>
      </c>
      <c r="I8" s="117">
        <f>VLOOKUP($C8,Score!$B$2:$X$77,6,0)</f>
        <v>0</v>
      </c>
      <c r="J8" s="117">
        <f>VLOOKUP($C8,Score!$B$2:$X$77,7,0)</f>
        <v>14</v>
      </c>
      <c r="K8" s="117">
        <f>VLOOKUP($C8,Score!$B$2:$X$77,8,0)</f>
        <v>0</v>
      </c>
      <c r="L8" s="117">
        <f>VLOOKUP($C8,Score!$B$2:$X$77,9,0)</f>
        <v>7</v>
      </c>
      <c r="M8" s="117">
        <f>VLOOKUP($C8,Score!$B$2:$X$77,10,0)</f>
        <v>0</v>
      </c>
      <c r="N8" s="117">
        <f>VLOOKUP($C8,Score!$B$2:$X$77,11,0)</f>
        <v>29</v>
      </c>
      <c r="O8" s="117">
        <f>VLOOKUP($C8,Score!$B$2:$X$77,12,0)</f>
        <v>15</v>
      </c>
      <c r="P8" s="117">
        <f>VLOOKUP($C8,Score!$B$2:$X$77,13,0)</f>
        <v>12</v>
      </c>
      <c r="Q8" s="117">
        <f>VLOOKUP($C8,Score!$B$2:$X$77,14,0)</f>
        <v>17</v>
      </c>
      <c r="R8" s="117">
        <f>VLOOKUP($C8,Score!$B$2:$X$77,15,0)</f>
        <v>4</v>
      </c>
      <c r="S8" s="117">
        <f>VLOOKUP($C8,Score!$B$2:$X$77,16,0)</f>
        <v>4</v>
      </c>
      <c r="T8" s="117">
        <f>VLOOKUP($C8,Score!$B$2:$X$77,17,0)</f>
        <v>4</v>
      </c>
      <c r="U8" s="117">
        <f>VLOOKUP($C8,Score!$B$2:$X$77,18,0)</f>
        <v>5</v>
      </c>
      <c r="V8" s="117">
        <f>VLOOKUP($C8,Score!$B$2:$X$77,19,0)</f>
        <v>20</v>
      </c>
      <c r="W8" s="117">
        <f>VLOOKUP($C8,Score!$B$2:$X$77,20,0)</f>
        <v>23</v>
      </c>
      <c r="X8" s="117">
        <f>VLOOKUP($C8,Score!$B$2:$Z$76,21,0)</f>
        <v>11</v>
      </c>
      <c r="Y8" s="117">
        <f>VLOOKUP($C8,Score!$B$2:$Z$76,22,0)</f>
        <v>5</v>
      </c>
      <c r="Z8" s="117">
        <f>VLOOKUP($C8,Score!$B$2:$Z$76,24,0)</f>
        <v>40</v>
      </c>
      <c r="AA8" s="186">
        <f t="shared" si="0"/>
        <v>249</v>
      </c>
      <c r="AB8" s="116" t="str">
        <f t="shared" si="1"/>
        <v>gesink</v>
      </c>
    </row>
    <row r="9" spans="2:28">
      <c r="B9" s="210"/>
      <c r="C9" s="204" t="s">
        <v>165</v>
      </c>
      <c r="D9" s="276" t="s">
        <v>136</v>
      </c>
      <c r="E9" s="117">
        <f>VLOOKUP($C9,Score!$B$2:$X$77,2,0)</f>
        <v>0</v>
      </c>
      <c r="F9" s="117">
        <f>VLOOKUP($C9,Score!$B$2:$X$77,3,0)</f>
        <v>0</v>
      </c>
      <c r="G9" s="117">
        <f>VLOOKUP($C9,Score!$B$2:$X$77,4,0)</f>
        <v>0</v>
      </c>
      <c r="H9" s="117">
        <f>VLOOKUP($C9,Score!$B$2:$X$77,5,0)</f>
        <v>0</v>
      </c>
      <c r="I9" s="117">
        <f>VLOOKUP($C9,Score!$B$2:$X$77,6,0)</f>
        <v>0</v>
      </c>
      <c r="J9" s="117">
        <f>VLOOKUP($C9,Score!$B$2:$X$77,7,0)</f>
        <v>0</v>
      </c>
      <c r="K9" s="117">
        <f>VLOOKUP($C9,Score!$B$2:$X$77,8,0)</f>
        <v>0</v>
      </c>
      <c r="L9" s="117">
        <f>VLOOKUP($C9,Score!$B$2:$X$77,9,0)</f>
        <v>0</v>
      </c>
      <c r="M9" s="117">
        <f>VLOOKUP($C9,Score!$B$2:$X$77,10,0)</f>
        <v>0</v>
      </c>
      <c r="N9" s="117">
        <f>VLOOKUP($C9,Score!$B$2:$X$77,11,0)</f>
        <v>0</v>
      </c>
      <c r="O9" s="117">
        <f>VLOOKUP($C9,Score!$B$2:$X$77,12,0)</f>
        <v>0</v>
      </c>
      <c r="P9" s="117">
        <f>VLOOKUP($C9,Score!$B$2:$X$77,13,0)</f>
        <v>0</v>
      </c>
      <c r="Q9" s="117">
        <f>VLOOKUP($C9,Score!$B$2:$X$77,14,0)</f>
        <v>0</v>
      </c>
      <c r="R9" s="117">
        <f>VLOOKUP($C9,Score!$B$2:$X$77,15,0)</f>
        <v>0</v>
      </c>
      <c r="S9" s="117">
        <f>VLOOKUP($C9,Score!$B$2:$X$77,16,0)</f>
        <v>0</v>
      </c>
      <c r="T9" s="117">
        <f>VLOOKUP($C9,Score!$B$2:$X$77,17,0)</f>
        <v>0</v>
      </c>
      <c r="U9" s="117">
        <f>VLOOKUP($C9,Score!$B$2:$X$77,18,0)</f>
        <v>11</v>
      </c>
      <c r="V9" s="117">
        <f>VLOOKUP($C9,Score!$B$2:$X$77,19,0)</f>
        <v>0</v>
      </c>
      <c r="W9" s="117">
        <f>VLOOKUP($C9,Score!$B$2:$X$77,20,0)</f>
        <v>0</v>
      </c>
      <c r="X9" s="117">
        <f>VLOOKUP($C9,Score!$B$2:$Z$76,21,0)</f>
        <v>26</v>
      </c>
      <c r="Y9" s="117">
        <f>VLOOKUP($C9,Score!$B$2:$Z$76,22,0)</f>
        <v>0</v>
      </c>
      <c r="Z9" s="117">
        <f>VLOOKUP($C9,Score!$B$2:$Z$76,24,0)</f>
        <v>0</v>
      </c>
      <c r="AA9" s="186">
        <f t="shared" si="0"/>
        <v>37</v>
      </c>
      <c r="AB9" s="116" t="str">
        <f t="shared" si="1"/>
        <v>hesjedal</v>
      </c>
    </row>
    <row r="10" spans="2:28">
      <c r="B10" s="210"/>
      <c r="C10" s="204" t="s">
        <v>170</v>
      </c>
      <c r="D10" s="276" t="s">
        <v>136</v>
      </c>
      <c r="E10" s="117">
        <f>VLOOKUP($C10,Score!$B$2:$X$77,2,0)</f>
        <v>0</v>
      </c>
      <c r="F10" s="117">
        <f>VLOOKUP($C10,Score!$B$2:$X$77,3,0)</f>
        <v>0</v>
      </c>
      <c r="G10" s="117">
        <f>VLOOKUP($C10,Score!$B$2:$X$77,4,0)</f>
        <v>4</v>
      </c>
      <c r="H10" s="117">
        <f>VLOOKUP($C10,Score!$B$2:$X$77,5,0)</f>
        <v>4</v>
      </c>
      <c r="I10" s="117">
        <f>VLOOKUP($C10,Score!$B$2:$X$77,6,0)</f>
        <v>4</v>
      </c>
      <c r="J10" s="117">
        <f>VLOOKUP($C10,Score!$B$2:$X$77,7,0)</f>
        <v>2</v>
      </c>
      <c r="K10" s="117">
        <f>VLOOKUP($C10,Score!$B$2:$X$77,8,0)</f>
        <v>2</v>
      </c>
      <c r="L10" s="117">
        <f>VLOOKUP($C10,Score!$B$2:$X$77,9,0)</f>
        <v>1</v>
      </c>
      <c r="M10" s="117">
        <f>VLOOKUP($C10,Score!$B$2:$X$77,10,0)</f>
        <v>0</v>
      </c>
      <c r="N10" s="117">
        <f>VLOOKUP($C10,Score!$B$2:$X$77,11,0)</f>
        <v>0</v>
      </c>
      <c r="O10" s="117">
        <f>VLOOKUP($C10,Score!$B$2:$X$77,12,0)</f>
        <v>38</v>
      </c>
      <c r="P10" s="117">
        <f>VLOOKUP($C10,Score!$B$2:$X$77,13,0)</f>
        <v>0</v>
      </c>
      <c r="Q10" s="117">
        <f>VLOOKUP($C10,Score!$B$2:$X$77,14,0)</f>
        <v>0</v>
      </c>
      <c r="R10" s="117">
        <f>VLOOKUP($C10,Score!$B$2:$X$77,15,0)</f>
        <v>0</v>
      </c>
      <c r="S10" s="117">
        <f>VLOOKUP($C10,Score!$B$2:$X$77,16,0)</f>
        <v>0</v>
      </c>
      <c r="T10" s="117">
        <f>VLOOKUP($C10,Score!$B$2:$X$77,17,0)</f>
        <v>0</v>
      </c>
      <c r="U10" s="117">
        <f>VLOOKUP($C10,Score!$B$2:$X$77,18,0)</f>
        <v>13</v>
      </c>
      <c r="V10" s="117">
        <f>VLOOKUP($C10,Score!$B$2:$X$77,19,0)</f>
        <v>0</v>
      </c>
      <c r="W10" s="117">
        <f>VLOOKUP($C10,Score!$B$2:$X$77,20,0)</f>
        <v>11</v>
      </c>
      <c r="X10" s="117">
        <f>VLOOKUP($C10,Score!$B$2:$Z$76,21,0)</f>
        <v>9</v>
      </c>
      <c r="Y10" s="117">
        <f>VLOOKUP($C10,Score!$B$2:$Z$76,22,0)</f>
        <v>0</v>
      </c>
      <c r="Z10" s="117">
        <f>VLOOKUP($C10,Score!$B$2:$Z$76,24,0)</f>
        <v>0</v>
      </c>
      <c r="AA10" s="186">
        <f t="shared" si="0"/>
        <v>88</v>
      </c>
      <c r="AB10" s="116" t="str">
        <f t="shared" si="1"/>
        <v>majka</v>
      </c>
    </row>
    <row r="11" spans="2:28">
      <c r="B11" s="210"/>
      <c r="C11" s="204" t="s">
        <v>161</v>
      </c>
      <c r="D11" s="276" t="s">
        <v>136</v>
      </c>
      <c r="E11" s="117">
        <f>VLOOKUP($C11,Score!$B$2:$X$77,2,0)</f>
        <v>12</v>
      </c>
      <c r="F11" s="117">
        <f>VLOOKUP($C11,Score!$B$2:$X$77,3,0)</f>
        <v>0</v>
      </c>
      <c r="G11" s="117">
        <f>VLOOKUP($C11,Score!$B$2:$X$77,4,0)</f>
        <v>16</v>
      </c>
      <c r="H11" s="117">
        <f>VLOOKUP($C11,Score!$B$2:$X$77,5,0)</f>
        <v>10</v>
      </c>
      <c r="I11" s="117">
        <f>VLOOKUP($C11,Score!$B$2:$X$77,6,0)</f>
        <v>0</v>
      </c>
      <c r="J11" s="117">
        <f>VLOOKUP($C11,Score!$B$2:$X$77,7,0)</f>
        <v>0</v>
      </c>
      <c r="K11" s="117">
        <f>VLOOKUP($C11,Score!$B$2:$X$77,8,0)</f>
        <v>0</v>
      </c>
      <c r="L11" s="117">
        <f>VLOOKUP($C11,Score!$B$2:$X$77,9,0)</f>
        <v>18</v>
      </c>
      <c r="M11" s="117">
        <f>VLOOKUP($C11,Score!$B$2:$X$77,10,0)</f>
        <v>0</v>
      </c>
      <c r="N11" s="117">
        <f>VLOOKUP($C11,Score!$B$2:$X$77,11,0)</f>
        <v>9</v>
      </c>
      <c r="O11" s="117">
        <f>VLOOKUP($C11,Score!$B$2:$X$77,12,0)</f>
        <v>20</v>
      </c>
      <c r="P11" s="117">
        <f>VLOOKUP($C11,Score!$B$2:$X$77,13,0)</f>
        <v>8</v>
      </c>
      <c r="Q11" s="117">
        <f>VLOOKUP($C11,Score!$B$2:$X$77,14,0)</f>
        <v>1</v>
      </c>
      <c r="R11" s="117">
        <f>VLOOKUP($C11,Score!$B$2:$X$77,15,0)</f>
        <v>1</v>
      </c>
      <c r="S11" s="117">
        <f>VLOOKUP($C11,Score!$B$2:$X$77,16,0)</f>
        <v>1</v>
      </c>
      <c r="T11" s="117">
        <f>VLOOKUP($C11,Score!$B$2:$X$77,17,0)</f>
        <v>2</v>
      </c>
      <c r="U11" s="117">
        <f>VLOOKUP($C11,Score!$B$2:$X$77,18,0)</f>
        <v>2</v>
      </c>
      <c r="V11" s="117">
        <f>VLOOKUP($C11,Score!$B$2:$X$77,19,0)</f>
        <v>2</v>
      </c>
      <c r="W11" s="117">
        <f>VLOOKUP($C11,Score!$B$2:$X$77,20,0)</f>
        <v>22</v>
      </c>
      <c r="X11" s="117">
        <f>VLOOKUP($C11,Score!$B$2:$Z$76,21,0)</f>
        <v>16</v>
      </c>
      <c r="Y11" s="117">
        <f>VLOOKUP($C11,Score!$B$2:$Z$76,22,0)</f>
        <v>4</v>
      </c>
      <c r="Z11" s="117">
        <f>VLOOKUP($C11,Score!$B$2:$Z$76,24,0)</f>
        <v>38</v>
      </c>
      <c r="AA11" s="186">
        <f t="shared" si="0"/>
        <v>182</v>
      </c>
      <c r="AB11" s="116" t="str">
        <f t="shared" si="1"/>
        <v>mollema</v>
      </c>
    </row>
    <row r="12" spans="2:28">
      <c r="B12" s="210"/>
      <c r="C12" s="204" t="s">
        <v>173</v>
      </c>
      <c r="D12" s="276" t="s">
        <v>136</v>
      </c>
      <c r="E12" s="117">
        <f>VLOOKUP($C12,Score!$B$2:$X$77,2,0)</f>
        <v>8</v>
      </c>
      <c r="F12" s="117">
        <f>VLOOKUP($C12,Score!$B$2:$X$77,3,0)</f>
        <v>0</v>
      </c>
      <c r="G12" s="117">
        <f>VLOOKUP($C12,Score!$B$2:$X$77,4,0)</f>
        <v>0</v>
      </c>
      <c r="H12" s="117">
        <f>VLOOKUP($C12,Score!$B$2:$X$77,5,0)</f>
        <v>0</v>
      </c>
      <c r="I12" s="117">
        <f>VLOOKUP($C12,Score!$B$2:$X$77,6,0)</f>
        <v>0</v>
      </c>
      <c r="J12" s="117">
        <f>VLOOKUP($C12,Score!$B$2:$X$77,7,0)</f>
        <v>0</v>
      </c>
      <c r="K12" s="117">
        <f>VLOOKUP($C12,Score!$B$2:$X$77,8,0)</f>
        <v>0</v>
      </c>
      <c r="L12" s="117">
        <f>VLOOKUP($C12,Score!$B$2:$X$77,9,0)</f>
        <v>0</v>
      </c>
      <c r="M12" s="117">
        <f>VLOOKUP($C12,Score!$B$2:$X$77,10,0)</f>
        <v>0</v>
      </c>
      <c r="N12" s="117">
        <f>VLOOKUP($C12,Score!$B$2:$X$77,11,0)</f>
        <v>0</v>
      </c>
      <c r="O12" s="117">
        <f>VLOOKUP($C12,Score!$B$2:$X$77,12,0)</f>
        <v>0</v>
      </c>
      <c r="P12" s="117">
        <f>VLOOKUP($C12,Score!$B$2:$X$77,13,0)</f>
        <v>14</v>
      </c>
      <c r="Q12" s="117">
        <f>VLOOKUP($C12,Score!$B$2:$X$77,14,0)</f>
        <v>0</v>
      </c>
      <c r="R12" s="117">
        <f>VLOOKUP($C12,Score!$B$2:$X$77,15,0)</f>
        <v>30</v>
      </c>
      <c r="S12" s="117">
        <f>VLOOKUP($C12,Score!$B$2:$X$77,16,0)</f>
        <v>0</v>
      </c>
      <c r="T12" s="117">
        <f>VLOOKUP($C12,Score!$B$2:$X$77,17,0)</f>
        <v>0</v>
      </c>
      <c r="U12" s="117">
        <f>VLOOKUP($C12,Score!$B$2:$X$77,18,0)</f>
        <v>24</v>
      </c>
      <c r="V12" s="117">
        <f>VLOOKUP($C12,Score!$B$2:$X$77,19,0)</f>
        <v>0</v>
      </c>
      <c r="W12" s="117">
        <f>VLOOKUP($C12,Score!$B$2:$X$77,20,0)</f>
        <v>24</v>
      </c>
      <c r="X12" s="117">
        <f>VLOOKUP($C12,Score!$B$2:$Z$76,21,0)</f>
        <v>37</v>
      </c>
      <c r="Y12" s="117">
        <f>VLOOKUP($C12,Score!$B$2:$Z$76,22,0)</f>
        <v>2</v>
      </c>
      <c r="Z12" s="117">
        <f>VLOOKUP($C12,Score!$B$2:$Z$76,24,0)</f>
        <v>23</v>
      </c>
      <c r="AA12" s="186">
        <f t="shared" si="0"/>
        <v>162</v>
      </c>
      <c r="AB12" s="116" t="str">
        <f t="shared" si="1"/>
        <v>pinot</v>
      </c>
    </row>
    <row r="13" spans="2:28">
      <c r="B13" s="210"/>
      <c r="C13" s="204" t="s">
        <v>168</v>
      </c>
      <c r="D13" s="276" t="s">
        <v>136</v>
      </c>
      <c r="E13" s="117">
        <f>VLOOKUP($C13,Score!$B$2:$X$77,2,0)</f>
        <v>0</v>
      </c>
      <c r="F13" s="117">
        <f>VLOOKUP($C13,Score!$B$2:$X$77,3,0)</f>
        <v>0</v>
      </c>
      <c r="G13" s="117">
        <f>VLOOKUP($C13,Score!$B$2:$X$77,4,0)</f>
        <v>15</v>
      </c>
      <c r="H13" s="117">
        <f>VLOOKUP($C13,Score!$B$2:$X$77,5,0)</f>
        <v>15</v>
      </c>
      <c r="I13" s="117">
        <f>VLOOKUP($C13,Score!$B$2:$X$77,6,0)</f>
        <v>0</v>
      </c>
      <c r="J13" s="117">
        <f>VLOOKUP($C13,Score!$B$2:$X$77,7,0)</f>
        <v>11</v>
      </c>
      <c r="K13" s="117">
        <f>VLOOKUP($C13,Score!$B$2:$X$77,8,0)</f>
        <v>0</v>
      </c>
      <c r="L13" s="117">
        <f>VLOOKUP($C13,Score!$B$2:$X$77,9,0)</f>
        <v>26</v>
      </c>
      <c r="M13" s="117">
        <f>VLOOKUP($C13,Score!$B$2:$X$77,10,0)</f>
        <v>0</v>
      </c>
      <c r="N13" s="117">
        <f>VLOOKUP($C13,Score!$B$2:$X$77,11,0)</f>
        <v>30</v>
      </c>
      <c r="O13" s="117">
        <f>VLOOKUP($C13,Score!$B$2:$X$77,12,0)</f>
        <v>25</v>
      </c>
      <c r="P13" s="117">
        <f>VLOOKUP($C13,Score!$B$2:$X$77,13,0)</f>
        <v>24</v>
      </c>
      <c r="Q13" s="117">
        <f>VLOOKUP($C13,Score!$B$2:$X$77,14,0)</f>
        <v>24</v>
      </c>
      <c r="R13" s="117">
        <f>VLOOKUP($C13,Score!$B$2:$X$77,15,0)</f>
        <v>7</v>
      </c>
      <c r="S13" s="117">
        <f>VLOOKUP($C13,Score!$B$2:$X$77,16,0)</f>
        <v>7</v>
      </c>
      <c r="T13" s="117">
        <f>VLOOKUP($C13,Score!$B$2:$X$77,17,0)</f>
        <v>7</v>
      </c>
      <c r="U13" s="117">
        <f>VLOOKUP($C13,Score!$B$2:$X$77,18,0)</f>
        <v>8</v>
      </c>
      <c r="V13" s="117">
        <f>VLOOKUP($C13,Score!$B$2:$X$77,19,0)</f>
        <v>21</v>
      </c>
      <c r="W13" s="117">
        <f>VLOOKUP($C13,Score!$B$2:$X$77,20,0)</f>
        <v>28</v>
      </c>
      <c r="X13" s="117">
        <f>VLOOKUP($C13,Score!$B$2:$Z$76,21,0)</f>
        <v>32</v>
      </c>
      <c r="Y13" s="117">
        <f>VLOOKUP($C13,Score!$B$2:$Z$76,22,0)</f>
        <v>8</v>
      </c>
      <c r="Z13" s="117">
        <f>VLOOKUP($C13,Score!$B$2:$Z$76,24,0)</f>
        <v>52</v>
      </c>
      <c r="AA13" s="186">
        <f t="shared" si="0"/>
        <v>340</v>
      </c>
      <c r="AB13" s="116" t="str">
        <f t="shared" si="1"/>
        <v>valverde</v>
      </c>
    </row>
    <row r="14" spans="2:28">
      <c r="B14" s="210"/>
      <c r="C14" s="204" t="s">
        <v>167</v>
      </c>
      <c r="D14" s="276" t="s">
        <v>136</v>
      </c>
      <c r="E14" s="117">
        <f>VLOOKUP($C14,Score!$B$2:$X$77,2,0)</f>
        <v>6</v>
      </c>
      <c r="F14" s="117">
        <f>VLOOKUP($C14,Score!$B$2:$X$77,3,0)</f>
        <v>18</v>
      </c>
      <c r="G14" s="117">
        <f>VLOOKUP($C14,Score!$B$2:$X$77,4,0)</f>
        <v>28</v>
      </c>
      <c r="H14" s="117">
        <f>VLOOKUP($C14,Score!$B$2:$X$77,5,0)</f>
        <v>8</v>
      </c>
      <c r="I14" s="117">
        <f>VLOOKUP($C14,Score!$B$2:$X$77,6,0)</f>
        <v>8</v>
      </c>
      <c r="J14" s="117">
        <f>VLOOKUP($C14,Score!$B$2:$X$77,7,0)</f>
        <v>8</v>
      </c>
      <c r="K14" s="117">
        <f>VLOOKUP($C14,Score!$B$2:$X$77,8,0)</f>
        <v>8</v>
      </c>
      <c r="L14" s="117">
        <f>VLOOKUP($C14,Score!$B$2:$X$77,9,0)</f>
        <v>24</v>
      </c>
      <c r="M14" s="117">
        <f>VLOOKUP($C14,Score!$B$2:$X$77,10,0)</f>
        <v>0.1</v>
      </c>
      <c r="N14" s="117">
        <f>VLOOKUP($C14,Score!$B$2:$X$77,11,0)</f>
        <v>25</v>
      </c>
      <c r="O14" s="117">
        <f>VLOOKUP($C14,Score!$B$2:$X$77,12,0)</f>
        <v>22</v>
      </c>
      <c r="P14" s="117">
        <f>VLOOKUP($C14,Score!$B$2:$X$77,13,0)</f>
        <v>22</v>
      </c>
      <c r="Q14" s="117">
        <f>VLOOKUP($C14,Score!$B$2:$X$77,14,0)</f>
        <v>25</v>
      </c>
      <c r="R14" s="117">
        <f>VLOOKUP($C14,Score!$B$2:$X$77,15,0)</f>
        <v>8</v>
      </c>
      <c r="S14" s="117">
        <f>VLOOKUP($C14,Score!$B$2:$X$77,16,0)</f>
        <v>8</v>
      </c>
      <c r="T14" s="117">
        <f>VLOOKUP($C14,Score!$B$2:$X$77,17,0)</f>
        <v>8</v>
      </c>
      <c r="U14" s="117">
        <f>VLOOKUP($C14,Score!$B$2:$X$77,18,0)</f>
        <v>0</v>
      </c>
      <c r="V14" s="117">
        <f>VLOOKUP($C14,Score!$B$2:$X$77,19,0)</f>
        <v>0</v>
      </c>
      <c r="W14" s="117">
        <f>VLOOKUP($C14,Score!$B$2:$X$77,20,0)</f>
        <v>0</v>
      </c>
      <c r="X14" s="117">
        <f>VLOOKUP($C14,Score!$B$2:$Z$76,21,0)</f>
        <v>0</v>
      </c>
      <c r="Y14" s="117">
        <f>VLOOKUP($C14,Score!$B$2:$Z$76,22,0)</f>
        <v>0</v>
      </c>
      <c r="Z14" s="117">
        <f>VLOOKUP($C14,Score!$B$2:$Z$76,24,0)</f>
        <v>0</v>
      </c>
      <c r="AA14" s="186">
        <f t="shared" si="0"/>
        <v>226.1</v>
      </c>
      <c r="AB14" s="116" t="str">
        <f t="shared" si="1"/>
        <v>van garderen</v>
      </c>
    </row>
    <row r="15" spans="2:28">
      <c r="B15" s="210"/>
      <c r="C15" s="204" t="s">
        <v>169</v>
      </c>
      <c r="D15" s="276" t="s">
        <v>190</v>
      </c>
      <c r="E15" s="117">
        <f>VLOOKUP($C15,Score!$B$2:$X$77,2,0)</f>
        <v>0</v>
      </c>
      <c r="F15" s="117">
        <f>VLOOKUP($C15,Score!$B$2:$X$77,3,0)</f>
        <v>0</v>
      </c>
      <c r="G15" s="117">
        <f>VLOOKUP($C15,Score!$B$2:$X$77,4,0)</f>
        <v>0</v>
      </c>
      <c r="H15" s="117">
        <f>VLOOKUP($C15,Score!$B$2:$X$77,5,0)</f>
        <v>0</v>
      </c>
      <c r="I15" s="117">
        <f>VLOOKUP($C15,Score!$B$2:$X$77,6,0)</f>
        <v>0</v>
      </c>
      <c r="J15" s="117">
        <f>VLOOKUP($C15,Score!$B$2:$X$77,7,0)</f>
        <v>0</v>
      </c>
      <c r="K15" s="117">
        <f>VLOOKUP($C15,Score!$B$2:$X$77,8,0)</f>
        <v>0</v>
      </c>
      <c r="L15" s="117">
        <f>VLOOKUP($C15,Score!$B$2:$X$77,9,0)</f>
        <v>0</v>
      </c>
      <c r="M15" s="117">
        <f>VLOOKUP($C15,Score!$B$2:$X$77,10,0)</f>
        <v>0</v>
      </c>
      <c r="N15" s="117">
        <f>VLOOKUP($C15,Score!$B$2:$X$77,11,0)</f>
        <v>0</v>
      </c>
      <c r="O15" s="117">
        <f>VLOOKUP($C15,Score!$B$2:$X$77,12,0)</f>
        <v>0</v>
      </c>
      <c r="P15" s="117">
        <f>VLOOKUP($C15,Score!$B$2:$X$77,13,0)</f>
        <v>0</v>
      </c>
      <c r="Q15" s="117">
        <f>VLOOKUP($C15,Score!$B$2:$X$77,14,0)</f>
        <v>0</v>
      </c>
      <c r="R15" s="117">
        <f>VLOOKUP($C15,Score!$B$2:$X$77,15,0)</f>
        <v>0</v>
      </c>
      <c r="S15" s="117">
        <f>VLOOKUP($C15,Score!$B$2:$X$77,16,0)</f>
        <v>0</v>
      </c>
      <c r="T15" s="117">
        <f>VLOOKUP($C15,Score!$B$2:$X$77,17,0)</f>
        <v>0</v>
      </c>
      <c r="U15" s="117">
        <f>VLOOKUP($C15,Score!$B$2:$X$77,18,0)</f>
        <v>0</v>
      </c>
      <c r="V15" s="117">
        <f>VLOOKUP($C15,Score!$B$2:$X$77,19,0)</f>
        <v>0</v>
      </c>
      <c r="W15" s="117">
        <f>VLOOKUP($C15,Score!$B$2:$X$77,20,0)</f>
        <v>0</v>
      </c>
      <c r="X15" s="117">
        <f>VLOOKUP($C15,Score!$B$2:$Z$76,21,0)</f>
        <v>0</v>
      </c>
      <c r="Y15" s="117">
        <f>VLOOKUP($C15,Score!$B$2:$Z$76,22,0)</f>
        <v>0</v>
      </c>
      <c r="Z15" s="117">
        <f>VLOOKUP($C15,Score!$B$2:$Z$76,24,0)</f>
        <v>0</v>
      </c>
      <c r="AA15" s="186">
        <f t="shared" si="0"/>
        <v>0</v>
      </c>
      <c r="AB15" s="116" t="str">
        <f t="shared" si="1"/>
        <v>basso</v>
      </c>
    </row>
    <row r="16" spans="2:28">
      <c r="B16" s="210"/>
      <c r="C16" s="204" t="s">
        <v>164</v>
      </c>
      <c r="D16" s="276" t="s">
        <v>11</v>
      </c>
      <c r="E16" s="117">
        <f>VLOOKUP($C16,Score!$B$2:$X$77,2,0)</f>
        <v>0</v>
      </c>
      <c r="F16" s="117">
        <f>VLOOKUP($C16,Score!$B$2:$X$77,3,0)</f>
        <v>26</v>
      </c>
      <c r="G16" s="117">
        <f>VLOOKUP($C16,Score!$B$2:$X$77,4,0)</f>
        <v>2</v>
      </c>
      <c r="H16" s="117">
        <f>VLOOKUP($C16,Score!$B$2:$X$77,5,0)</f>
        <v>15</v>
      </c>
      <c r="I16" s="117">
        <f>VLOOKUP($C16,Score!$B$2:$X$77,6,0)</f>
        <v>28</v>
      </c>
      <c r="J16" s="117">
        <f>VLOOKUP($C16,Score!$B$2:$X$77,7,0)</f>
        <v>2</v>
      </c>
      <c r="K16" s="117">
        <f>VLOOKUP($C16,Score!$B$2:$X$77,8,0)</f>
        <v>38</v>
      </c>
      <c r="L16" s="117">
        <f>VLOOKUP($C16,Score!$B$2:$X$77,9,0)</f>
        <v>3</v>
      </c>
      <c r="M16" s="117">
        <f>VLOOKUP($C16,Score!$B$2:$X$77,10,0)</f>
        <v>0</v>
      </c>
      <c r="N16" s="117">
        <f>VLOOKUP($C16,Score!$B$2:$X$77,11,0)</f>
        <v>3</v>
      </c>
      <c r="O16" s="117">
        <f>VLOOKUP($C16,Score!$B$2:$X$77,12,0)</f>
        <v>2</v>
      </c>
      <c r="P16" s="117">
        <f>VLOOKUP($C16,Score!$B$2:$X$77,13,0)</f>
        <v>2</v>
      </c>
      <c r="Q16" s="117">
        <f>VLOOKUP($C16,Score!$B$2:$X$77,14,0)</f>
        <v>2</v>
      </c>
      <c r="R16" s="117">
        <f>VLOOKUP($C16,Score!$B$2:$X$77,15,0)</f>
        <v>2</v>
      </c>
      <c r="S16" s="117">
        <f>VLOOKUP($C16,Score!$B$2:$X$77,16,0)</f>
        <v>2</v>
      </c>
      <c r="T16" s="117">
        <f>VLOOKUP($C16,Score!$B$2:$X$77,17,0)</f>
        <v>2</v>
      </c>
      <c r="U16" s="117">
        <f>VLOOKUP($C16,Score!$B$2:$X$77,18,0)</f>
        <v>2</v>
      </c>
      <c r="V16" s="117">
        <f>VLOOKUP($C16,Score!$B$2:$X$77,19,0)</f>
        <v>2</v>
      </c>
      <c r="W16" s="117">
        <f>VLOOKUP($C16,Score!$B$2:$X$77,20,0)</f>
        <v>2</v>
      </c>
      <c r="X16" s="117">
        <f>VLOOKUP($C16,Score!$B$2:$Z$76,21,0)</f>
        <v>2</v>
      </c>
      <c r="Y16" s="117">
        <f>VLOOKUP($C16,Score!$B$2:$Z$76,22,0)</f>
        <v>22</v>
      </c>
      <c r="Z16" s="117">
        <f>VLOOKUP($C16,Score!$B$2:$Z$76,24,0)</f>
        <v>3</v>
      </c>
      <c r="AA16" s="186">
        <f t="shared" si="0"/>
        <v>162</v>
      </c>
      <c r="AB16" s="116" t="str">
        <f t="shared" si="1"/>
        <v>cavendish</v>
      </c>
    </row>
    <row r="17" spans="2:28">
      <c r="B17" s="210"/>
      <c r="C17" s="204" t="s">
        <v>174</v>
      </c>
      <c r="D17" s="276" t="s">
        <v>11</v>
      </c>
      <c r="E17" s="117">
        <f>VLOOKUP($C17,Score!$B$2:$X$77,2,0)</f>
        <v>0</v>
      </c>
      <c r="F17" s="117">
        <f>VLOOKUP($C17,Score!$B$2:$X$77,3,0)</f>
        <v>0</v>
      </c>
      <c r="G17" s="117">
        <f>VLOOKUP($C17,Score!$B$2:$X$77,4,0)</f>
        <v>0</v>
      </c>
      <c r="H17" s="117">
        <f>VLOOKUP($C17,Score!$B$2:$X$77,5,0)</f>
        <v>33</v>
      </c>
      <c r="I17" s="117">
        <f>VLOOKUP($C17,Score!$B$2:$X$77,6,0)</f>
        <v>23</v>
      </c>
      <c r="J17" s="117">
        <f>VLOOKUP($C17,Score!$B$2:$X$77,7,0)</f>
        <v>27</v>
      </c>
      <c r="K17" s="117">
        <f>VLOOKUP($C17,Score!$B$2:$X$77,8,0)</f>
        <v>26</v>
      </c>
      <c r="L17" s="117">
        <f>VLOOKUP($C17,Score!$B$2:$X$77,9,0)</f>
        <v>2</v>
      </c>
      <c r="M17" s="117">
        <f>VLOOKUP($C17,Score!$B$2:$X$77,10,0)</f>
        <v>0</v>
      </c>
      <c r="N17" s="117">
        <f>VLOOKUP($C17,Score!$B$2:$X$77,11,0)</f>
        <v>2</v>
      </c>
      <c r="O17" s="117">
        <f>VLOOKUP($C17,Score!$B$2:$X$77,12,0)</f>
        <v>3</v>
      </c>
      <c r="P17" s="117">
        <f>VLOOKUP($C17,Score!$B$2:$X$77,13,0)</f>
        <v>3</v>
      </c>
      <c r="Q17" s="117">
        <f>VLOOKUP($C17,Score!$B$2:$X$77,14,0)</f>
        <v>27</v>
      </c>
      <c r="R17" s="117">
        <f>VLOOKUP($C17,Score!$B$2:$X$77,15,0)</f>
        <v>3</v>
      </c>
      <c r="S17" s="117">
        <f>VLOOKUP($C17,Score!$B$2:$X$77,16,0)</f>
        <v>33</v>
      </c>
      <c r="T17" s="117">
        <f>VLOOKUP($C17,Score!$B$2:$X$77,17,0)</f>
        <v>3</v>
      </c>
      <c r="U17" s="117">
        <f>VLOOKUP($C17,Score!$B$2:$X$77,18,0)</f>
        <v>3</v>
      </c>
      <c r="V17" s="117">
        <f>VLOOKUP($C17,Score!$B$2:$X$77,19,0)</f>
        <v>3</v>
      </c>
      <c r="W17" s="117">
        <f>VLOOKUP($C17,Score!$B$2:$X$77,20,0)</f>
        <v>3</v>
      </c>
      <c r="X17" s="117">
        <f>VLOOKUP($C17,Score!$B$2:$Z$76,21,0)</f>
        <v>3</v>
      </c>
      <c r="Y17" s="117">
        <f>VLOOKUP($C17,Score!$B$2:$Z$76,22,0)</f>
        <v>21</v>
      </c>
      <c r="Z17" s="117">
        <f>VLOOKUP($C17,Score!$B$2:$Z$76,24,0)</f>
        <v>5</v>
      </c>
      <c r="AA17" s="186">
        <f t="shared" si="0"/>
        <v>223</v>
      </c>
      <c r="AB17" s="116" t="str">
        <f t="shared" si="1"/>
        <v>degenkolb</v>
      </c>
    </row>
    <row r="18" spans="2:28">
      <c r="B18" s="210"/>
      <c r="C18" s="204" t="s">
        <v>163</v>
      </c>
      <c r="D18" s="276" t="s">
        <v>11</v>
      </c>
      <c r="E18" s="117">
        <f>VLOOKUP($C18,Score!$B$2:$X$77,2,0)</f>
        <v>0</v>
      </c>
      <c r="F18" s="117">
        <f>VLOOKUP($C18,Score!$B$2:$X$77,3,0)</f>
        <v>40</v>
      </c>
      <c r="G18" s="117">
        <f>VLOOKUP($C18,Score!$B$2:$X$77,4,0)</f>
        <v>5</v>
      </c>
      <c r="H18" s="117">
        <f>VLOOKUP($C18,Score!$B$2:$X$77,5,0)</f>
        <v>5</v>
      </c>
      <c r="I18" s="117">
        <f>VLOOKUP($C18,Score!$B$2:$X$77,6,0)</f>
        <v>40</v>
      </c>
      <c r="J18" s="117">
        <f>VLOOKUP($C18,Score!$B$2:$X$77,7,0)</f>
        <v>5</v>
      </c>
      <c r="K18" s="117">
        <f>VLOOKUP($C18,Score!$B$2:$X$77,8,0)</f>
        <v>35</v>
      </c>
      <c r="L18" s="117">
        <f>VLOOKUP($C18,Score!$B$2:$X$77,9,0)</f>
        <v>4</v>
      </c>
      <c r="M18" s="117">
        <f>VLOOKUP($C18,Score!$B$2:$X$77,10,0)</f>
        <v>0</v>
      </c>
      <c r="N18" s="117">
        <f>VLOOKUP($C18,Score!$B$2:$X$77,11,0)</f>
        <v>5</v>
      </c>
      <c r="O18" s="117">
        <f>VLOOKUP($C18,Score!$B$2:$X$77,12,0)</f>
        <v>4</v>
      </c>
      <c r="P18" s="117">
        <f>VLOOKUP($C18,Score!$B$2:$X$77,13,0)</f>
        <v>4</v>
      </c>
      <c r="Q18" s="117">
        <f>VLOOKUP($C18,Score!$B$2:$X$77,14,0)</f>
        <v>4</v>
      </c>
      <c r="R18" s="117">
        <f>VLOOKUP($C18,Score!$B$2:$X$77,15,0)</f>
        <v>4</v>
      </c>
      <c r="S18" s="117">
        <f>VLOOKUP($C18,Score!$B$2:$X$77,16,0)</f>
        <v>39</v>
      </c>
      <c r="T18" s="117">
        <f>VLOOKUP($C18,Score!$B$2:$X$77,17,0)</f>
        <v>4</v>
      </c>
      <c r="U18" s="117">
        <f>VLOOKUP($C18,Score!$B$2:$X$77,18,0)</f>
        <v>4</v>
      </c>
      <c r="V18" s="117">
        <f>VLOOKUP($C18,Score!$B$2:$X$77,19,0)</f>
        <v>4</v>
      </c>
      <c r="W18" s="117">
        <f>VLOOKUP($C18,Score!$B$2:$X$77,20,0)</f>
        <v>4</v>
      </c>
      <c r="X18" s="117">
        <f>VLOOKUP($C18,Score!$B$2:$Z$76,21,0)</f>
        <v>4</v>
      </c>
      <c r="Y18" s="117">
        <f>VLOOKUP($C18,Score!$B$2:$Z$76,22,0)</f>
        <v>39</v>
      </c>
      <c r="Z18" s="117">
        <f>VLOOKUP($C18,Score!$B$2:$Z$76,24,0)</f>
        <v>7</v>
      </c>
      <c r="AA18" s="186">
        <f t="shared" si="0"/>
        <v>260</v>
      </c>
      <c r="AB18" s="116" t="str">
        <f t="shared" si="1"/>
        <v>greipel</v>
      </c>
    </row>
    <row r="19" spans="2:28">
      <c r="B19" s="210"/>
      <c r="C19" s="204" t="s">
        <v>172</v>
      </c>
      <c r="D19" s="276" t="s">
        <v>11</v>
      </c>
      <c r="E19" s="117">
        <f>VLOOKUP($C19,Score!$B$2:$X$77,2,0)</f>
        <v>0</v>
      </c>
      <c r="F19" s="117">
        <f>VLOOKUP($C19,Score!$B$2:$X$77,3,0)</f>
        <v>0</v>
      </c>
      <c r="G19" s="117">
        <f>VLOOKUP($C19,Score!$B$2:$X$77,4,0)</f>
        <v>0</v>
      </c>
      <c r="H19" s="117">
        <f>VLOOKUP($C19,Score!$B$2:$X$77,5,0)</f>
        <v>0</v>
      </c>
      <c r="I19" s="117">
        <f>VLOOKUP($C19,Score!$B$2:$X$77,6,0)</f>
        <v>24</v>
      </c>
      <c r="J19" s="117">
        <f>VLOOKUP($C19,Score!$B$2:$X$77,7,0)</f>
        <v>15</v>
      </c>
      <c r="K19" s="117">
        <f>VLOOKUP($C19,Score!$B$2:$X$77,8,0)</f>
        <v>22</v>
      </c>
      <c r="L19" s="117">
        <f>VLOOKUP($C19,Score!$B$2:$X$77,9,0)</f>
        <v>0</v>
      </c>
      <c r="M19" s="117">
        <f>VLOOKUP($C19,Score!$B$2:$X$77,10,0)</f>
        <v>0</v>
      </c>
      <c r="N19" s="117">
        <f>VLOOKUP($C19,Score!$B$2:$X$77,11,0)</f>
        <v>0</v>
      </c>
      <c r="O19" s="117">
        <f>VLOOKUP($C19,Score!$B$2:$X$77,12,0)</f>
        <v>0</v>
      </c>
      <c r="P19" s="117">
        <f>VLOOKUP($C19,Score!$B$2:$X$77,13,0)</f>
        <v>0</v>
      </c>
      <c r="Q19" s="117">
        <f>VLOOKUP($C19,Score!$B$2:$X$77,14,0)</f>
        <v>0</v>
      </c>
      <c r="R19" s="117">
        <f>VLOOKUP($C19,Score!$B$2:$X$77,15,0)</f>
        <v>0</v>
      </c>
      <c r="S19" s="117">
        <f>VLOOKUP($C19,Score!$B$2:$X$77,16,0)</f>
        <v>26</v>
      </c>
      <c r="T19" s="117">
        <f>VLOOKUP($C19,Score!$B$2:$X$77,17,0)</f>
        <v>0</v>
      </c>
      <c r="U19" s="117">
        <f>VLOOKUP($C19,Score!$B$2:$X$77,18,0)</f>
        <v>0</v>
      </c>
      <c r="V19" s="117">
        <f>VLOOKUP($C19,Score!$B$2:$X$77,19,0)</f>
        <v>0</v>
      </c>
      <c r="W19" s="117">
        <f>VLOOKUP($C19,Score!$B$2:$X$77,20,0)</f>
        <v>0</v>
      </c>
      <c r="X19" s="117">
        <f>VLOOKUP($C19,Score!$B$2:$Z$76,21,0)</f>
        <v>0</v>
      </c>
      <c r="Y19" s="117">
        <f>VLOOKUP($C19,Score!$B$2:$Z$76,22,0)</f>
        <v>26</v>
      </c>
      <c r="Z19" s="117">
        <f>VLOOKUP($C19,Score!$B$2:$Z$76,24,0)</f>
        <v>0</v>
      </c>
      <c r="AA19" s="186">
        <f t="shared" si="0"/>
        <v>113</v>
      </c>
      <c r="AB19" s="116" t="str">
        <f t="shared" si="1"/>
        <v>kristoff</v>
      </c>
    </row>
    <row r="20" spans="2:28" s="170" customFormat="1" ht="13.5" thickBot="1">
      <c r="B20" s="210"/>
      <c r="C20" s="204" t="s">
        <v>171</v>
      </c>
      <c r="D20" s="276" t="s">
        <v>11</v>
      </c>
      <c r="E20" s="117">
        <f>VLOOKUP($C20,Score!$B$2:$X$77,2,0)</f>
        <v>7</v>
      </c>
      <c r="F20" s="117">
        <f>VLOOKUP($C20,Score!$B$2:$X$77,3,0)</f>
        <v>41</v>
      </c>
      <c r="G20" s="117">
        <f>VLOOKUP($C20,Score!$B$2:$X$77,4,0)</f>
        <v>9</v>
      </c>
      <c r="H20" s="117">
        <f>VLOOKUP($C20,Score!$B$2:$X$77,5,0)</f>
        <v>36</v>
      </c>
      <c r="I20" s="117">
        <f>VLOOKUP($C20,Score!$B$2:$X$77,6,0)</f>
        <v>41</v>
      </c>
      <c r="J20" s="117">
        <f>VLOOKUP($C20,Score!$B$2:$X$77,7,0)</f>
        <v>41</v>
      </c>
      <c r="K20" s="117">
        <f>VLOOKUP($C20,Score!$B$2:$X$77,8,0)</f>
        <v>39</v>
      </c>
      <c r="L20" s="117">
        <f>VLOOKUP($C20,Score!$B$2:$X$77,9,0)</f>
        <v>38</v>
      </c>
      <c r="M20" s="117">
        <f>VLOOKUP($C20,Score!$B$2:$X$77,10,0)</f>
        <v>0</v>
      </c>
      <c r="N20" s="117">
        <f>VLOOKUP($C20,Score!$B$2:$X$77,11,0)</f>
        <v>4</v>
      </c>
      <c r="O20" s="117">
        <f>VLOOKUP($C20,Score!$B$2:$X$77,12,0)</f>
        <v>5</v>
      </c>
      <c r="P20" s="117">
        <f>VLOOKUP($C20,Score!$B$2:$X$77,13,0)</f>
        <v>5</v>
      </c>
      <c r="Q20" s="117">
        <f>VLOOKUP($C20,Score!$B$2:$X$77,14,0)</f>
        <v>35</v>
      </c>
      <c r="R20" s="117">
        <f>VLOOKUP($C20,Score!$B$2:$X$77,15,0)</f>
        <v>27</v>
      </c>
      <c r="S20" s="117">
        <f>VLOOKUP($C20,Score!$B$2:$X$77,16,0)</f>
        <v>29</v>
      </c>
      <c r="T20" s="117">
        <f>VLOOKUP($C20,Score!$B$2:$X$77,17,0)</f>
        <v>35</v>
      </c>
      <c r="U20" s="117">
        <f>VLOOKUP($C20,Score!$B$2:$X$77,18,0)</f>
        <v>5</v>
      </c>
      <c r="V20" s="117">
        <f>VLOOKUP($C20,Score!$B$2:$X$77,19,0)</f>
        <v>5</v>
      </c>
      <c r="W20" s="117">
        <f>VLOOKUP($C20,Score!$B$2:$X$77,20,0)</f>
        <v>5</v>
      </c>
      <c r="X20" s="117">
        <f>VLOOKUP($C20,Score!$B$2:$Z$76,21,0)</f>
        <v>5</v>
      </c>
      <c r="Y20" s="117">
        <f>VLOOKUP($C20,Score!$B$2:$Z$76,22,0)</f>
        <v>24</v>
      </c>
      <c r="Z20" s="117">
        <f>VLOOKUP($C20,Score!$B$2:$Z$76,24,0)</f>
        <v>10</v>
      </c>
      <c r="AA20" s="186">
        <f t="shared" si="0"/>
        <v>446</v>
      </c>
      <c r="AB20" s="116" t="str">
        <f t="shared" si="1"/>
        <v>sagan</v>
      </c>
    </row>
    <row r="21" spans="2:28" s="171" customFormat="1">
      <c r="B21" s="211"/>
      <c r="C21" s="205"/>
      <c r="D21" s="271"/>
      <c r="E21" s="180"/>
      <c r="F21" s="180"/>
      <c r="G21" s="180"/>
      <c r="H21" s="180"/>
      <c r="I21" s="180"/>
      <c r="J21" s="180"/>
      <c r="K21" s="180"/>
      <c r="L21" s="180"/>
      <c r="M21" s="180"/>
      <c r="N21" s="180"/>
      <c r="O21" s="180"/>
      <c r="P21" s="180"/>
      <c r="Q21" s="180"/>
      <c r="R21" s="180"/>
      <c r="S21" s="180"/>
      <c r="T21" s="180"/>
      <c r="U21" s="180">
        <f>U24</f>
        <v>26</v>
      </c>
      <c r="V21" s="180"/>
      <c r="W21" s="180"/>
      <c r="X21" s="180">
        <f>X25</f>
        <v>15</v>
      </c>
      <c r="Y21" s="180">
        <f>Y26</f>
        <v>17</v>
      </c>
      <c r="Z21" s="180"/>
      <c r="AA21" s="239"/>
    </row>
    <row r="22" spans="2:28" s="120" customFormat="1">
      <c r="B22" s="212"/>
      <c r="C22" s="206"/>
      <c r="D22" s="206"/>
      <c r="E22" s="172">
        <f t="shared" ref="E22:AA22" si="2">SUM(E4:E21)</f>
        <v>128</v>
      </c>
      <c r="F22" s="172">
        <f t="shared" si="2"/>
        <v>191</v>
      </c>
      <c r="G22" s="172">
        <f t="shared" si="2"/>
        <v>101</v>
      </c>
      <c r="H22" s="172">
        <f t="shared" si="2"/>
        <v>207</v>
      </c>
      <c r="I22" s="172">
        <f t="shared" si="2"/>
        <v>201</v>
      </c>
      <c r="J22" s="172">
        <f t="shared" si="2"/>
        <v>154</v>
      </c>
      <c r="K22" s="172">
        <f t="shared" si="2"/>
        <v>170</v>
      </c>
      <c r="L22" s="172">
        <f t="shared" si="2"/>
        <v>123</v>
      </c>
      <c r="M22" s="172">
        <f t="shared" si="2"/>
        <v>0.1</v>
      </c>
      <c r="N22" s="172">
        <f t="shared" si="2"/>
        <v>120</v>
      </c>
      <c r="O22" s="172">
        <f t="shared" si="2"/>
        <v>134</v>
      </c>
      <c r="P22" s="172">
        <f t="shared" si="2"/>
        <v>127</v>
      </c>
      <c r="Q22" s="172">
        <f t="shared" si="2"/>
        <v>138</v>
      </c>
      <c r="R22" s="172">
        <f t="shared" si="2"/>
        <v>89</v>
      </c>
      <c r="S22" s="172">
        <f t="shared" si="2"/>
        <v>174</v>
      </c>
      <c r="T22" s="172">
        <f t="shared" si="2"/>
        <v>75</v>
      </c>
      <c r="U22" s="172">
        <f t="shared" si="2"/>
        <v>106</v>
      </c>
      <c r="V22" s="172">
        <f t="shared" si="2"/>
        <v>82</v>
      </c>
      <c r="W22" s="172">
        <f t="shared" si="2"/>
        <v>124</v>
      </c>
      <c r="X22" s="172">
        <f t="shared" si="2"/>
        <v>160</v>
      </c>
      <c r="Y22" s="172">
        <f t="shared" si="2"/>
        <v>192</v>
      </c>
      <c r="Z22" s="172">
        <f t="shared" si="2"/>
        <v>178</v>
      </c>
      <c r="AA22" s="236">
        <f t="shared" si="2"/>
        <v>2916.1</v>
      </c>
    </row>
    <row r="23" spans="2:28" s="173" customFormat="1">
      <c r="B23" s="213"/>
      <c r="C23" s="207"/>
      <c r="D23" s="207"/>
      <c r="E23" s="151"/>
      <c r="F23" s="151"/>
      <c r="G23" s="151"/>
      <c r="H23" s="174"/>
      <c r="I23" s="151"/>
      <c r="J23" s="151"/>
      <c r="K23" s="151"/>
      <c r="L23" s="151"/>
      <c r="M23" s="151"/>
      <c r="N23" s="151"/>
      <c r="O23" s="151"/>
      <c r="P23" s="151"/>
      <c r="Q23" s="151"/>
      <c r="R23" s="151"/>
      <c r="S23" s="151"/>
      <c r="T23" s="151"/>
      <c r="U23" s="151"/>
      <c r="V23" s="151"/>
      <c r="W23" s="151"/>
      <c r="X23" s="151"/>
      <c r="Y23" s="151"/>
      <c r="Z23" s="151"/>
      <c r="AA23" s="237"/>
    </row>
    <row r="24" spans="2:28" s="175" customFormat="1">
      <c r="B24" s="210"/>
      <c r="C24" s="208" t="s">
        <v>175</v>
      </c>
      <c r="D24" s="208"/>
      <c r="E24" s="328">
        <f>VLOOKUP($C24,Score!$B$2:$X$77,2,0)</f>
        <v>9</v>
      </c>
      <c r="F24" s="328">
        <f>VLOOKUP($C24,Score!$B$2:$X$77,3,0)</f>
        <v>16</v>
      </c>
      <c r="G24" s="328">
        <f>VLOOKUP($C24,Score!$B$2:$X$77,4,0)</f>
        <v>11</v>
      </c>
      <c r="H24" s="328">
        <f>VLOOKUP($C24,Score!$B$2:$X$77,5,0)</f>
        <v>17</v>
      </c>
      <c r="I24" s="328">
        <f>VLOOKUP($C24,Score!$B$2:$X$77,6,0)</f>
        <v>4</v>
      </c>
      <c r="J24" s="328">
        <f>VLOOKUP($C24,Score!$B$2:$X$77,7,0)</f>
        <v>13</v>
      </c>
      <c r="K24" s="328">
        <f>VLOOKUP($C24,Score!$B$2:$X$77,8,0)</f>
        <v>5</v>
      </c>
      <c r="L24" s="328">
        <f>VLOOKUP($C24,Score!$B$2:$X$77,9,0)</f>
        <v>16</v>
      </c>
      <c r="M24" s="328">
        <f>VLOOKUP($C24,Score!$B$2:$X$77,10,0)</f>
        <v>0</v>
      </c>
      <c r="N24" s="328">
        <f>VLOOKUP($C24,Score!$B$2:$X$77,11,0)</f>
        <v>0</v>
      </c>
      <c r="O24" s="328">
        <f>VLOOKUP($C24,Score!$B$2:$X$77,12,0)</f>
        <v>0</v>
      </c>
      <c r="P24" s="328">
        <f>VLOOKUP($C24,Score!$B$2:$X$77,13,0)</f>
        <v>0</v>
      </c>
      <c r="Q24" s="328">
        <f>VLOOKUP($C24,Score!$B$2:$X$77,14,0)</f>
        <v>0</v>
      </c>
      <c r="R24" s="328">
        <f>VLOOKUP($C24,Score!$B$2:$X$77,15,0)</f>
        <v>24</v>
      </c>
      <c r="S24" s="328">
        <f>VLOOKUP($C24,Score!$B$2:$X$77,16,0)</f>
        <v>0</v>
      </c>
      <c r="T24" s="328">
        <f>VLOOKUP($C24,Score!$B$2:$X$77,17,0)</f>
        <v>0</v>
      </c>
      <c r="U24" s="234">
        <f>VLOOKUP($C24,Score!$B$2:$X$77,18,0)</f>
        <v>26</v>
      </c>
      <c r="V24" s="328">
        <f>VLOOKUP($C24,Score!$B$2:$X$77,19,0)</f>
        <v>0</v>
      </c>
      <c r="W24" s="328">
        <f>VLOOKUP($C24,Score!$B$2:$X$77,20,0)</f>
        <v>0</v>
      </c>
      <c r="X24" s="328">
        <f>VLOOKUP($C24,Score!$B$2:$Z$76,21,0)</f>
        <v>0</v>
      </c>
      <c r="Y24" s="328">
        <f>VLOOKUP($C24,Score!$B$2:$Z$76,22,0)</f>
        <v>0</v>
      </c>
      <c r="Z24" s="328">
        <f>VLOOKUP($C24,Score!$B$2:$Z$76,24,0)</f>
        <v>0</v>
      </c>
      <c r="AA24" s="329">
        <f t="shared" ref="AA24:AA26" si="3">SUM(E24:Z24)</f>
        <v>141</v>
      </c>
    </row>
    <row r="25" spans="2:28" s="175" customFormat="1">
      <c r="B25" s="210"/>
      <c r="C25" s="208" t="s">
        <v>192</v>
      </c>
      <c r="D25" s="208"/>
      <c r="E25" s="328">
        <f>VLOOKUP($C25,Score!$B$2:$X$77,2,0)</f>
        <v>0</v>
      </c>
      <c r="F25" s="328">
        <f>VLOOKUP($C25,Score!$B$2:$X$77,3,0)</f>
        <v>0</v>
      </c>
      <c r="G25" s="328">
        <f>VLOOKUP($C25,Score!$B$2:$X$77,4,0)</f>
        <v>40</v>
      </c>
      <c r="H25" s="328">
        <f>VLOOKUP($C25,Score!$B$2:$X$77,5,0)</f>
        <v>11</v>
      </c>
      <c r="I25" s="328">
        <f>VLOOKUP($C25,Score!$B$2:$X$77,6,0)</f>
        <v>5</v>
      </c>
      <c r="J25" s="328">
        <f>VLOOKUP($C25,Score!$B$2:$X$77,7,0)</f>
        <v>17</v>
      </c>
      <c r="K25" s="328">
        <f>VLOOKUP($C25,Score!$B$2:$X$77,8,0)</f>
        <v>4</v>
      </c>
      <c r="L25" s="328">
        <f>VLOOKUP($C25,Score!$B$2:$X$77,9,0)</f>
        <v>18</v>
      </c>
      <c r="M25" s="328">
        <f>VLOOKUP($C25,Score!$B$2:$X$77,10,0)</f>
        <v>0</v>
      </c>
      <c r="N25" s="328">
        <f>VLOOKUP($C25,Score!$B$2:$X$77,11,0)</f>
        <v>0</v>
      </c>
      <c r="O25" s="328">
        <f>VLOOKUP($C25,Score!$B$2:$X$77,12,0)</f>
        <v>0</v>
      </c>
      <c r="P25" s="328">
        <f>VLOOKUP($C25,Score!$B$2:$X$77,13,0)</f>
        <v>39</v>
      </c>
      <c r="Q25" s="328">
        <f>VLOOKUP($C25,Score!$B$2:$X$77,14,0)</f>
        <v>4</v>
      </c>
      <c r="R25" s="328">
        <f>VLOOKUP($C25,Score!$B$2:$X$77,15,0)</f>
        <v>4</v>
      </c>
      <c r="S25" s="328">
        <f>VLOOKUP($C25,Score!$B$2:$X$77,16,0)</f>
        <v>4</v>
      </c>
      <c r="T25" s="328">
        <f>VLOOKUP($C25,Score!$B$2:$X$77,17,0)</f>
        <v>4</v>
      </c>
      <c r="U25" s="328">
        <f>VLOOKUP($C25,Score!$B$2:$X$77,18,0)</f>
        <v>4</v>
      </c>
      <c r="V25" s="328">
        <f>VLOOKUP($C25,Score!$B$2:$X$77,19,0)</f>
        <v>5</v>
      </c>
      <c r="W25" s="328">
        <f>VLOOKUP($C25,Score!$B$2:$X$77,20,0)</f>
        <v>3</v>
      </c>
      <c r="X25" s="234">
        <f>VLOOKUP($C25,Score!$B$2:$Z$76,21,0)</f>
        <v>15</v>
      </c>
      <c r="Y25" s="328">
        <f>VLOOKUP($C25,Score!$B$2:$Z$76,22,0)</f>
        <v>1</v>
      </c>
      <c r="Z25" s="328">
        <f>VLOOKUP($C25,Score!$B$2:$Z$76,24,0)</f>
        <v>1</v>
      </c>
      <c r="AA25" s="329">
        <f t="shared" si="3"/>
        <v>179</v>
      </c>
    </row>
    <row r="26" spans="2:28" s="175" customFormat="1">
      <c r="B26" s="210"/>
      <c r="C26" s="208" t="s">
        <v>176</v>
      </c>
      <c r="D26" s="208"/>
      <c r="E26" s="328">
        <f>VLOOKUP($C26,Score!$B$2:$X$77,2,0)</f>
        <v>0</v>
      </c>
      <c r="F26" s="328">
        <f>VLOOKUP($C26,Score!$B$2:$X$77,3,0)</f>
        <v>0</v>
      </c>
      <c r="G26" s="328">
        <f>VLOOKUP($C26,Score!$B$2:$X$77,4,0)</f>
        <v>0</v>
      </c>
      <c r="H26" s="328">
        <f>VLOOKUP($C26,Score!$B$2:$X$77,5,0)</f>
        <v>0</v>
      </c>
      <c r="I26" s="328">
        <f>VLOOKUP($C26,Score!$B$2:$X$77,6,0)</f>
        <v>0</v>
      </c>
      <c r="J26" s="328">
        <f>VLOOKUP($C26,Score!$B$2:$X$77,7,0)</f>
        <v>0</v>
      </c>
      <c r="K26" s="328">
        <f>VLOOKUP($C26,Score!$B$2:$X$77,8,0)</f>
        <v>0</v>
      </c>
      <c r="L26" s="328">
        <f>VLOOKUP($C26,Score!$B$2:$X$77,9,0)</f>
        <v>0</v>
      </c>
      <c r="M26" s="328">
        <f>VLOOKUP($C26,Score!$B$2:$X$77,10,0)</f>
        <v>0</v>
      </c>
      <c r="N26" s="328">
        <f>VLOOKUP($C26,Score!$B$2:$X$77,11,0)</f>
        <v>0</v>
      </c>
      <c r="O26" s="328">
        <f>VLOOKUP($C26,Score!$B$2:$X$77,12,0)</f>
        <v>0</v>
      </c>
      <c r="P26" s="328">
        <f>VLOOKUP($C26,Score!$B$2:$X$77,13,0)</f>
        <v>0</v>
      </c>
      <c r="Q26" s="328">
        <f>VLOOKUP($C26,Score!$B$2:$X$77,14,0)</f>
        <v>9</v>
      </c>
      <c r="R26" s="328">
        <f>VLOOKUP($C26,Score!$B$2:$X$77,15,0)</f>
        <v>0</v>
      </c>
      <c r="S26" s="328">
        <f>VLOOKUP($C26,Score!$B$2:$X$77,16,0)</f>
        <v>18</v>
      </c>
      <c r="T26" s="328">
        <f>VLOOKUP($C26,Score!$B$2:$X$77,17,0)</f>
        <v>0</v>
      </c>
      <c r="U26" s="328">
        <f>VLOOKUP($C26,Score!$B$2:$X$77,18,0)</f>
        <v>0</v>
      </c>
      <c r="V26" s="328">
        <f>VLOOKUP($C26,Score!$B$2:$X$77,19,0)</f>
        <v>0</v>
      </c>
      <c r="W26" s="328">
        <f>VLOOKUP($C26,Score!$B$2:$X$77,20,0)</f>
        <v>0</v>
      </c>
      <c r="X26" s="328">
        <f>VLOOKUP($C26,Score!$B$2:$Z$76,21,0)</f>
        <v>0</v>
      </c>
      <c r="Y26" s="234">
        <f>VLOOKUP($C26,Score!$B$2:$Z$76,22,0)</f>
        <v>17</v>
      </c>
      <c r="Z26" s="328">
        <f>VLOOKUP($C26,Score!$B$2:$Z$76,24,0)</f>
        <v>0</v>
      </c>
      <c r="AA26" s="329">
        <f t="shared" si="3"/>
        <v>44</v>
      </c>
    </row>
    <row r="28" spans="2:28">
      <c r="C28" s="301" t="s">
        <v>136</v>
      </c>
      <c r="D28" s="302">
        <f>COUNTIF($D$4:$D$21,C28)</f>
        <v>8</v>
      </c>
    </row>
    <row r="29" spans="2:28">
      <c r="C29" s="303" t="s">
        <v>11</v>
      </c>
      <c r="D29" s="302">
        <f>COUNTIF($D$4:$D$21,C29)</f>
        <v>5</v>
      </c>
    </row>
    <row r="30" spans="2:28">
      <c r="C30" s="303" t="s">
        <v>117</v>
      </c>
      <c r="D30" s="302">
        <f>COUNTIF($D$4:$D$21,C30)</f>
        <v>3</v>
      </c>
    </row>
  </sheetData>
  <sortState ref="C4:D20">
    <sortCondition ref="D4:D20"/>
    <sortCondition ref="C4:C20"/>
  </sortState>
  <phoneticPr fontId="0" type="noConversion"/>
  <dataValidations disablePrompts="1" count="1">
    <dataValidation type="list" allowBlank="1" showInputMessage="1" showErrorMessage="1" prompt="selecteer type renner:" sqref="D4:D20">
      <formula1>type_renner</formula1>
    </dataValidation>
  </dataValidation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sheetPr codeName="Blad13" enableFormatConditionsCalculation="0">
    <tabColor indexed="12"/>
  </sheetPr>
  <dimension ref="B1:AF30"/>
  <sheetViews>
    <sheetView showZeros="0" workbookViewId="0">
      <selection activeCell="V10" sqref="V10"/>
    </sheetView>
  </sheetViews>
  <sheetFormatPr defaultRowHeight="12.75"/>
  <cols>
    <col min="1" max="1" width="2.7109375" style="116" customWidth="1"/>
    <col min="2" max="2" width="8.85546875" style="116" customWidth="1"/>
    <col min="3" max="4" width="13" style="121" customWidth="1"/>
    <col min="5" max="7" width="5" style="117" customWidth="1"/>
    <col min="8" max="8" width="5" style="148" customWidth="1"/>
    <col min="9" max="16" width="5" style="136" customWidth="1"/>
    <col min="17" max="17" width="5" style="134" customWidth="1"/>
    <col min="18" max="26" width="5" style="116" customWidth="1"/>
    <col min="27" max="27" width="5" style="120" customWidth="1"/>
    <col min="28" max="28" width="15" style="116" customWidth="1"/>
    <col min="29" max="16384" width="9.140625" style="116"/>
  </cols>
  <sheetData>
    <row r="1" spans="2:28">
      <c r="C1" s="273" t="s">
        <v>100</v>
      </c>
      <c r="D1" s="273"/>
    </row>
    <row r="2" spans="2:28">
      <c r="C2" s="177"/>
      <c r="D2" s="177"/>
      <c r="H2" s="136"/>
    </row>
    <row r="3" spans="2:28" s="134" customFormat="1" ht="13.5" thickBot="1">
      <c r="C3" s="274" t="s">
        <v>101</v>
      </c>
      <c r="D3" s="274"/>
      <c r="E3" s="119">
        <v>1</v>
      </c>
      <c r="F3" s="119">
        <v>2</v>
      </c>
      <c r="G3" s="119">
        <v>3</v>
      </c>
      <c r="H3" s="119">
        <v>4</v>
      </c>
      <c r="I3" s="119">
        <v>5</v>
      </c>
      <c r="J3" s="119">
        <v>6</v>
      </c>
      <c r="K3" s="119">
        <v>7</v>
      </c>
      <c r="L3" s="119">
        <v>8</v>
      </c>
      <c r="M3" s="119">
        <v>9</v>
      </c>
      <c r="N3" s="119">
        <v>10</v>
      </c>
      <c r="O3" s="119">
        <v>11</v>
      </c>
      <c r="P3" s="119">
        <v>12</v>
      </c>
      <c r="Q3" s="119">
        <v>13</v>
      </c>
      <c r="R3" s="119">
        <v>14</v>
      </c>
      <c r="S3" s="119">
        <v>15</v>
      </c>
      <c r="T3" s="119">
        <v>16</v>
      </c>
      <c r="U3" s="119">
        <v>17</v>
      </c>
      <c r="V3" s="119">
        <v>18</v>
      </c>
      <c r="W3" s="119">
        <v>19</v>
      </c>
      <c r="X3" s="119">
        <v>20</v>
      </c>
      <c r="Y3" s="119">
        <v>21</v>
      </c>
      <c r="Z3" s="119" t="s">
        <v>1</v>
      </c>
      <c r="AA3" s="154"/>
    </row>
    <row r="4" spans="2:28">
      <c r="B4" s="169"/>
      <c r="C4" s="275" t="s">
        <v>134</v>
      </c>
      <c r="D4" s="276" t="s">
        <v>117</v>
      </c>
      <c r="E4" s="117">
        <f t="shared" ref="E4:N13" si="0">INDEX(scorematrix,MATCH($C4,renners,0),MATCH(E$3,etappes,0))</f>
        <v>0</v>
      </c>
      <c r="F4" s="117">
        <f t="shared" si="0"/>
        <v>0</v>
      </c>
      <c r="G4" s="117">
        <f t="shared" si="0"/>
        <v>0</v>
      </c>
      <c r="H4" s="117">
        <f t="shared" si="0"/>
        <v>22</v>
      </c>
      <c r="I4" s="117">
        <f t="shared" si="0"/>
        <v>22</v>
      </c>
      <c r="J4" s="117">
        <f t="shared" si="0"/>
        <v>19</v>
      </c>
      <c r="K4" s="117">
        <f t="shared" si="0"/>
        <v>0</v>
      </c>
      <c r="L4" s="117">
        <f t="shared" si="0"/>
        <v>0</v>
      </c>
      <c r="M4" s="117">
        <f t="shared" si="0"/>
        <v>0</v>
      </c>
      <c r="N4" s="117">
        <f t="shared" si="0"/>
        <v>0</v>
      </c>
      <c r="O4" s="117">
        <f t="shared" ref="O4:Z13" si="1">INDEX(scorematrix,MATCH($C4,renners,0),MATCH(O$3,etappes,0))</f>
        <v>0</v>
      </c>
      <c r="P4" s="117">
        <f t="shared" si="1"/>
        <v>0</v>
      </c>
      <c r="Q4" s="117">
        <f t="shared" si="1"/>
        <v>0</v>
      </c>
      <c r="R4" s="117">
        <f t="shared" si="1"/>
        <v>0</v>
      </c>
      <c r="S4" s="117">
        <f t="shared" si="1"/>
        <v>22</v>
      </c>
      <c r="T4" s="117">
        <f t="shared" si="1"/>
        <v>7</v>
      </c>
      <c r="U4" s="117">
        <f t="shared" si="1"/>
        <v>0</v>
      </c>
      <c r="V4" s="117">
        <f t="shared" si="1"/>
        <v>0</v>
      </c>
      <c r="W4" s="117">
        <f t="shared" si="1"/>
        <v>0</v>
      </c>
      <c r="X4" s="117">
        <f t="shared" si="1"/>
        <v>0</v>
      </c>
      <c r="Y4" s="117">
        <f t="shared" si="1"/>
        <v>24</v>
      </c>
      <c r="Z4" s="117">
        <f t="shared" si="1"/>
        <v>0</v>
      </c>
      <c r="AA4" s="186">
        <f t="shared" ref="AA4:AA21" si="2">SUM(E4:Z4)</f>
        <v>116</v>
      </c>
      <c r="AB4" s="116" t="str">
        <f t="shared" ref="AB4:AB18" si="3">C4</f>
        <v>Boasson Hagen</v>
      </c>
    </row>
    <row r="5" spans="2:28">
      <c r="B5" s="169"/>
      <c r="C5" s="277" t="s">
        <v>116</v>
      </c>
      <c r="D5" s="276" t="s">
        <v>136</v>
      </c>
      <c r="E5" s="117">
        <f t="shared" si="0"/>
        <v>0</v>
      </c>
      <c r="F5" s="117">
        <f t="shared" si="0"/>
        <v>0</v>
      </c>
      <c r="G5" s="117">
        <f t="shared" si="0"/>
        <v>0</v>
      </c>
      <c r="H5" s="117">
        <f t="shared" si="0"/>
        <v>8</v>
      </c>
      <c r="I5" s="117">
        <f t="shared" si="0"/>
        <v>0</v>
      </c>
      <c r="J5" s="117">
        <f t="shared" si="0"/>
        <v>0</v>
      </c>
      <c r="K5" s="117">
        <f t="shared" si="0"/>
        <v>0</v>
      </c>
      <c r="L5" s="117">
        <f t="shared" si="0"/>
        <v>0</v>
      </c>
      <c r="M5" s="117">
        <f t="shared" si="0"/>
        <v>0</v>
      </c>
      <c r="N5" s="117">
        <f t="shared" si="0"/>
        <v>0</v>
      </c>
      <c r="O5" s="117">
        <f t="shared" si="1"/>
        <v>0</v>
      </c>
      <c r="P5" s="117">
        <f t="shared" si="1"/>
        <v>27</v>
      </c>
      <c r="Q5" s="117">
        <f t="shared" si="1"/>
        <v>1</v>
      </c>
      <c r="R5" s="117">
        <f t="shared" si="1"/>
        <v>27</v>
      </c>
      <c r="S5" s="117">
        <f t="shared" si="1"/>
        <v>1</v>
      </c>
      <c r="T5" s="117">
        <f t="shared" si="1"/>
        <v>1</v>
      </c>
      <c r="U5" s="117">
        <f t="shared" si="1"/>
        <v>0</v>
      </c>
      <c r="V5" s="117">
        <f t="shared" si="1"/>
        <v>40</v>
      </c>
      <c r="W5" s="117">
        <f t="shared" si="1"/>
        <v>29</v>
      </c>
      <c r="X5" s="117">
        <f t="shared" si="1"/>
        <v>13</v>
      </c>
      <c r="Y5" s="117">
        <f t="shared" si="1"/>
        <v>5</v>
      </c>
      <c r="Z5" s="117">
        <f t="shared" si="1"/>
        <v>39</v>
      </c>
      <c r="AA5" s="186">
        <f t="shared" si="2"/>
        <v>191</v>
      </c>
      <c r="AB5" s="116" t="str">
        <f t="shared" si="3"/>
        <v>Bardet</v>
      </c>
    </row>
    <row r="6" spans="2:28">
      <c r="B6" s="169"/>
      <c r="C6" s="277" t="s">
        <v>185</v>
      </c>
      <c r="D6" s="276" t="s">
        <v>136</v>
      </c>
      <c r="E6" s="117">
        <f t="shared" si="0"/>
        <v>0</v>
      </c>
      <c r="F6" s="117">
        <f t="shared" si="0"/>
        <v>0</v>
      </c>
      <c r="G6" s="117">
        <f t="shared" si="0"/>
        <v>24</v>
      </c>
      <c r="H6" s="117">
        <f t="shared" si="0"/>
        <v>0</v>
      </c>
      <c r="I6" s="117">
        <f t="shared" si="0"/>
        <v>0</v>
      </c>
      <c r="J6" s="117">
        <f t="shared" si="0"/>
        <v>0</v>
      </c>
      <c r="K6" s="117">
        <f t="shared" si="0"/>
        <v>0</v>
      </c>
      <c r="L6" s="117">
        <f t="shared" si="0"/>
        <v>30</v>
      </c>
      <c r="M6" s="117">
        <f t="shared" si="0"/>
        <v>0</v>
      </c>
      <c r="N6" s="117">
        <f t="shared" si="0"/>
        <v>0</v>
      </c>
      <c r="O6" s="117">
        <f t="shared" si="1"/>
        <v>30</v>
      </c>
      <c r="P6" s="117">
        <f t="shared" si="1"/>
        <v>0</v>
      </c>
      <c r="Q6" s="117">
        <f t="shared" si="1"/>
        <v>0</v>
      </c>
      <c r="R6" s="117">
        <f t="shared" si="1"/>
        <v>0</v>
      </c>
      <c r="S6" s="117">
        <f t="shared" si="1"/>
        <v>0</v>
      </c>
      <c r="T6" s="117">
        <f t="shared" si="1"/>
        <v>0</v>
      </c>
      <c r="U6" s="117">
        <f t="shared" si="1"/>
        <v>0</v>
      </c>
      <c r="V6" s="117">
        <f t="shared" si="1"/>
        <v>0</v>
      </c>
      <c r="W6" s="117">
        <f t="shared" si="1"/>
        <v>0</v>
      </c>
      <c r="X6" s="117">
        <f t="shared" si="1"/>
        <v>0</v>
      </c>
      <c r="Y6" s="117">
        <f t="shared" si="1"/>
        <v>0</v>
      </c>
      <c r="Z6" s="117">
        <f t="shared" si="1"/>
        <v>0</v>
      </c>
      <c r="AA6" s="186">
        <f t="shared" si="2"/>
        <v>84</v>
      </c>
      <c r="AB6" s="116" t="str">
        <f t="shared" si="3"/>
        <v>D.Martin</v>
      </c>
    </row>
    <row r="7" spans="2:28" ht="13.15" customHeight="1">
      <c r="B7" s="169"/>
      <c r="C7" s="277" t="s">
        <v>92</v>
      </c>
      <c r="D7" s="276" t="s">
        <v>136</v>
      </c>
      <c r="E7" s="117">
        <f t="shared" si="0"/>
        <v>0</v>
      </c>
      <c r="F7" s="117">
        <f t="shared" si="0"/>
        <v>0</v>
      </c>
      <c r="G7" s="117">
        <f t="shared" si="0"/>
        <v>0</v>
      </c>
      <c r="H7" s="117">
        <f t="shared" si="0"/>
        <v>0</v>
      </c>
      <c r="I7" s="117">
        <f t="shared" si="0"/>
        <v>0</v>
      </c>
      <c r="J7" s="117">
        <f t="shared" si="0"/>
        <v>0</v>
      </c>
      <c r="K7" s="117">
        <f t="shared" si="0"/>
        <v>0</v>
      </c>
      <c r="L7" s="117">
        <f t="shared" si="0"/>
        <v>0</v>
      </c>
      <c r="M7" s="117">
        <f t="shared" si="0"/>
        <v>0</v>
      </c>
      <c r="N7" s="117">
        <f t="shared" si="0"/>
        <v>13</v>
      </c>
      <c r="O7" s="117">
        <f t="shared" si="1"/>
        <v>0</v>
      </c>
      <c r="P7" s="117">
        <f t="shared" si="1"/>
        <v>33</v>
      </c>
      <c r="Q7" s="117">
        <f t="shared" si="1"/>
        <v>3</v>
      </c>
      <c r="R7" s="117">
        <f t="shared" si="1"/>
        <v>3</v>
      </c>
      <c r="S7" s="117">
        <f t="shared" si="1"/>
        <v>3</v>
      </c>
      <c r="T7" s="117">
        <f t="shared" si="1"/>
        <v>3</v>
      </c>
      <c r="U7" s="117">
        <f t="shared" si="1"/>
        <v>3</v>
      </c>
      <c r="V7" s="117">
        <f t="shared" si="1"/>
        <v>25</v>
      </c>
      <c r="W7" s="117">
        <f t="shared" si="1"/>
        <v>2</v>
      </c>
      <c r="X7" s="117">
        <f t="shared" si="1"/>
        <v>0</v>
      </c>
      <c r="Y7" s="117">
        <f t="shared" si="1"/>
        <v>0</v>
      </c>
      <c r="Z7" s="117">
        <f t="shared" si="1"/>
        <v>0</v>
      </c>
      <c r="AA7" s="186">
        <f t="shared" si="2"/>
        <v>88</v>
      </c>
      <c r="AB7" s="116" t="str">
        <f t="shared" si="3"/>
        <v>Fuglsang</v>
      </c>
    </row>
    <row r="8" spans="2:28">
      <c r="B8" s="169"/>
      <c r="C8" s="277" t="s">
        <v>139</v>
      </c>
      <c r="D8" s="276" t="s">
        <v>136</v>
      </c>
      <c r="E8" s="117">
        <f t="shared" si="0"/>
        <v>0</v>
      </c>
      <c r="F8" s="117">
        <f t="shared" si="0"/>
        <v>0</v>
      </c>
      <c r="G8" s="117">
        <f t="shared" si="0"/>
        <v>4</v>
      </c>
      <c r="H8" s="117">
        <f t="shared" si="0"/>
        <v>4</v>
      </c>
      <c r="I8" s="117">
        <f t="shared" si="0"/>
        <v>4</v>
      </c>
      <c r="J8" s="117">
        <f t="shared" si="0"/>
        <v>2</v>
      </c>
      <c r="K8" s="117">
        <f t="shared" si="0"/>
        <v>2</v>
      </c>
      <c r="L8" s="117">
        <f t="shared" si="0"/>
        <v>1</v>
      </c>
      <c r="M8" s="117">
        <f t="shared" si="0"/>
        <v>0</v>
      </c>
      <c r="N8" s="117">
        <f t="shared" si="0"/>
        <v>0</v>
      </c>
      <c r="O8" s="117">
        <f t="shared" si="1"/>
        <v>38</v>
      </c>
      <c r="P8" s="117">
        <f t="shared" si="1"/>
        <v>0</v>
      </c>
      <c r="Q8" s="117">
        <f t="shared" si="1"/>
        <v>0</v>
      </c>
      <c r="R8" s="117">
        <f t="shared" si="1"/>
        <v>0</v>
      </c>
      <c r="S8" s="117">
        <f t="shared" si="1"/>
        <v>0</v>
      </c>
      <c r="T8" s="117">
        <f t="shared" si="1"/>
        <v>0</v>
      </c>
      <c r="U8" s="117">
        <f t="shared" si="1"/>
        <v>13</v>
      </c>
      <c r="V8" s="117">
        <f t="shared" si="1"/>
        <v>0</v>
      </c>
      <c r="W8" s="117">
        <f t="shared" si="1"/>
        <v>11</v>
      </c>
      <c r="X8" s="117">
        <f t="shared" si="1"/>
        <v>9</v>
      </c>
      <c r="Y8" s="117">
        <f t="shared" si="1"/>
        <v>0</v>
      </c>
      <c r="Z8" s="117">
        <f t="shared" si="1"/>
        <v>0</v>
      </c>
      <c r="AA8" s="186">
        <f t="shared" si="2"/>
        <v>88</v>
      </c>
      <c r="AB8" s="116" t="str">
        <f t="shared" si="3"/>
        <v>Majka</v>
      </c>
    </row>
    <row r="9" spans="2:28">
      <c r="B9" s="169"/>
      <c r="C9" s="277" t="s">
        <v>90</v>
      </c>
      <c r="D9" s="276" t="s">
        <v>136</v>
      </c>
      <c r="E9" s="117">
        <f t="shared" si="0"/>
        <v>8</v>
      </c>
      <c r="F9" s="117">
        <f t="shared" si="0"/>
        <v>0</v>
      </c>
      <c r="G9" s="117">
        <f t="shared" si="0"/>
        <v>0</v>
      </c>
      <c r="H9" s="117">
        <f t="shared" si="0"/>
        <v>0</v>
      </c>
      <c r="I9" s="117">
        <f t="shared" si="0"/>
        <v>0</v>
      </c>
      <c r="J9" s="117">
        <f t="shared" si="0"/>
        <v>0</v>
      </c>
      <c r="K9" s="117">
        <f t="shared" si="0"/>
        <v>0</v>
      </c>
      <c r="L9" s="117">
        <f t="shared" si="0"/>
        <v>0</v>
      </c>
      <c r="M9" s="117">
        <f t="shared" si="0"/>
        <v>0</v>
      </c>
      <c r="N9" s="117">
        <f t="shared" si="0"/>
        <v>0</v>
      </c>
      <c r="O9" s="117">
        <f t="shared" si="1"/>
        <v>0</v>
      </c>
      <c r="P9" s="117">
        <f t="shared" si="1"/>
        <v>14</v>
      </c>
      <c r="Q9" s="117">
        <f t="shared" si="1"/>
        <v>0</v>
      </c>
      <c r="R9" s="117">
        <f t="shared" si="1"/>
        <v>30</v>
      </c>
      <c r="S9" s="117">
        <f t="shared" si="1"/>
        <v>0</v>
      </c>
      <c r="T9" s="117">
        <f t="shared" si="1"/>
        <v>0</v>
      </c>
      <c r="U9" s="117">
        <f t="shared" si="1"/>
        <v>24</v>
      </c>
      <c r="V9" s="117">
        <f t="shared" si="1"/>
        <v>0</v>
      </c>
      <c r="W9" s="117">
        <f t="shared" si="1"/>
        <v>24</v>
      </c>
      <c r="X9" s="117">
        <f t="shared" si="1"/>
        <v>37</v>
      </c>
      <c r="Y9" s="117">
        <f t="shared" si="1"/>
        <v>2</v>
      </c>
      <c r="Z9" s="117">
        <f t="shared" si="1"/>
        <v>23</v>
      </c>
      <c r="AA9" s="186">
        <f t="shared" si="2"/>
        <v>162</v>
      </c>
      <c r="AB9" s="116" t="str">
        <f t="shared" si="3"/>
        <v>Pinot</v>
      </c>
    </row>
    <row r="10" spans="2:28">
      <c r="B10" s="169"/>
      <c r="C10" s="277" t="s">
        <v>94</v>
      </c>
      <c r="D10" s="276" t="s">
        <v>136</v>
      </c>
      <c r="E10" s="117">
        <f t="shared" si="0"/>
        <v>0</v>
      </c>
      <c r="F10" s="117">
        <f t="shared" si="0"/>
        <v>0</v>
      </c>
      <c r="G10" s="117">
        <f t="shared" si="0"/>
        <v>40</v>
      </c>
      <c r="H10" s="117">
        <f t="shared" si="0"/>
        <v>11</v>
      </c>
      <c r="I10" s="117">
        <f t="shared" si="0"/>
        <v>5</v>
      </c>
      <c r="J10" s="117">
        <f t="shared" si="0"/>
        <v>17</v>
      </c>
      <c r="K10" s="117">
        <f t="shared" si="0"/>
        <v>4</v>
      </c>
      <c r="L10" s="117">
        <f t="shared" si="0"/>
        <v>18</v>
      </c>
      <c r="M10" s="117">
        <f t="shared" si="0"/>
        <v>0</v>
      </c>
      <c r="N10" s="117">
        <f t="shared" si="0"/>
        <v>0</v>
      </c>
      <c r="O10" s="117">
        <f t="shared" si="1"/>
        <v>0</v>
      </c>
      <c r="P10" s="117">
        <f t="shared" si="1"/>
        <v>39</v>
      </c>
      <c r="Q10" s="117">
        <f t="shared" si="1"/>
        <v>4</v>
      </c>
      <c r="R10" s="117">
        <f t="shared" si="1"/>
        <v>4</v>
      </c>
      <c r="S10" s="117">
        <f t="shared" si="1"/>
        <v>4</v>
      </c>
      <c r="T10" s="117">
        <f t="shared" si="1"/>
        <v>4</v>
      </c>
      <c r="U10" s="117">
        <f t="shared" si="1"/>
        <v>4</v>
      </c>
      <c r="V10" s="117">
        <f t="shared" si="1"/>
        <v>5</v>
      </c>
      <c r="W10" s="117">
        <f t="shared" si="1"/>
        <v>3</v>
      </c>
      <c r="X10" s="117">
        <f t="shared" si="1"/>
        <v>15</v>
      </c>
      <c r="Y10" s="117">
        <f t="shared" si="1"/>
        <v>1</v>
      </c>
      <c r="Z10" s="117">
        <f t="shared" si="1"/>
        <v>1</v>
      </c>
      <c r="AA10" s="186">
        <f t="shared" si="2"/>
        <v>179</v>
      </c>
      <c r="AB10" s="116" t="str">
        <f t="shared" si="3"/>
        <v>Rodriguez</v>
      </c>
    </row>
    <row r="11" spans="2:28">
      <c r="B11" s="169"/>
      <c r="C11" s="277" t="s">
        <v>81</v>
      </c>
      <c r="D11" s="276" t="s">
        <v>136</v>
      </c>
      <c r="E11" s="117">
        <f t="shared" si="0"/>
        <v>0</v>
      </c>
      <c r="F11" s="117">
        <f t="shared" si="0"/>
        <v>0</v>
      </c>
      <c r="G11" s="117">
        <f t="shared" si="0"/>
        <v>6</v>
      </c>
      <c r="H11" s="117">
        <f t="shared" si="0"/>
        <v>0</v>
      </c>
      <c r="I11" s="117">
        <f t="shared" si="0"/>
        <v>0</v>
      </c>
      <c r="J11" s="117">
        <f t="shared" si="0"/>
        <v>0</v>
      </c>
      <c r="K11" s="117">
        <f t="shared" si="0"/>
        <v>0</v>
      </c>
      <c r="L11" s="117">
        <f t="shared" si="0"/>
        <v>6</v>
      </c>
      <c r="M11" s="117">
        <f t="shared" si="0"/>
        <v>0</v>
      </c>
      <c r="N11" s="117">
        <f t="shared" si="0"/>
        <v>18</v>
      </c>
      <c r="O11" s="117">
        <f t="shared" si="1"/>
        <v>10</v>
      </c>
      <c r="P11" s="117">
        <f t="shared" si="1"/>
        <v>11</v>
      </c>
      <c r="Q11" s="117">
        <f t="shared" si="1"/>
        <v>7</v>
      </c>
      <c r="R11" s="117">
        <f t="shared" si="1"/>
        <v>0</v>
      </c>
      <c r="S11" s="117">
        <f t="shared" si="1"/>
        <v>0</v>
      </c>
      <c r="T11" s="117">
        <f t="shared" si="1"/>
        <v>0</v>
      </c>
      <c r="U11" s="117">
        <f t="shared" si="1"/>
        <v>0</v>
      </c>
      <c r="V11" s="117">
        <f t="shared" si="1"/>
        <v>30</v>
      </c>
      <c r="W11" s="117">
        <f t="shared" si="1"/>
        <v>16</v>
      </c>
      <c r="X11" s="117">
        <f t="shared" si="1"/>
        <v>21</v>
      </c>
      <c r="Y11" s="117">
        <f t="shared" si="1"/>
        <v>1</v>
      </c>
      <c r="Z11" s="117">
        <f t="shared" si="1"/>
        <v>32</v>
      </c>
      <c r="AA11" s="186">
        <f t="shared" si="2"/>
        <v>158</v>
      </c>
      <c r="AB11" s="116" t="str">
        <f t="shared" si="3"/>
        <v>Rolland</v>
      </c>
    </row>
    <row r="12" spans="2:28">
      <c r="B12" s="169"/>
      <c r="C12" s="277" t="s">
        <v>98</v>
      </c>
      <c r="D12" s="276" t="s">
        <v>136</v>
      </c>
      <c r="E12" s="117">
        <f t="shared" si="0"/>
        <v>0</v>
      </c>
      <c r="F12" s="117">
        <f t="shared" si="0"/>
        <v>0</v>
      </c>
      <c r="G12" s="117">
        <f t="shared" si="0"/>
        <v>0</v>
      </c>
      <c r="H12" s="117">
        <f t="shared" si="0"/>
        <v>0</v>
      </c>
      <c r="I12" s="117">
        <f t="shared" si="0"/>
        <v>0</v>
      </c>
      <c r="J12" s="117">
        <f t="shared" si="0"/>
        <v>6</v>
      </c>
      <c r="K12" s="117">
        <f t="shared" si="0"/>
        <v>0</v>
      </c>
      <c r="L12" s="117">
        <f t="shared" si="0"/>
        <v>0</v>
      </c>
      <c r="M12" s="117">
        <f t="shared" si="0"/>
        <v>0</v>
      </c>
      <c r="N12" s="117">
        <f t="shared" si="0"/>
        <v>0</v>
      </c>
      <c r="O12" s="117">
        <f t="shared" si="1"/>
        <v>6</v>
      </c>
      <c r="P12" s="117">
        <f t="shared" si="1"/>
        <v>0</v>
      </c>
      <c r="Q12" s="117">
        <f t="shared" si="1"/>
        <v>0</v>
      </c>
      <c r="R12" s="117">
        <f t="shared" si="1"/>
        <v>0</v>
      </c>
      <c r="S12" s="117">
        <f t="shared" si="1"/>
        <v>0</v>
      </c>
      <c r="T12" s="117">
        <f t="shared" si="1"/>
        <v>0</v>
      </c>
      <c r="U12" s="117">
        <f t="shared" si="1"/>
        <v>30</v>
      </c>
      <c r="V12" s="117">
        <f t="shared" si="1"/>
        <v>17</v>
      </c>
      <c r="W12" s="117">
        <f t="shared" si="1"/>
        <v>14</v>
      </c>
      <c r="X12" s="117">
        <f t="shared" si="1"/>
        <v>0</v>
      </c>
      <c r="Y12" s="117">
        <f t="shared" si="1"/>
        <v>0</v>
      </c>
      <c r="Z12" s="117">
        <f t="shared" si="1"/>
        <v>30</v>
      </c>
      <c r="AA12" s="186">
        <f t="shared" si="2"/>
        <v>103</v>
      </c>
      <c r="AB12" s="116" t="str">
        <f t="shared" si="3"/>
        <v>Talansky</v>
      </c>
    </row>
    <row r="13" spans="2:28">
      <c r="B13" s="169"/>
      <c r="C13" s="277" t="s">
        <v>76</v>
      </c>
      <c r="D13" s="276" t="s">
        <v>136</v>
      </c>
      <c r="E13" s="117">
        <f t="shared" si="0"/>
        <v>0</v>
      </c>
      <c r="F13" s="117">
        <f t="shared" si="0"/>
        <v>0</v>
      </c>
      <c r="G13" s="117">
        <f t="shared" si="0"/>
        <v>15</v>
      </c>
      <c r="H13" s="117">
        <f t="shared" si="0"/>
        <v>15</v>
      </c>
      <c r="I13" s="117">
        <f t="shared" si="0"/>
        <v>0</v>
      </c>
      <c r="J13" s="117">
        <f t="shared" si="0"/>
        <v>11</v>
      </c>
      <c r="K13" s="117">
        <f t="shared" si="0"/>
        <v>0</v>
      </c>
      <c r="L13" s="117">
        <f t="shared" si="0"/>
        <v>26</v>
      </c>
      <c r="M13" s="117">
        <f t="shared" si="0"/>
        <v>0</v>
      </c>
      <c r="N13" s="117">
        <f t="shared" si="0"/>
        <v>30</v>
      </c>
      <c r="O13" s="117">
        <f t="shared" si="1"/>
        <v>25</v>
      </c>
      <c r="P13" s="117">
        <f t="shared" si="1"/>
        <v>24</v>
      </c>
      <c r="Q13" s="117">
        <f t="shared" si="1"/>
        <v>24</v>
      </c>
      <c r="R13" s="117">
        <f t="shared" si="1"/>
        <v>7</v>
      </c>
      <c r="S13" s="117">
        <f t="shared" si="1"/>
        <v>7</v>
      </c>
      <c r="T13" s="117">
        <f t="shared" si="1"/>
        <v>7</v>
      </c>
      <c r="U13" s="117">
        <f t="shared" si="1"/>
        <v>8</v>
      </c>
      <c r="V13" s="117">
        <f t="shared" si="1"/>
        <v>21</v>
      </c>
      <c r="W13" s="117">
        <f t="shared" si="1"/>
        <v>28</v>
      </c>
      <c r="X13" s="117">
        <f t="shared" si="1"/>
        <v>32</v>
      </c>
      <c r="Y13" s="117">
        <f t="shared" si="1"/>
        <v>8</v>
      </c>
      <c r="Z13" s="117">
        <f t="shared" si="1"/>
        <v>52</v>
      </c>
      <c r="AA13" s="186">
        <f t="shared" si="2"/>
        <v>340</v>
      </c>
      <c r="AB13" s="116" t="str">
        <f t="shared" si="3"/>
        <v>Valverde</v>
      </c>
    </row>
    <row r="14" spans="2:28">
      <c r="B14" s="169"/>
      <c r="C14" s="277" t="s">
        <v>95</v>
      </c>
      <c r="D14" s="276" t="s">
        <v>136</v>
      </c>
      <c r="E14" s="117">
        <f t="shared" ref="E14:N20" si="4">INDEX(scorematrix,MATCH($C14,renners,0),MATCH(E$3,etappes,0))</f>
        <v>6</v>
      </c>
      <c r="F14" s="117">
        <f t="shared" si="4"/>
        <v>18</v>
      </c>
      <c r="G14" s="117">
        <f t="shared" si="4"/>
        <v>28</v>
      </c>
      <c r="H14" s="117">
        <f t="shared" si="4"/>
        <v>8</v>
      </c>
      <c r="I14" s="117">
        <f t="shared" si="4"/>
        <v>8</v>
      </c>
      <c r="J14" s="117">
        <f t="shared" si="4"/>
        <v>8</v>
      </c>
      <c r="K14" s="117">
        <f t="shared" si="4"/>
        <v>8</v>
      </c>
      <c r="L14" s="117">
        <f t="shared" si="4"/>
        <v>24</v>
      </c>
      <c r="M14" s="117">
        <f t="shared" si="4"/>
        <v>0.1</v>
      </c>
      <c r="N14" s="117">
        <f t="shared" si="4"/>
        <v>25</v>
      </c>
      <c r="O14" s="117">
        <f t="shared" ref="O14:Z20" si="5">INDEX(scorematrix,MATCH($C14,renners,0),MATCH(O$3,etappes,0))</f>
        <v>22</v>
      </c>
      <c r="P14" s="117">
        <f t="shared" si="5"/>
        <v>22</v>
      </c>
      <c r="Q14" s="117">
        <f t="shared" si="5"/>
        <v>25</v>
      </c>
      <c r="R14" s="117">
        <f t="shared" si="5"/>
        <v>8</v>
      </c>
      <c r="S14" s="117">
        <f t="shared" si="5"/>
        <v>8</v>
      </c>
      <c r="T14" s="117">
        <f t="shared" si="5"/>
        <v>8</v>
      </c>
      <c r="U14" s="117">
        <f t="shared" si="5"/>
        <v>0</v>
      </c>
      <c r="V14" s="117">
        <f t="shared" si="5"/>
        <v>0</v>
      </c>
      <c r="W14" s="117">
        <f t="shared" si="5"/>
        <v>0</v>
      </c>
      <c r="X14" s="117">
        <f t="shared" si="5"/>
        <v>0</v>
      </c>
      <c r="Y14" s="117">
        <f t="shared" si="5"/>
        <v>0</v>
      </c>
      <c r="Z14" s="117">
        <f t="shared" si="5"/>
        <v>0</v>
      </c>
      <c r="AA14" s="186">
        <f t="shared" si="2"/>
        <v>226.1</v>
      </c>
      <c r="AB14" s="116" t="str">
        <f t="shared" si="3"/>
        <v>van Garderen</v>
      </c>
    </row>
    <row r="15" spans="2:28">
      <c r="B15" s="169"/>
      <c r="C15" s="277" t="s">
        <v>45</v>
      </c>
      <c r="D15" s="276" t="s">
        <v>11</v>
      </c>
      <c r="E15" s="117">
        <f t="shared" si="4"/>
        <v>0</v>
      </c>
      <c r="F15" s="117">
        <f t="shared" si="4"/>
        <v>26</v>
      </c>
      <c r="G15" s="117">
        <f t="shared" si="4"/>
        <v>2</v>
      </c>
      <c r="H15" s="117">
        <f t="shared" si="4"/>
        <v>15</v>
      </c>
      <c r="I15" s="117">
        <f t="shared" si="4"/>
        <v>28</v>
      </c>
      <c r="J15" s="117">
        <f t="shared" si="4"/>
        <v>2</v>
      </c>
      <c r="K15" s="117">
        <f t="shared" si="4"/>
        <v>38</v>
      </c>
      <c r="L15" s="117">
        <f t="shared" si="4"/>
        <v>3</v>
      </c>
      <c r="M15" s="117">
        <f t="shared" si="4"/>
        <v>0</v>
      </c>
      <c r="N15" s="117">
        <f t="shared" si="4"/>
        <v>3</v>
      </c>
      <c r="O15" s="117">
        <f t="shared" si="5"/>
        <v>2</v>
      </c>
      <c r="P15" s="117">
        <f t="shared" si="5"/>
        <v>2</v>
      </c>
      <c r="Q15" s="117">
        <f t="shared" si="5"/>
        <v>2</v>
      </c>
      <c r="R15" s="117">
        <f t="shared" si="5"/>
        <v>2</v>
      </c>
      <c r="S15" s="117">
        <f t="shared" si="5"/>
        <v>2</v>
      </c>
      <c r="T15" s="117">
        <f t="shared" si="5"/>
        <v>2</v>
      </c>
      <c r="U15" s="117">
        <f t="shared" si="5"/>
        <v>2</v>
      </c>
      <c r="V15" s="117">
        <f t="shared" si="5"/>
        <v>2</v>
      </c>
      <c r="W15" s="117">
        <f t="shared" si="5"/>
        <v>2</v>
      </c>
      <c r="X15" s="117">
        <f t="shared" si="5"/>
        <v>2</v>
      </c>
      <c r="Y15" s="117">
        <f t="shared" si="5"/>
        <v>22</v>
      </c>
      <c r="Z15" s="117">
        <f t="shared" si="5"/>
        <v>3</v>
      </c>
      <c r="AA15" s="186">
        <f t="shared" si="2"/>
        <v>162</v>
      </c>
      <c r="AB15" s="116" t="str">
        <f t="shared" si="3"/>
        <v>Cavendish</v>
      </c>
    </row>
    <row r="16" spans="2:28" s="170" customFormat="1">
      <c r="B16" s="169"/>
      <c r="C16" s="277" t="s">
        <v>112</v>
      </c>
      <c r="D16" s="276" t="s">
        <v>11</v>
      </c>
      <c r="E16" s="117">
        <f t="shared" si="4"/>
        <v>0</v>
      </c>
      <c r="F16" s="117">
        <f t="shared" si="4"/>
        <v>0</v>
      </c>
      <c r="G16" s="117">
        <f t="shared" si="4"/>
        <v>0</v>
      </c>
      <c r="H16" s="117">
        <f t="shared" si="4"/>
        <v>16</v>
      </c>
      <c r="I16" s="117">
        <f t="shared" si="4"/>
        <v>18</v>
      </c>
      <c r="J16" s="117">
        <f t="shared" si="4"/>
        <v>27</v>
      </c>
      <c r="K16" s="117">
        <f t="shared" si="4"/>
        <v>15</v>
      </c>
      <c r="L16" s="117">
        <f t="shared" si="4"/>
        <v>1</v>
      </c>
      <c r="M16" s="117">
        <f t="shared" si="4"/>
        <v>0</v>
      </c>
      <c r="N16" s="117">
        <f t="shared" si="4"/>
        <v>1</v>
      </c>
      <c r="O16" s="117">
        <f t="shared" si="5"/>
        <v>1</v>
      </c>
      <c r="P16" s="117">
        <f t="shared" si="5"/>
        <v>1</v>
      </c>
      <c r="Q16" s="117">
        <f t="shared" si="5"/>
        <v>1</v>
      </c>
      <c r="R16" s="117">
        <f t="shared" si="5"/>
        <v>1</v>
      </c>
      <c r="S16" s="117">
        <f t="shared" si="5"/>
        <v>12</v>
      </c>
      <c r="T16" s="117">
        <f t="shared" si="5"/>
        <v>1</v>
      </c>
      <c r="U16" s="117">
        <f t="shared" si="5"/>
        <v>1</v>
      </c>
      <c r="V16" s="117">
        <f t="shared" si="5"/>
        <v>1</v>
      </c>
      <c r="W16" s="117">
        <f t="shared" si="5"/>
        <v>0</v>
      </c>
      <c r="X16" s="117">
        <f t="shared" si="5"/>
        <v>0</v>
      </c>
      <c r="Y16" s="117">
        <f t="shared" si="5"/>
        <v>31</v>
      </c>
      <c r="Z16" s="117">
        <f t="shared" si="5"/>
        <v>1</v>
      </c>
      <c r="AA16" s="186">
        <f t="shared" si="2"/>
        <v>129</v>
      </c>
      <c r="AB16" s="116" t="str">
        <f t="shared" si="3"/>
        <v>Coquard</v>
      </c>
    </row>
    <row r="17" spans="2:32">
      <c r="B17" s="169"/>
      <c r="C17" s="277" t="s">
        <v>96</v>
      </c>
      <c r="D17" s="276" t="s">
        <v>11</v>
      </c>
      <c r="E17" s="117">
        <f t="shared" si="4"/>
        <v>0</v>
      </c>
      <c r="F17" s="117">
        <f t="shared" si="4"/>
        <v>0</v>
      </c>
      <c r="G17" s="117">
        <f t="shared" si="4"/>
        <v>0</v>
      </c>
      <c r="H17" s="117">
        <f t="shared" si="4"/>
        <v>33</v>
      </c>
      <c r="I17" s="117">
        <f t="shared" si="4"/>
        <v>23</v>
      </c>
      <c r="J17" s="117">
        <f t="shared" si="4"/>
        <v>27</v>
      </c>
      <c r="K17" s="117">
        <f t="shared" si="4"/>
        <v>26</v>
      </c>
      <c r="L17" s="117">
        <f t="shared" si="4"/>
        <v>2</v>
      </c>
      <c r="M17" s="117">
        <f t="shared" si="4"/>
        <v>0</v>
      </c>
      <c r="N17" s="117">
        <f t="shared" si="4"/>
        <v>2</v>
      </c>
      <c r="O17" s="117">
        <f t="shared" si="5"/>
        <v>3</v>
      </c>
      <c r="P17" s="117">
        <f t="shared" si="5"/>
        <v>3</v>
      </c>
      <c r="Q17" s="117">
        <f t="shared" si="5"/>
        <v>27</v>
      </c>
      <c r="R17" s="117">
        <f t="shared" si="5"/>
        <v>3</v>
      </c>
      <c r="S17" s="117">
        <f t="shared" si="5"/>
        <v>33</v>
      </c>
      <c r="T17" s="117">
        <f t="shared" si="5"/>
        <v>3</v>
      </c>
      <c r="U17" s="117">
        <f t="shared" si="5"/>
        <v>3</v>
      </c>
      <c r="V17" s="117">
        <f t="shared" si="5"/>
        <v>3</v>
      </c>
      <c r="W17" s="117">
        <f t="shared" si="5"/>
        <v>3</v>
      </c>
      <c r="X17" s="117">
        <f t="shared" si="5"/>
        <v>3</v>
      </c>
      <c r="Y17" s="117">
        <f t="shared" si="5"/>
        <v>21</v>
      </c>
      <c r="Z17" s="117">
        <f t="shared" si="5"/>
        <v>5</v>
      </c>
      <c r="AA17" s="186">
        <f t="shared" si="2"/>
        <v>223</v>
      </c>
      <c r="AB17" s="116" t="str">
        <f t="shared" si="3"/>
        <v>Degenkolb</v>
      </c>
    </row>
    <row r="18" spans="2:32" s="170" customFormat="1">
      <c r="B18" s="169"/>
      <c r="C18" s="277" t="s">
        <v>97</v>
      </c>
      <c r="D18" s="276" t="s">
        <v>11</v>
      </c>
      <c r="E18" s="117">
        <f t="shared" si="4"/>
        <v>0</v>
      </c>
      <c r="F18" s="117">
        <f t="shared" si="4"/>
        <v>0</v>
      </c>
      <c r="G18" s="117">
        <f t="shared" si="4"/>
        <v>0</v>
      </c>
      <c r="H18" s="117">
        <f t="shared" si="4"/>
        <v>0</v>
      </c>
      <c r="I18" s="117">
        <f t="shared" si="4"/>
        <v>24</v>
      </c>
      <c r="J18" s="117">
        <f t="shared" si="4"/>
        <v>15</v>
      </c>
      <c r="K18" s="117">
        <f t="shared" si="4"/>
        <v>22</v>
      </c>
      <c r="L18" s="117">
        <f t="shared" si="4"/>
        <v>0</v>
      </c>
      <c r="M18" s="117">
        <f t="shared" si="4"/>
        <v>0</v>
      </c>
      <c r="N18" s="117">
        <f t="shared" si="4"/>
        <v>0</v>
      </c>
      <c r="O18" s="117">
        <f t="shared" si="5"/>
        <v>0</v>
      </c>
      <c r="P18" s="117">
        <f t="shared" si="5"/>
        <v>0</v>
      </c>
      <c r="Q18" s="117">
        <f t="shared" si="5"/>
        <v>0</v>
      </c>
      <c r="R18" s="117">
        <f t="shared" si="5"/>
        <v>0</v>
      </c>
      <c r="S18" s="117">
        <f t="shared" si="5"/>
        <v>26</v>
      </c>
      <c r="T18" s="117">
        <f t="shared" si="5"/>
        <v>0</v>
      </c>
      <c r="U18" s="117">
        <f t="shared" si="5"/>
        <v>0</v>
      </c>
      <c r="V18" s="117">
        <f t="shared" si="5"/>
        <v>0</v>
      </c>
      <c r="W18" s="117">
        <f t="shared" si="5"/>
        <v>0</v>
      </c>
      <c r="X18" s="117">
        <f t="shared" si="5"/>
        <v>0</v>
      </c>
      <c r="Y18" s="117">
        <f t="shared" si="5"/>
        <v>26</v>
      </c>
      <c r="Z18" s="117">
        <f t="shared" si="5"/>
        <v>0</v>
      </c>
      <c r="AA18" s="186">
        <f t="shared" si="2"/>
        <v>113</v>
      </c>
      <c r="AB18" s="116" t="str">
        <f t="shared" si="3"/>
        <v>Kristoff</v>
      </c>
    </row>
    <row r="19" spans="2:32">
      <c r="B19" s="169"/>
      <c r="C19" s="277" t="s">
        <v>125</v>
      </c>
      <c r="D19" s="276" t="s">
        <v>11</v>
      </c>
      <c r="E19" s="117">
        <f t="shared" si="4"/>
        <v>0</v>
      </c>
      <c r="F19" s="117">
        <f t="shared" si="4"/>
        <v>0</v>
      </c>
      <c r="G19" s="117">
        <f t="shared" si="4"/>
        <v>0</v>
      </c>
      <c r="H19" s="117">
        <f t="shared" si="4"/>
        <v>0</v>
      </c>
      <c r="I19" s="117">
        <f t="shared" si="4"/>
        <v>0</v>
      </c>
      <c r="J19" s="117">
        <f t="shared" si="4"/>
        <v>0</v>
      </c>
      <c r="K19" s="117">
        <f t="shared" si="4"/>
        <v>0</v>
      </c>
      <c r="L19" s="117">
        <f t="shared" si="4"/>
        <v>0</v>
      </c>
      <c r="M19" s="117">
        <f t="shared" si="4"/>
        <v>0</v>
      </c>
      <c r="N19" s="117">
        <f t="shared" si="4"/>
        <v>0</v>
      </c>
      <c r="O19" s="117">
        <f t="shared" si="5"/>
        <v>0</v>
      </c>
      <c r="P19" s="117">
        <f t="shared" si="5"/>
        <v>0</v>
      </c>
      <c r="Q19" s="117">
        <f t="shared" si="5"/>
        <v>9</v>
      </c>
      <c r="R19" s="117">
        <f t="shared" si="5"/>
        <v>0</v>
      </c>
      <c r="S19" s="117">
        <f t="shared" si="5"/>
        <v>18</v>
      </c>
      <c r="T19" s="117">
        <f t="shared" si="5"/>
        <v>0</v>
      </c>
      <c r="U19" s="117">
        <f t="shared" si="5"/>
        <v>0</v>
      </c>
      <c r="V19" s="117">
        <f t="shared" si="5"/>
        <v>0</v>
      </c>
      <c r="W19" s="117">
        <f t="shared" si="5"/>
        <v>0</v>
      </c>
      <c r="X19" s="117">
        <f t="shared" si="5"/>
        <v>0</v>
      </c>
      <c r="Y19" s="117">
        <f t="shared" si="5"/>
        <v>17</v>
      </c>
      <c r="Z19" s="117">
        <f t="shared" si="5"/>
        <v>0</v>
      </c>
      <c r="AA19" s="186">
        <f t="shared" si="2"/>
        <v>44</v>
      </c>
      <c r="AB19" s="116" t="str">
        <f>C19</f>
        <v>Matthews</v>
      </c>
    </row>
    <row r="20" spans="2:32" ht="13.5" thickBot="1">
      <c r="B20" s="169"/>
      <c r="C20" s="289" t="s">
        <v>74</v>
      </c>
      <c r="D20" s="276" t="s">
        <v>11</v>
      </c>
      <c r="E20" s="117">
        <f t="shared" si="4"/>
        <v>7</v>
      </c>
      <c r="F20" s="117">
        <f t="shared" si="4"/>
        <v>41</v>
      </c>
      <c r="G20" s="117">
        <f t="shared" si="4"/>
        <v>9</v>
      </c>
      <c r="H20" s="117">
        <f t="shared" si="4"/>
        <v>36</v>
      </c>
      <c r="I20" s="117">
        <f t="shared" si="4"/>
        <v>41</v>
      </c>
      <c r="J20" s="117">
        <f t="shared" si="4"/>
        <v>41</v>
      </c>
      <c r="K20" s="117">
        <f t="shared" si="4"/>
        <v>39</v>
      </c>
      <c r="L20" s="117">
        <f t="shared" si="4"/>
        <v>38</v>
      </c>
      <c r="M20" s="117">
        <f t="shared" si="4"/>
        <v>0</v>
      </c>
      <c r="N20" s="117">
        <f t="shared" si="4"/>
        <v>4</v>
      </c>
      <c r="O20" s="117">
        <f t="shared" si="5"/>
        <v>5</v>
      </c>
      <c r="P20" s="117">
        <f t="shared" si="5"/>
        <v>5</v>
      </c>
      <c r="Q20" s="117">
        <f t="shared" si="5"/>
        <v>35</v>
      </c>
      <c r="R20" s="117">
        <f t="shared" si="5"/>
        <v>27</v>
      </c>
      <c r="S20" s="117">
        <f t="shared" si="5"/>
        <v>29</v>
      </c>
      <c r="T20" s="117">
        <f t="shared" si="5"/>
        <v>35</v>
      </c>
      <c r="U20" s="117">
        <f t="shared" si="5"/>
        <v>5</v>
      </c>
      <c r="V20" s="117">
        <f t="shared" si="5"/>
        <v>5</v>
      </c>
      <c r="W20" s="117">
        <f t="shared" si="5"/>
        <v>5</v>
      </c>
      <c r="X20" s="117">
        <f t="shared" si="5"/>
        <v>5</v>
      </c>
      <c r="Y20" s="117">
        <f t="shared" si="5"/>
        <v>24</v>
      </c>
      <c r="Z20" s="117">
        <f t="shared" si="5"/>
        <v>10</v>
      </c>
      <c r="AA20" s="186">
        <f t="shared" si="2"/>
        <v>446</v>
      </c>
      <c r="AB20" s="116" t="str">
        <f>C20</f>
        <v>Sagan</v>
      </c>
    </row>
    <row r="21" spans="2:32" s="171" customFormat="1">
      <c r="C21" s="278"/>
      <c r="D21" s="178"/>
      <c r="E21" s="180"/>
      <c r="F21" s="180"/>
      <c r="G21" s="180"/>
      <c r="H21" s="180"/>
      <c r="I21" s="180">
        <f>I26</f>
        <v>0</v>
      </c>
      <c r="J21" s="180"/>
      <c r="K21" s="180"/>
      <c r="L21" s="180"/>
      <c r="M21" s="180"/>
      <c r="N21" s="180"/>
      <c r="O21" s="180"/>
      <c r="P21" s="180">
        <f>P24+P25</f>
        <v>20</v>
      </c>
      <c r="Q21" s="180"/>
      <c r="R21" s="180"/>
      <c r="S21" s="180"/>
      <c r="T21" s="180"/>
      <c r="U21" s="180"/>
      <c r="V21" s="180"/>
      <c r="W21" s="180"/>
      <c r="X21" s="180"/>
      <c r="Y21" s="180"/>
      <c r="Z21" s="180"/>
      <c r="AA21" s="235">
        <f t="shared" si="2"/>
        <v>20</v>
      </c>
      <c r="AF21" s="116" t="str">
        <f>PROPER(AD21)</f>
        <v/>
      </c>
    </row>
    <row r="22" spans="2:32" s="120" customFormat="1">
      <c r="C22" s="179"/>
      <c r="D22" s="179"/>
      <c r="E22" s="172">
        <f t="shared" ref="E22:AA22" si="6">SUM(E4:E21)</f>
        <v>21</v>
      </c>
      <c r="F22" s="172">
        <f t="shared" si="6"/>
        <v>85</v>
      </c>
      <c r="G22" s="172">
        <f t="shared" si="6"/>
        <v>128</v>
      </c>
      <c r="H22" s="172">
        <f t="shared" si="6"/>
        <v>168</v>
      </c>
      <c r="I22" s="172">
        <f t="shared" si="6"/>
        <v>173</v>
      </c>
      <c r="J22" s="172">
        <f t="shared" si="6"/>
        <v>175</v>
      </c>
      <c r="K22" s="172">
        <f t="shared" si="6"/>
        <v>154</v>
      </c>
      <c r="L22" s="172">
        <f t="shared" si="6"/>
        <v>149</v>
      </c>
      <c r="M22" s="172">
        <f t="shared" si="6"/>
        <v>0.1</v>
      </c>
      <c r="N22" s="172">
        <f t="shared" si="6"/>
        <v>96</v>
      </c>
      <c r="O22" s="172">
        <f t="shared" si="6"/>
        <v>142</v>
      </c>
      <c r="P22" s="172">
        <f t="shared" si="6"/>
        <v>201</v>
      </c>
      <c r="Q22" s="172">
        <f t="shared" si="6"/>
        <v>138</v>
      </c>
      <c r="R22" s="172">
        <f t="shared" si="6"/>
        <v>112</v>
      </c>
      <c r="S22" s="172">
        <f t="shared" si="6"/>
        <v>165</v>
      </c>
      <c r="T22" s="172">
        <f t="shared" si="6"/>
        <v>71</v>
      </c>
      <c r="U22" s="172">
        <f t="shared" si="6"/>
        <v>93</v>
      </c>
      <c r="V22" s="172">
        <f t="shared" si="6"/>
        <v>149</v>
      </c>
      <c r="W22" s="172">
        <f t="shared" si="6"/>
        <v>137</v>
      </c>
      <c r="X22" s="172">
        <f t="shared" si="6"/>
        <v>137</v>
      </c>
      <c r="Y22" s="172">
        <f t="shared" si="6"/>
        <v>182</v>
      </c>
      <c r="Z22" s="172">
        <f t="shared" si="6"/>
        <v>196</v>
      </c>
      <c r="AA22" s="236">
        <f t="shared" si="6"/>
        <v>2872.1</v>
      </c>
      <c r="AF22" s="116" t="str">
        <f>PROPER(AD22)</f>
        <v/>
      </c>
    </row>
    <row r="23" spans="2:32" s="173" customFormat="1">
      <c r="C23" s="176"/>
      <c r="D23" s="176"/>
      <c r="E23" s="151"/>
      <c r="F23" s="151"/>
      <c r="G23" s="151"/>
      <c r="H23" s="174"/>
      <c r="I23" s="151"/>
      <c r="J23" s="151"/>
      <c r="K23" s="151"/>
      <c r="L23" s="151"/>
      <c r="M23" s="151"/>
      <c r="N23" s="151"/>
      <c r="O23" s="151"/>
      <c r="P23" s="151"/>
      <c r="Q23" s="151"/>
      <c r="R23" s="151"/>
      <c r="S23" s="151"/>
      <c r="T23" s="151"/>
      <c r="U23" s="151"/>
      <c r="V23" s="151"/>
      <c r="W23" s="151"/>
      <c r="X23" s="151"/>
      <c r="Y23" s="151"/>
      <c r="Z23" s="151"/>
      <c r="AA23" s="237"/>
      <c r="AD23" s="116"/>
    </row>
    <row r="24" spans="2:32" s="175" customFormat="1">
      <c r="B24" s="169"/>
      <c r="C24" s="279" t="s">
        <v>131</v>
      </c>
      <c r="D24" s="279" t="s">
        <v>10</v>
      </c>
      <c r="E24" s="193">
        <f t="shared" ref="E24:Z26" si="7">INDEX(scorematrix,MATCH($C24,renners,0),MATCH(E$3,etappes,0))</f>
        <v>15</v>
      </c>
      <c r="F24" s="193">
        <f t="shared" si="7"/>
        <v>0</v>
      </c>
      <c r="G24" s="193">
        <f t="shared" si="7"/>
        <v>12</v>
      </c>
      <c r="H24" s="193">
        <f t="shared" si="7"/>
        <v>12</v>
      </c>
      <c r="I24" s="193">
        <f t="shared" si="7"/>
        <v>0</v>
      </c>
      <c r="J24" s="193">
        <f t="shared" si="7"/>
        <v>14</v>
      </c>
      <c r="K24" s="193">
        <f t="shared" si="7"/>
        <v>0</v>
      </c>
      <c r="L24" s="193">
        <f t="shared" si="7"/>
        <v>7</v>
      </c>
      <c r="M24" s="193">
        <f t="shared" si="7"/>
        <v>0</v>
      </c>
      <c r="N24" s="193">
        <f t="shared" si="7"/>
        <v>29</v>
      </c>
      <c r="O24" s="193">
        <f t="shared" si="7"/>
        <v>15</v>
      </c>
      <c r="P24" s="234">
        <f t="shared" si="7"/>
        <v>12</v>
      </c>
      <c r="Q24" s="193">
        <f t="shared" si="7"/>
        <v>17</v>
      </c>
      <c r="R24" s="193">
        <f t="shared" si="7"/>
        <v>4</v>
      </c>
      <c r="S24" s="193">
        <f t="shared" si="7"/>
        <v>4</v>
      </c>
      <c r="T24" s="193">
        <f t="shared" si="7"/>
        <v>4</v>
      </c>
      <c r="U24" s="193">
        <f t="shared" si="7"/>
        <v>5</v>
      </c>
      <c r="V24" s="193">
        <f t="shared" si="7"/>
        <v>20</v>
      </c>
      <c r="W24" s="193">
        <f t="shared" si="7"/>
        <v>23</v>
      </c>
      <c r="X24" s="193">
        <f t="shared" si="7"/>
        <v>11</v>
      </c>
      <c r="Y24" s="193">
        <f t="shared" si="7"/>
        <v>5</v>
      </c>
      <c r="Z24" s="193">
        <f t="shared" si="7"/>
        <v>40</v>
      </c>
      <c r="AA24" s="238">
        <f>SUM(E24:Z24)</f>
        <v>249</v>
      </c>
      <c r="AD24" s="181"/>
      <c r="AF24" s="181"/>
    </row>
    <row r="25" spans="2:32" s="175" customFormat="1">
      <c r="B25" s="169"/>
      <c r="C25" s="279" t="s">
        <v>55</v>
      </c>
      <c r="D25" s="279" t="s">
        <v>10</v>
      </c>
      <c r="E25" s="193">
        <f t="shared" si="7"/>
        <v>12</v>
      </c>
      <c r="F25" s="193">
        <f t="shared" si="7"/>
        <v>0</v>
      </c>
      <c r="G25" s="193">
        <f t="shared" si="7"/>
        <v>16</v>
      </c>
      <c r="H25" s="193">
        <f t="shared" si="7"/>
        <v>10</v>
      </c>
      <c r="I25" s="193">
        <f t="shared" si="7"/>
        <v>0</v>
      </c>
      <c r="J25" s="193">
        <f t="shared" si="7"/>
        <v>0</v>
      </c>
      <c r="K25" s="193">
        <f t="shared" si="7"/>
        <v>0</v>
      </c>
      <c r="L25" s="193">
        <f t="shared" si="7"/>
        <v>18</v>
      </c>
      <c r="M25" s="193">
        <f t="shared" si="7"/>
        <v>0</v>
      </c>
      <c r="N25" s="193">
        <f t="shared" si="7"/>
        <v>9</v>
      </c>
      <c r="O25" s="193">
        <f t="shared" si="7"/>
        <v>20</v>
      </c>
      <c r="P25" s="234">
        <f t="shared" si="7"/>
        <v>8</v>
      </c>
      <c r="Q25" s="193">
        <f t="shared" si="7"/>
        <v>1</v>
      </c>
      <c r="R25" s="193">
        <f t="shared" si="7"/>
        <v>1</v>
      </c>
      <c r="S25" s="193">
        <f t="shared" si="7"/>
        <v>1</v>
      </c>
      <c r="T25" s="193">
        <f t="shared" si="7"/>
        <v>2</v>
      </c>
      <c r="U25" s="193">
        <f t="shared" si="7"/>
        <v>2</v>
      </c>
      <c r="V25" s="193">
        <f t="shared" si="7"/>
        <v>2</v>
      </c>
      <c r="W25" s="193">
        <f t="shared" si="7"/>
        <v>22</v>
      </c>
      <c r="X25" s="193">
        <f t="shared" si="7"/>
        <v>16</v>
      </c>
      <c r="Y25" s="193">
        <f t="shared" si="7"/>
        <v>4</v>
      </c>
      <c r="Z25" s="193">
        <f t="shared" si="7"/>
        <v>38</v>
      </c>
      <c r="AA25" s="238">
        <f>SUM(E25:Z25)</f>
        <v>182</v>
      </c>
      <c r="AD25" s="181"/>
      <c r="AF25" s="181"/>
    </row>
    <row r="26" spans="2:32" s="175" customFormat="1">
      <c r="B26" s="169"/>
      <c r="C26" s="279" t="s">
        <v>145</v>
      </c>
      <c r="D26" s="279" t="s">
        <v>117</v>
      </c>
      <c r="E26" s="193">
        <f t="shared" si="7"/>
        <v>0</v>
      </c>
      <c r="F26" s="193">
        <f t="shared" si="7"/>
        <v>0</v>
      </c>
      <c r="G26" s="193">
        <f t="shared" si="7"/>
        <v>0</v>
      </c>
      <c r="H26" s="193">
        <f t="shared" si="7"/>
        <v>20</v>
      </c>
      <c r="I26" s="234">
        <f t="shared" si="7"/>
        <v>0</v>
      </c>
      <c r="J26" s="193">
        <f t="shared" si="7"/>
        <v>0</v>
      </c>
      <c r="K26" s="193">
        <f t="shared" si="7"/>
        <v>0</v>
      </c>
      <c r="L26" s="193">
        <f t="shared" si="7"/>
        <v>0</v>
      </c>
      <c r="M26" s="193">
        <f t="shared" si="7"/>
        <v>0</v>
      </c>
      <c r="N26" s="193">
        <f t="shared" si="7"/>
        <v>0</v>
      </c>
      <c r="O26" s="193">
        <f t="shared" si="7"/>
        <v>0</v>
      </c>
      <c r="P26" s="193">
        <f t="shared" si="7"/>
        <v>0</v>
      </c>
      <c r="Q26" s="193">
        <f t="shared" si="7"/>
        <v>0</v>
      </c>
      <c r="R26" s="193">
        <f t="shared" si="7"/>
        <v>0</v>
      </c>
      <c r="S26" s="193">
        <f t="shared" si="7"/>
        <v>0</v>
      </c>
      <c r="T26" s="193">
        <f t="shared" si="7"/>
        <v>0</v>
      </c>
      <c r="U26" s="193">
        <f t="shared" si="7"/>
        <v>0</v>
      </c>
      <c r="V26" s="193">
        <f t="shared" si="7"/>
        <v>0</v>
      </c>
      <c r="W26" s="193">
        <f t="shared" si="7"/>
        <v>0</v>
      </c>
      <c r="X26" s="193">
        <f t="shared" si="7"/>
        <v>0</v>
      </c>
      <c r="Y26" s="193">
        <f t="shared" si="7"/>
        <v>0</v>
      </c>
      <c r="Z26" s="193">
        <f t="shared" si="7"/>
        <v>0</v>
      </c>
      <c r="AA26" s="238">
        <f>SUM(E26:Z26)</f>
        <v>20</v>
      </c>
      <c r="AF26" s="181"/>
    </row>
    <row r="28" spans="2:32">
      <c r="C28" s="301" t="s">
        <v>136</v>
      </c>
      <c r="D28" s="302">
        <f>COUNTIF($D$4:$D$21,C28)</f>
        <v>10</v>
      </c>
    </row>
    <row r="29" spans="2:32">
      <c r="C29" s="303" t="s">
        <v>11</v>
      </c>
      <c r="D29" s="302">
        <f>COUNTIF($D$4:$D$21,C29)</f>
        <v>6</v>
      </c>
    </row>
    <row r="30" spans="2:32">
      <c r="C30" s="303" t="s">
        <v>117</v>
      </c>
      <c r="D30" s="302">
        <f>COUNTIF($D$4:$D$21,C30)</f>
        <v>1</v>
      </c>
    </row>
  </sheetData>
  <sortState ref="C4:D20">
    <sortCondition ref="D4:D20"/>
  </sortState>
  <phoneticPr fontId="0" type="noConversion"/>
  <dataValidations count="1">
    <dataValidation type="list" allowBlank="1" showInputMessage="1" showErrorMessage="1" prompt="selecteer type renner:" sqref="D24:D26 D4:D20">
      <formula1>type_renner</formula1>
    </dataValidation>
  </dataValidations>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sheetPr codeName="Blad15" enableFormatConditionsCalculation="0">
    <tabColor indexed="39"/>
  </sheetPr>
  <dimension ref="B1:AB29"/>
  <sheetViews>
    <sheetView showZeros="0" workbookViewId="0">
      <selection activeCell="Y31" sqref="Y31"/>
    </sheetView>
  </sheetViews>
  <sheetFormatPr defaultRowHeight="12.75"/>
  <cols>
    <col min="1" max="1" width="2.7109375" style="116" customWidth="1"/>
    <col min="2" max="2" width="8.85546875" style="116" customWidth="1"/>
    <col min="3" max="4" width="13" style="116" customWidth="1"/>
    <col min="5" max="7" width="5" style="117" customWidth="1"/>
    <col min="8" max="8" width="5" style="148" customWidth="1"/>
    <col min="9" max="16" width="5" style="136" customWidth="1"/>
    <col min="17" max="17" width="5" style="134" customWidth="1"/>
    <col min="18" max="26" width="5" style="116" customWidth="1"/>
    <col min="27" max="27" width="5" style="120" customWidth="1"/>
    <col min="28" max="28" width="15" style="116" customWidth="1"/>
    <col min="29" max="16384" width="9.140625" style="116"/>
  </cols>
  <sheetData>
    <row r="1" spans="2:28">
      <c r="B1" s="207"/>
      <c r="C1" s="201" t="s">
        <v>103</v>
      </c>
      <c r="D1" s="201"/>
      <c r="E1" s="136"/>
    </row>
    <row r="2" spans="2:28">
      <c r="B2" s="207"/>
      <c r="C2" s="202"/>
      <c r="D2" s="202"/>
      <c r="H2" s="136"/>
    </row>
    <row r="3" spans="2:28" s="134" customFormat="1" ht="13.5" thickBot="1">
      <c r="B3" s="209"/>
      <c r="C3" s="214" t="s">
        <v>78</v>
      </c>
      <c r="D3" s="214"/>
      <c r="E3" s="119">
        <v>1</v>
      </c>
      <c r="F3" s="119">
        <v>2</v>
      </c>
      <c r="G3" s="119">
        <v>3</v>
      </c>
      <c r="H3" s="119">
        <v>4</v>
      </c>
      <c r="I3" s="119">
        <v>5</v>
      </c>
      <c r="J3" s="119">
        <v>6</v>
      </c>
      <c r="K3" s="119">
        <v>7</v>
      </c>
      <c r="L3" s="119">
        <v>8</v>
      </c>
      <c r="M3" s="119">
        <v>9</v>
      </c>
      <c r="N3" s="119">
        <v>10</v>
      </c>
      <c r="O3" s="119">
        <v>11</v>
      </c>
      <c r="P3" s="119">
        <v>12</v>
      </c>
      <c r="Q3" s="119">
        <v>13</v>
      </c>
      <c r="R3" s="119">
        <v>14</v>
      </c>
      <c r="S3" s="119">
        <v>15</v>
      </c>
      <c r="T3" s="119">
        <v>16</v>
      </c>
      <c r="U3" s="119">
        <v>17</v>
      </c>
      <c r="V3" s="119">
        <v>18</v>
      </c>
      <c r="W3" s="119">
        <v>19</v>
      </c>
      <c r="X3" s="119">
        <v>20</v>
      </c>
      <c r="Y3" s="119">
        <v>21</v>
      </c>
      <c r="Z3" s="119" t="s">
        <v>1</v>
      </c>
      <c r="AA3" s="154"/>
    </row>
    <row r="4" spans="2:28">
      <c r="B4" s="210"/>
      <c r="C4" s="203"/>
      <c r="D4" s="270"/>
      <c r="E4" s="117" t="e">
        <f t="shared" ref="E4:N13" si="0">INDEX(scorematrix,MATCH($C4,renners,0),MATCH(E$3,etappes,0))</f>
        <v>#N/A</v>
      </c>
      <c r="F4" s="117" t="e">
        <f t="shared" si="0"/>
        <v>#N/A</v>
      </c>
      <c r="G4" s="117" t="e">
        <f t="shared" si="0"/>
        <v>#N/A</v>
      </c>
      <c r="H4" s="117" t="e">
        <f t="shared" si="0"/>
        <v>#N/A</v>
      </c>
      <c r="I4" s="117" t="e">
        <f t="shared" si="0"/>
        <v>#N/A</v>
      </c>
      <c r="J4" s="117" t="e">
        <f t="shared" si="0"/>
        <v>#N/A</v>
      </c>
      <c r="K4" s="117" t="e">
        <f t="shared" si="0"/>
        <v>#N/A</v>
      </c>
      <c r="L4" s="117" t="e">
        <f t="shared" si="0"/>
        <v>#N/A</v>
      </c>
      <c r="M4" s="117" t="e">
        <f t="shared" si="0"/>
        <v>#N/A</v>
      </c>
      <c r="N4" s="117" t="e">
        <f t="shared" si="0"/>
        <v>#N/A</v>
      </c>
      <c r="O4" s="117" t="e">
        <f t="shared" ref="O4:Z13" si="1">INDEX(scorematrix,MATCH($C4,renners,0),MATCH(O$3,etappes,0))</f>
        <v>#N/A</v>
      </c>
      <c r="P4" s="117" t="e">
        <f t="shared" si="1"/>
        <v>#N/A</v>
      </c>
      <c r="Q4" s="117" t="e">
        <f t="shared" si="1"/>
        <v>#N/A</v>
      </c>
      <c r="R4" s="117" t="e">
        <f t="shared" si="1"/>
        <v>#N/A</v>
      </c>
      <c r="S4" s="117" t="e">
        <f t="shared" si="1"/>
        <v>#N/A</v>
      </c>
      <c r="T4" s="117" t="e">
        <f t="shared" si="1"/>
        <v>#N/A</v>
      </c>
      <c r="U4" s="117" t="e">
        <f t="shared" si="1"/>
        <v>#N/A</v>
      </c>
      <c r="V4" s="117" t="e">
        <f t="shared" si="1"/>
        <v>#N/A</v>
      </c>
      <c r="W4" s="117" t="e">
        <f t="shared" si="1"/>
        <v>#N/A</v>
      </c>
      <c r="X4" s="117" t="e">
        <f t="shared" si="1"/>
        <v>#N/A</v>
      </c>
      <c r="Y4" s="117" t="e">
        <f t="shared" si="1"/>
        <v>#N/A</v>
      </c>
      <c r="Z4" s="117" t="e">
        <f t="shared" si="1"/>
        <v>#N/A</v>
      </c>
      <c r="AA4" s="186" t="e">
        <f t="shared" ref="AA4:AA21" si="2">SUM(E4:Z4)</f>
        <v>#N/A</v>
      </c>
      <c r="AB4" s="116">
        <f t="shared" ref="AB4:AB18" si="3">C4</f>
        <v>0</v>
      </c>
    </row>
    <row r="5" spans="2:28">
      <c r="B5" s="210"/>
      <c r="C5" s="204"/>
      <c r="D5" s="270"/>
      <c r="E5" s="117" t="e">
        <f t="shared" si="0"/>
        <v>#N/A</v>
      </c>
      <c r="F5" s="117" t="e">
        <f t="shared" si="0"/>
        <v>#N/A</v>
      </c>
      <c r="G5" s="117" t="e">
        <f t="shared" si="0"/>
        <v>#N/A</v>
      </c>
      <c r="H5" s="117" t="e">
        <f t="shared" si="0"/>
        <v>#N/A</v>
      </c>
      <c r="I5" s="117" t="e">
        <f t="shared" si="0"/>
        <v>#N/A</v>
      </c>
      <c r="J5" s="117" t="e">
        <f t="shared" si="0"/>
        <v>#N/A</v>
      </c>
      <c r="K5" s="117" t="e">
        <f t="shared" si="0"/>
        <v>#N/A</v>
      </c>
      <c r="L5" s="117" t="e">
        <f t="shared" si="0"/>
        <v>#N/A</v>
      </c>
      <c r="M5" s="117" t="e">
        <f t="shared" si="0"/>
        <v>#N/A</v>
      </c>
      <c r="N5" s="117" t="e">
        <f t="shared" si="0"/>
        <v>#N/A</v>
      </c>
      <c r="O5" s="117" t="e">
        <f t="shared" si="1"/>
        <v>#N/A</v>
      </c>
      <c r="P5" s="117" t="e">
        <f t="shared" si="1"/>
        <v>#N/A</v>
      </c>
      <c r="Q5" s="117" t="e">
        <f t="shared" si="1"/>
        <v>#N/A</v>
      </c>
      <c r="R5" s="117" t="e">
        <f t="shared" si="1"/>
        <v>#N/A</v>
      </c>
      <c r="S5" s="117" t="e">
        <f t="shared" si="1"/>
        <v>#N/A</v>
      </c>
      <c r="T5" s="117" t="e">
        <f t="shared" si="1"/>
        <v>#N/A</v>
      </c>
      <c r="U5" s="117" t="e">
        <f t="shared" si="1"/>
        <v>#N/A</v>
      </c>
      <c r="V5" s="117" t="e">
        <f t="shared" si="1"/>
        <v>#N/A</v>
      </c>
      <c r="W5" s="117" t="e">
        <f t="shared" si="1"/>
        <v>#N/A</v>
      </c>
      <c r="X5" s="117" t="e">
        <f t="shared" si="1"/>
        <v>#N/A</v>
      </c>
      <c r="Y5" s="117" t="e">
        <f t="shared" si="1"/>
        <v>#N/A</v>
      </c>
      <c r="Z5" s="117" t="e">
        <f t="shared" si="1"/>
        <v>#N/A</v>
      </c>
      <c r="AA5" s="186" t="e">
        <f t="shared" si="2"/>
        <v>#N/A</v>
      </c>
      <c r="AB5" s="116">
        <f t="shared" si="3"/>
        <v>0</v>
      </c>
    </row>
    <row r="6" spans="2:28">
      <c r="B6" s="210"/>
      <c r="C6" s="204"/>
      <c r="D6" s="270"/>
      <c r="E6" s="117" t="e">
        <f t="shared" si="0"/>
        <v>#N/A</v>
      </c>
      <c r="F6" s="117" t="e">
        <f t="shared" si="0"/>
        <v>#N/A</v>
      </c>
      <c r="G6" s="117" t="e">
        <f t="shared" si="0"/>
        <v>#N/A</v>
      </c>
      <c r="H6" s="117" t="e">
        <f t="shared" si="0"/>
        <v>#N/A</v>
      </c>
      <c r="I6" s="117" t="e">
        <f t="shared" si="0"/>
        <v>#N/A</v>
      </c>
      <c r="J6" s="117" t="e">
        <f t="shared" si="0"/>
        <v>#N/A</v>
      </c>
      <c r="K6" s="117" t="e">
        <f t="shared" si="0"/>
        <v>#N/A</v>
      </c>
      <c r="L6" s="117" t="e">
        <f t="shared" si="0"/>
        <v>#N/A</v>
      </c>
      <c r="M6" s="117" t="e">
        <f t="shared" si="0"/>
        <v>#N/A</v>
      </c>
      <c r="N6" s="117" t="e">
        <f t="shared" si="0"/>
        <v>#N/A</v>
      </c>
      <c r="O6" s="117" t="e">
        <f t="shared" si="1"/>
        <v>#N/A</v>
      </c>
      <c r="P6" s="117" t="e">
        <f t="shared" si="1"/>
        <v>#N/A</v>
      </c>
      <c r="Q6" s="117" t="e">
        <f t="shared" si="1"/>
        <v>#N/A</v>
      </c>
      <c r="R6" s="117" t="e">
        <f t="shared" si="1"/>
        <v>#N/A</v>
      </c>
      <c r="S6" s="117" t="e">
        <f t="shared" si="1"/>
        <v>#N/A</v>
      </c>
      <c r="T6" s="117" t="e">
        <f t="shared" si="1"/>
        <v>#N/A</v>
      </c>
      <c r="U6" s="117" t="e">
        <f t="shared" si="1"/>
        <v>#N/A</v>
      </c>
      <c r="V6" s="117" t="e">
        <f t="shared" si="1"/>
        <v>#N/A</v>
      </c>
      <c r="W6" s="117" t="e">
        <f t="shared" si="1"/>
        <v>#N/A</v>
      </c>
      <c r="X6" s="117" t="e">
        <f t="shared" si="1"/>
        <v>#N/A</v>
      </c>
      <c r="Y6" s="117" t="e">
        <f t="shared" si="1"/>
        <v>#N/A</v>
      </c>
      <c r="Z6" s="117" t="e">
        <f t="shared" si="1"/>
        <v>#N/A</v>
      </c>
      <c r="AA6" s="186" t="e">
        <f t="shared" si="2"/>
        <v>#N/A</v>
      </c>
      <c r="AB6" s="116">
        <f t="shared" si="3"/>
        <v>0</v>
      </c>
    </row>
    <row r="7" spans="2:28">
      <c r="B7" s="210"/>
      <c r="C7" s="204"/>
      <c r="D7" s="270"/>
      <c r="E7" s="117" t="e">
        <f t="shared" si="0"/>
        <v>#N/A</v>
      </c>
      <c r="F7" s="117" t="e">
        <f t="shared" si="0"/>
        <v>#N/A</v>
      </c>
      <c r="G7" s="117" t="e">
        <f t="shared" si="0"/>
        <v>#N/A</v>
      </c>
      <c r="H7" s="117" t="e">
        <f t="shared" si="0"/>
        <v>#N/A</v>
      </c>
      <c r="I7" s="117" t="e">
        <f t="shared" si="0"/>
        <v>#N/A</v>
      </c>
      <c r="J7" s="117" t="e">
        <f t="shared" si="0"/>
        <v>#N/A</v>
      </c>
      <c r="K7" s="117" t="e">
        <f t="shared" si="0"/>
        <v>#N/A</v>
      </c>
      <c r="L7" s="117" t="e">
        <f t="shared" si="0"/>
        <v>#N/A</v>
      </c>
      <c r="M7" s="117" t="e">
        <f t="shared" si="0"/>
        <v>#N/A</v>
      </c>
      <c r="N7" s="117" t="e">
        <f t="shared" si="0"/>
        <v>#N/A</v>
      </c>
      <c r="O7" s="117" t="e">
        <f t="shared" si="1"/>
        <v>#N/A</v>
      </c>
      <c r="P7" s="117" t="e">
        <f t="shared" si="1"/>
        <v>#N/A</v>
      </c>
      <c r="Q7" s="117" t="e">
        <f t="shared" si="1"/>
        <v>#N/A</v>
      </c>
      <c r="R7" s="117" t="e">
        <f t="shared" si="1"/>
        <v>#N/A</v>
      </c>
      <c r="S7" s="117" t="e">
        <f t="shared" si="1"/>
        <v>#N/A</v>
      </c>
      <c r="T7" s="117" t="e">
        <f t="shared" si="1"/>
        <v>#N/A</v>
      </c>
      <c r="U7" s="117" t="e">
        <f t="shared" si="1"/>
        <v>#N/A</v>
      </c>
      <c r="V7" s="117" t="e">
        <f t="shared" si="1"/>
        <v>#N/A</v>
      </c>
      <c r="W7" s="117" t="e">
        <f t="shared" si="1"/>
        <v>#N/A</v>
      </c>
      <c r="X7" s="117" t="e">
        <f t="shared" si="1"/>
        <v>#N/A</v>
      </c>
      <c r="Y7" s="117" t="e">
        <f t="shared" si="1"/>
        <v>#N/A</v>
      </c>
      <c r="Z7" s="117" t="e">
        <f t="shared" si="1"/>
        <v>#N/A</v>
      </c>
      <c r="AA7" s="186" t="e">
        <f t="shared" si="2"/>
        <v>#N/A</v>
      </c>
      <c r="AB7" s="116">
        <f t="shared" si="3"/>
        <v>0</v>
      </c>
    </row>
    <row r="8" spans="2:28">
      <c r="B8" s="210"/>
      <c r="C8" s="204"/>
      <c r="D8" s="270"/>
      <c r="E8" s="117" t="e">
        <f t="shared" si="0"/>
        <v>#N/A</v>
      </c>
      <c r="F8" s="117" t="e">
        <f t="shared" si="0"/>
        <v>#N/A</v>
      </c>
      <c r="G8" s="117" t="e">
        <f t="shared" si="0"/>
        <v>#N/A</v>
      </c>
      <c r="H8" s="117" t="e">
        <f t="shared" si="0"/>
        <v>#N/A</v>
      </c>
      <c r="I8" s="117" t="e">
        <f t="shared" si="0"/>
        <v>#N/A</v>
      </c>
      <c r="J8" s="117" t="e">
        <f t="shared" si="0"/>
        <v>#N/A</v>
      </c>
      <c r="K8" s="117" t="e">
        <f t="shared" si="0"/>
        <v>#N/A</v>
      </c>
      <c r="L8" s="117" t="e">
        <f t="shared" si="0"/>
        <v>#N/A</v>
      </c>
      <c r="M8" s="117" t="e">
        <f t="shared" si="0"/>
        <v>#N/A</v>
      </c>
      <c r="N8" s="117" t="e">
        <f t="shared" si="0"/>
        <v>#N/A</v>
      </c>
      <c r="O8" s="117" t="e">
        <f t="shared" si="1"/>
        <v>#N/A</v>
      </c>
      <c r="P8" s="117" t="e">
        <f t="shared" si="1"/>
        <v>#N/A</v>
      </c>
      <c r="Q8" s="117" t="e">
        <f t="shared" si="1"/>
        <v>#N/A</v>
      </c>
      <c r="R8" s="117" t="e">
        <f t="shared" si="1"/>
        <v>#N/A</v>
      </c>
      <c r="S8" s="117" t="e">
        <f t="shared" si="1"/>
        <v>#N/A</v>
      </c>
      <c r="T8" s="117" t="e">
        <f t="shared" si="1"/>
        <v>#N/A</v>
      </c>
      <c r="U8" s="117" t="e">
        <f t="shared" si="1"/>
        <v>#N/A</v>
      </c>
      <c r="V8" s="117" t="e">
        <f t="shared" si="1"/>
        <v>#N/A</v>
      </c>
      <c r="W8" s="117" t="e">
        <f t="shared" si="1"/>
        <v>#N/A</v>
      </c>
      <c r="X8" s="117" t="e">
        <f t="shared" si="1"/>
        <v>#N/A</v>
      </c>
      <c r="Y8" s="117" t="e">
        <f t="shared" si="1"/>
        <v>#N/A</v>
      </c>
      <c r="Z8" s="117" t="e">
        <f t="shared" si="1"/>
        <v>#N/A</v>
      </c>
      <c r="AA8" s="186" t="e">
        <f t="shared" si="2"/>
        <v>#N/A</v>
      </c>
      <c r="AB8" s="116">
        <f t="shared" si="3"/>
        <v>0</v>
      </c>
    </row>
    <row r="9" spans="2:28">
      <c r="B9" s="210"/>
      <c r="C9" s="204"/>
      <c r="D9" s="270"/>
      <c r="E9" s="117" t="e">
        <f t="shared" si="0"/>
        <v>#N/A</v>
      </c>
      <c r="F9" s="117" t="e">
        <f t="shared" si="0"/>
        <v>#N/A</v>
      </c>
      <c r="G9" s="117" t="e">
        <f t="shared" si="0"/>
        <v>#N/A</v>
      </c>
      <c r="H9" s="117" t="e">
        <f t="shared" si="0"/>
        <v>#N/A</v>
      </c>
      <c r="I9" s="117" t="e">
        <f t="shared" si="0"/>
        <v>#N/A</v>
      </c>
      <c r="J9" s="117" t="e">
        <f t="shared" si="0"/>
        <v>#N/A</v>
      </c>
      <c r="K9" s="117" t="e">
        <f t="shared" si="0"/>
        <v>#N/A</v>
      </c>
      <c r="L9" s="117" t="e">
        <f t="shared" si="0"/>
        <v>#N/A</v>
      </c>
      <c r="M9" s="117" t="e">
        <f t="shared" si="0"/>
        <v>#N/A</v>
      </c>
      <c r="N9" s="117" t="e">
        <f t="shared" si="0"/>
        <v>#N/A</v>
      </c>
      <c r="O9" s="117" t="e">
        <f t="shared" si="1"/>
        <v>#N/A</v>
      </c>
      <c r="P9" s="117" t="e">
        <f t="shared" si="1"/>
        <v>#N/A</v>
      </c>
      <c r="Q9" s="117" t="e">
        <f t="shared" si="1"/>
        <v>#N/A</v>
      </c>
      <c r="R9" s="117" t="e">
        <f t="shared" si="1"/>
        <v>#N/A</v>
      </c>
      <c r="S9" s="117" t="e">
        <f t="shared" si="1"/>
        <v>#N/A</v>
      </c>
      <c r="T9" s="117" t="e">
        <f t="shared" si="1"/>
        <v>#N/A</v>
      </c>
      <c r="U9" s="117" t="e">
        <f t="shared" si="1"/>
        <v>#N/A</v>
      </c>
      <c r="V9" s="117" t="e">
        <f t="shared" si="1"/>
        <v>#N/A</v>
      </c>
      <c r="W9" s="117" t="e">
        <f t="shared" si="1"/>
        <v>#N/A</v>
      </c>
      <c r="X9" s="117" t="e">
        <f t="shared" si="1"/>
        <v>#N/A</v>
      </c>
      <c r="Y9" s="117" t="e">
        <f t="shared" si="1"/>
        <v>#N/A</v>
      </c>
      <c r="Z9" s="117" t="e">
        <f t="shared" si="1"/>
        <v>#N/A</v>
      </c>
      <c r="AA9" s="186" t="e">
        <f t="shared" si="2"/>
        <v>#N/A</v>
      </c>
      <c r="AB9" s="116">
        <f t="shared" si="3"/>
        <v>0</v>
      </c>
    </row>
    <row r="10" spans="2:28">
      <c r="B10" s="210"/>
      <c r="C10" s="204"/>
      <c r="D10" s="270"/>
      <c r="E10" s="117" t="e">
        <f t="shared" si="0"/>
        <v>#N/A</v>
      </c>
      <c r="F10" s="117" t="e">
        <f t="shared" si="0"/>
        <v>#N/A</v>
      </c>
      <c r="G10" s="117" t="e">
        <f t="shared" si="0"/>
        <v>#N/A</v>
      </c>
      <c r="H10" s="117" t="e">
        <f t="shared" si="0"/>
        <v>#N/A</v>
      </c>
      <c r="I10" s="117" t="e">
        <f t="shared" si="0"/>
        <v>#N/A</v>
      </c>
      <c r="J10" s="117" t="e">
        <f t="shared" si="0"/>
        <v>#N/A</v>
      </c>
      <c r="K10" s="117" t="e">
        <f t="shared" si="0"/>
        <v>#N/A</v>
      </c>
      <c r="L10" s="117" t="e">
        <f t="shared" si="0"/>
        <v>#N/A</v>
      </c>
      <c r="M10" s="117" t="e">
        <f t="shared" si="0"/>
        <v>#N/A</v>
      </c>
      <c r="N10" s="117" t="e">
        <f t="shared" si="0"/>
        <v>#N/A</v>
      </c>
      <c r="O10" s="117" t="e">
        <f t="shared" si="1"/>
        <v>#N/A</v>
      </c>
      <c r="P10" s="117" t="e">
        <f t="shared" si="1"/>
        <v>#N/A</v>
      </c>
      <c r="Q10" s="117" t="e">
        <f t="shared" si="1"/>
        <v>#N/A</v>
      </c>
      <c r="R10" s="117" t="e">
        <f t="shared" si="1"/>
        <v>#N/A</v>
      </c>
      <c r="S10" s="117" t="e">
        <f t="shared" si="1"/>
        <v>#N/A</v>
      </c>
      <c r="T10" s="117" t="e">
        <f t="shared" si="1"/>
        <v>#N/A</v>
      </c>
      <c r="U10" s="117" t="e">
        <f t="shared" si="1"/>
        <v>#N/A</v>
      </c>
      <c r="V10" s="117" t="e">
        <f t="shared" si="1"/>
        <v>#N/A</v>
      </c>
      <c r="W10" s="117" t="e">
        <f t="shared" si="1"/>
        <v>#N/A</v>
      </c>
      <c r="X10" s="117" t="e">
        <f t="shared" si="1"/>
        <v>#N/A</v>
      </c>
      <c r="Y10" s="117" t="e">
        <f t="shared" si="1"/>
        <v>#N/A</v>
      </c>
      <c r="Z10" s="117" t="e">
        <f t="shared" si="1"/>
        <v>#N/A</v>
      </c>
      <c r="AA10" s="186" t="e">
        <f t="shared" si="2"/>
        <v>#N/A</v>
      </c>
      <c r="AB10" s="116">
        <f t="shared" si="3"/>
        <v>0</v>
      </c>
    </row>
    <row r="11" spans="2:28">
      <c r="B11" s="210"/>
      <c r="C11" s="204"/>
      <c r="D11" s="270"/>
      <c r="E11" s="117" t="e">
        <f t="shared" si="0"/>
        <v>#N/A</v>
      </c>
      <c r="F11" s="117" t="e">
        <f t="shared" si="0"/>
        <v>#N/A</v>
      </c>
      <c r="G11" s="117" t="e">
        <f t="shared" si="0"/>
        <v>#N/A</v>
      </c>
      <c r="H11" s="117" t="e">
        <f t="shared" si="0"/>
        <v>#N/A</v>
      </c>
      <c r="I11" s="117" t="e">
        <f t="shared" si="0"/>
        <v>#N/A</v>
      </c>
      <c r="J11" s="117" t="e">
        <f t="shared" si="0"/>
        <v>#N/A</v>
      </c>
      <c r="K11" s="117" t="e">
        <f t="shared" si="0"/>
        <v>#N/A</v>
      </c>
      <c r="L11" s="117" t="e">
        <f t="shared" si="0"/>
        <v>#N/A</v>
      </c>
      <c r="M11" s="117" t="e">
        <f t="shared" si="0"/>
        <v>#N/A</v>
      </c>
      <c r="N11" s="117" t="e">
        <f t="shared" si="0"/>
        <v>#N/A</v>
      </c>
      <c r="O11" s="117" t="e">
        <f t="shared" si="1"/>
        <v>#N/A</v>
      </c>
      <c r="P11" s="117" t="e">
        <f t="shared" si="1"/>
        <v>#N/A</v>
      </c>
      <c r="Q11" s="117" t="e">
        <f t="shared" si="1"/>
        <v>#N/A</v>
      </c>
      <c r="R11" s="117" t="e">
        <f t="shared" si="1"/>
        <v>#N/A</v>
      </c>
      <c r="S11" s="117" t="e">
        <f t="shared" si="1"/>
        <v>#N/A</v>
      </c>
      <c r="T11" s="117" t="e">
        <f t="shared" si="1"/>
        <v>#N/A</v>
      </c>
      <c r="U11" s="117" t="e">
        <f t="shared" si="1"/>
        <v>#N/A</v>
      </c>
      <c r="V11" s="117" t="e">
        <f t="shared" si="1"/>
        <v>#N/A</v>
      </c>
      <c r="W11" s="117" t="e">
        <f t="shared" si="1"/>
        <v>#N/A</v>
      </c>
      <c r="X11" s="117" t="e">
        <f t="shared" si="1"/>
        <v>#N/A</v>
      </c>
      <c r="Y11" s="117" t="e">
        <f t="shared" si="1"/>
        <v>#N/A</v>
      </c>
      <c r="Z11" s="117" t="e">
        <f t="shared" si="1"/>
        <v>#N/A</v>
      </c>
      <c r="AA11" s="186" t="e">
        <f t="shared" si="2"/>
        <v>#N/A</v>
      </c>
      <c r="AB11" s="116">
        <f t="shared" si="3"/>
        <v>0</v>
      </c>
    </row>
    <row r="12" spans="2:28">
      <c r="B12" s="210"/>
      <c r="C12" s="204"/>
      <c r="D12" s="270"/>
      <c r="E12" s="117" t="e">
        <f t="shared" si="0"/>
        <v>#N/A</v>
      </c>
      <c r="F12" s="117" t="e">
        <f t="shared" si="0"/>
        <v>#N/A</v>
      </c>
      <c r="G12" s="117" t="e">
        <f t="shared" si="0"/>
        <v>#N/A</v>
      </c>
      <c r="H12" s="117" t="e">
        <f t="shared" si="0"/>
        <v>#N/A</v>
      </c>
      <c r="I12" s="117" t="e">
        <f t="shared" si="0"/>
        <v>#N/A</v>
      </c>
      <c r="J12" s="117" t="e">
        <f t="shared" si="0"/>
        <v>#N/A</v>
      </c>
      <c r="K12" s="117" t="e">
        <f t="shared" si="0"/>
        <v>#N/A</v>
      </c>
      <c r="L12" s="117" t="e">
        <f t="shared" si="0"/>
        <v>#N/A</v>
      </c>
      <c r="M12" s="117" t="e">
        <f t="shared" si="0"/>
        <v>#N/A</v>
      </c>
      <c r="N12" s="117" t="e">
        <f t="shared" si="0"/>
        <v>#N/A</v>
      </c>
      <c r="O12" s="117" t="e">
        <f t="shared" si="1"/>
        <v>#N/A</v>
      </c>
      <c r="P12" s="117" t="e">
        <f t="shared" si="1"/>
        <v>#N/A</v>
      </c>
      <c r="Q12" s="117" t="e">
        <f t="shared" si="1"/>
        <v>#N/A</v>
      </c>
      <c r="R12" s="117" t="e">
        <f t="shared" si="1"/>
        <v>#N/A</v>
      </c>
      <c r="S12" s="117" t="e">
        <f t="shared" si="1"/>
        <v>#N/A</v>
      </c>
      <c r="T12" s="117" t="e">
        <f t="shared" si="1"/>
        <v>#N/A</v>
      </c>
      <c r="U12" s="117" t="e">
        <f t="shared" si="1"/>
        <v>#N/A</v>
      </c>
      <c r="V12" s="117" t="e">
        <f t="shared" si="1"/>
        <v>#N/A</v>
      </c>
      <c r="W12" s="117" t="e">
        <f t="shared" si="1"/>
        <v>#N/A</v>
      </c>
      <c r="X12" s="117" t="e">
        <f t="shared" si="1"/>
        <v>#N/A</v>
      </c>
      <c r="Y12" s="117" t="e">
        <f t="shared" si="1"/>
        <v>#N/A</v>
      </c>
      <c r="Z12" s="117" t="e">
        <f t="shared" si="1"/>
        <v>#N/A</v>
      </c>
      <c r="AA12" s="186" t="e">
        <f t="shared" si="2"/>
        <v>#N/A</v>
      </c>
      <c r="AB12" s="116">
        <f t="shared" si="3"/>
        <v>0</v>
      </c>
    </row>
    <row r="13" spans="2:28">
      <c r="B13" s="231"/>
      <c r="C13" s="204"/>
      <c r="D13" s="270"/>
      <c r="E13" s="117" t="e">
        <f t="shared" si="0"/>
        <v>#N/A</v>
      </c>
      <c r="F13" s="117" t="e">
        <f t="shared" si="0"/>
        <v>#N/A</v>
      </c>
      <c r="G13" s="117" t="e">
        <f t="shared" si="0"/>
        <v>#N/A</v>
      </c>
      <c r="H13" s="117" t="e">
        <f t="shared" si="0"/>
        <v>#N/A</v>
      </c>
      <c r="I13" s="117" t="e">
        <f t="shared" si="0"/>
        <v>#N/A</v>
      </c>
      <c r="J13" s="117" t="e">
        <f t="shared" si="0"/>
        <v>#N/A</v>
      </c>
      <c r="K13" s="117" t="e">
        <f t="shared" si="0"/>
        <v>#N/A</v>
      </c>
      <c r="L13" s="117" t="e">
        <f t="shared" si="0"/>
        <v>#N/A</v>
      </c>
      <c r="M13" s="117" t="e">
        <f t="shared" si="0"/>
        <v>#N/A</v>
      </c>
      <c r="N13" s="117" t="e">
        <f t="shared" si="0"/>
        <v>#N/A</v>
      </c>
      <c r="O13" s="117" t="e">
        <f t="shared" si="1"/>
        <v>#N/A</v>
      </c>
      <c r="P13" s="117" t="e">
        <f t="shared" si="1"/>
        <v>#N/A</v>
      </c>
      <c r="Q13" s="117" t="e">
        <f t="shared" si="1"/>
        <v>#N/A</v>
      </c>
      <c r="R13" s="117" t="e">
        <f t="shared" si="1"/>
        <v>#N/A</v>
      </c>
      <c r="S13" s="117" t="e">
        <f t="shared" si="1"/>
        <v>#N/A</v>
      </c>
      <c r="T13" s="117" t="e">
        <f t="shared" si="1"/>
        <v>#N/A</v>
      </c>
      <c r="U13" s="117" t="e">
        <f t="shared" si="1"/>
        <v>#N/A</v>
      </c>
      <c r="V13" s="117" t="e">
        <f t="shared" si="1"/>
        <v>#N/A</v>
      </c>
      <c r="W13" s="117" t="e">
        <f t="shared" si="1"/>
        <v>#N/A</v>
      </c>
      <c r="X13" s="117" t="e">
        <f t="shared" si="1"/>
        <v>#N/A</v>
      </c>
      <c r="Y13" s="117" t="e">
        <f t="shared" si="1"/>
        <v>#N/A</v>
      </c>
      <c r="Z13" s="117" t="e">
        <f t="shared" si="1"/>
        <v>#N/A</v>
      </c>
      <c r="AA13" s="186" t="e">
        <f t="shared" si="2"/>
        <v>#N/A</v>
      </c>
      <c r="AB13" s="116">
        <f t="shared" si="3"/>
        <v>0</v>
      </c>
    </row>
    <row r="14" spans="2:28">
      <c r="B14" s="210"/>
      <c r="C14" s="204"/>
      <c r="D14" s="270"/>
      <c r="E14" s="117" t="e">
        <f t="shared" ref="E14:N20" si="4">INDEX(scorematrix,MATCH($C14,renners,0),MATCH(E$3,etappes,0))</f>
        <v>#N/A</v>
      </c>
      <c r="F14" s="117" t="e">
        <f t="shared" si="4"/>
        <v>#N/A</v>
      </c>
      <c r="G14" s="117" t="e">
        <f t="shared" si="4"/>
        <v>#N/A</v>
      </c>
      <c r="H14" s="117" t="e">
        <f t="shared" si="4"/>
        <v>#N/A</v>
      </c>
      <c r="I14" s="117" t="e">
        <f t="shared" si="4"/>
        <v>#N/A</v>
      </c>
      <c r="J14" s="117" t="e">
        <f t="shared" si="4"/>
        <v>#N/A</v>
      </c>
      <c r="K14" s="117" t="e">
        <f t="shared" si="4"/>
        <v>#N/A</v>
      </c>
      <c r="L14" s="117" t="e">
        <f t="shared" si="4"/>
        <v>#N/A</v>
      </c>
      <c r="M14" s="117" t="e">
        <f t="shared" si="4"/>
        <v>#N/A</v>
      </c>
      <c r="N14" s="117" t="e">
        <f t="shared" si="4"/>
        <v>#N/A</v>
      </c>
      <c r="O14" s="117" t="e">
        <f t="shared" ref="O14:Z20" si="5">INDEX(scorematrix,MATCH($C14,renners,0),MATCH(O$3,etappes,0))</f>
        <v>#N/A</v>
      </c>
      <c r="P14" s="117" t="e">
        <f t="shared" si="5"/>
        <v>#N/A</v>
      </c>
      <c r="Q14" s="117" t="e">
        <f t="shared" si="5"/>
        <v>#N/A</v>
      </c>
      <c r="R14" s="117" t="e">
        <f t="shared" si="5"/>
        <v>#N/A</v>
      </c>
      <c r="S14" s="117" t="e">
        <f t="shared" si="5"/>
        <v>#N/A</v>
      </c>
      <c r="T14" s="117" t="e">
        <f t="shared" si="5"/>
        <v>#N/A</v>
      </c>
      <c r="U14" s="117" t="e">
        <f t="shared" si="5"/>
        <v>#N/A</v>
      </c>
      <c r="V14" s="117" t="e">
        <f t="shared" si="5"/>
        <v>#N/A</v>
      </c>
      <c r="W14" s="117" t="e">
        <f t="shared" si="5"/>
        <v>#N/A</v>
      </c>
      <c r="X14" s="117" t="e">
        <f t="shared" si="5"/>
        <v>#N/A</v>
      </c>
      <c r="Y14" s="117" t="e">
        <f t="shared" si="5"/>
        <v>#N/A</v>
      </c>
      <c r="Z14" s="117" t="e">
        <f t="shared" si="5"/>
        <v>#N/A</v>
      </c>
      <c r="AA14" s="186" t="e">
        <f t="shared" si="2"/>
        <v>#N/A</v>
      </c>
      <c r="AB14" s="116">
        <f t="shared" si="3"/>
        <v>0</v>
      </c>
    </row>
    <row r="15" spans="2:28">
      <c r="B15" s="210"/>
      <c r="C15" s="204"/>
      <c r="D15" s="270"/>
      <c r="E15" s="117" t="e">
        <f t="shared" si="4"/>
        <v>#N/A</v>
      </c>
      <c r="F15" s="117" t="e">
        <f t="shared" si="4"/>
        <v>#N/A</v>
      </c>
      <c r="G15" s="117" t="e">
        <f t="shared" si="4"/>
        <v>#N/A</v>
      </c>
      <c r="H15" s="117" t="e">
        <f t="shared" si="4"/>
        <v>#N/A</v>
      </c>
      <c r="I15" s="117" t="e">
        <f t="shared" si="4"/>
        <v>#N/A</v>
      </c>
      <c r="J15" s="117" t="e">
        <f t="shared" si="4"/>
        <v>#N/A</v>
      </c>
      <c r="K15" s="117" t="e">
        <f t="shared" si="4"/>
        <v>#N/A</v>
      </c>
      <c r="L15" s="117" t="e">
        <f t="shared" si="4"/>
        <v>#N/A</v>
      </c>
      <c r="M15" s="117" t="e">
        <f t="shared" si="4"/>
        <v>#N/A</v>
      </c>
      <c r="N15" s="117" t="e">
        <f t="shared" si="4"/>
        <v>#N/A</v>
      </c>
      <c r="O15" s="117" t="e">
        <f t="shared" si="5"/>
        <v>#N/A</v>
      </c>
      <c r="P15" s="117" t="e">
        <f t="shared" si="5"/>
        <v>#N/A</v>
      </c>
      <c r="Q15" s="117" t="e">
        <f t="shared" si="5"/>
        <v>#N/A</v>
      </c>
      <c r="R15" s="117" t="e">
        <f t="shared" si="5"/>
        <v>#N/A</v>
      </c>
      <c r="S15" s="117" t="e">
        <f t="shared" si="5"/>
        <v>#N/A</v>
      </c>
      <c r="T15" s="117" t="e">
        <f t="shared" si="5"/>
        <v>#N/A</v>
      </c>
      <c r="U15" s="117" t="e">
        <f t="shared" si="5"/>
        <v>#N/A</v>
      </c>
      <c r="V15" s="117" t="e">
        <f t="shared" si="5"/>
        <v>#N/A</v>
      </c>
      <c r="W15" s="117" t="e">
        <f t="shared" si="5"/>
        <v>#N/A</v>
      </c>
      <c r="X15" s="117" t="e">
        <f t="shared" si="5"/>
        <v>#N/A</v>
      </c>
      <c r="Y15" s="117" t="e">
        <f t="shared" si="5"/>
        <v>#N/A</v>
      </c>
      <c r="Z15" s="117" t="e">
        <f t="shared" si="5"/>
        <v>#N/A</v>
      </c>
      <c r="AA15" s="186" t="e">
        <f t="shared" si="2"/>
        <v>#N/A</v>
      </c>
      <c r="AB15" s="116">
        <f t="shared" si="3"/>
        <v>0</v>
      </c>
    </row>
    <row r="16" spans="2:28" s="170" customFormat="1">
      <c r="B16" s="210"/>
      <c r="C16" s="204"/>
      <c r="D16" s="270"/>
      <c r="E16" s="117" t="e">
        <f t="shared" si="4"/>
        <v>#N/A</v>
      </c>
      <c r="F16" s="117" t="e">
        <f t="shared" si="4"/>
        <v>#N/A</v>
      </c>
      <c r="G16" s="117" t="e">
        <f t="shared" si="4"/>
        <v>#N/A</v>
      </c>
      <c r="H16" s="117" t="e">
        <f t="shared" si="4"/>
        <v>#N/A</v>
      </c>
      <c r="I16" s="117" t="e">
        <f t="shared" si="4"/>
        <v>#N/A</v>
      </c>
      <c r="J16" s="117" t="e">
        <f t="shared" si="4"/>
        <v>#N/A</v>
      </c>
      <c r="K16" s="117" t="e">
        <f t="shared" si="4"/>
        <v>#N/A</v>
      </c>
      <c r="L16" s="117" t="e">
        <f t="shared" si="4"/>
        <v>#N/A</v>
      </c>
      <c r="M16" s="117" t="e">
        <f t="shared" si="4"/>
        <v>#N/A</v>
      </c>
      <c r="N16" s="117" t="e">
        <f t="shared" si="4"/>
        <v>#N/A</v>
      </c>
      <c r="O16" s="117" t="e">
        <f t="shared" si="5"/>
        <v>#N/A</v>
      </c>
      <c r="P16" s="117" t="e">
        <f t="shared" si="5"/>
        <v>#N/A</v>
      </c>
      <c r="Q16" s="117" t="e">
        <f t="shared" si="5"/>
        <v>#N/A</v>
      </c>
      <c r="R16" s="117" t="e">
        <f t="shared" si="5"/>
        <v>#N/A</v>
      </c>
      <c r="S16" s="117" t="e">
        <f t="shared" si="5"/>
        <v>#N/A</v>
      </c>
      <c r="T16" s="117" t="e">
        <f t="shared" si="5"/>
        <v>#N/A</v>
      </c>
      <c r="U16" s="117" t="e">
        <f t="shared" si="5"/>
        <v>#N/A</v>
      </c>
      <c r="V16" s="117" t="e">
        <f t="shared" si="5"/>
        <v>#N/A</v>
      </c>
      <c r="W16" s="117" t="e">
        <f t="shared" si="5"/>
        <v>#N/A</v>
      </c>
      <c r="X16" s="117" t="e">
        <f t="shared" si="5"/>
        <v>#N/A</v>
      </c>
      <c r="Y16" s="117" t="e">
        <f t="shared" si="5"/>
        <v>#N/A</v>
      </c>
      <c r="Z16" s="117" t="e">
        <f t="shared" si="5"/>
        <v>#N/A</v>
      </c>
      <c r="AA16" s="186" t="e">
        <f t="shared" si="2"/>
        <v>#N/A</v>
      </c>
      <c r="AB16" s="116">
        <f t="shared" si="3"/>
        <v>0</v>
      </c>
    </row>
    <row r="17" spans="2:28">
      <c r="B17" s="210"/>
      <c r="C17" s="204"/>
      <c r="D17" s="270"/>
      <c r="E17" s="117" t="e">
        <f t="shared" si="4"/>
        <v>#N/A</v>
      </c>
      <c r="F17" s="117" t="e">
        <f t="shared" si="4"/>
        <v>#N/A</v>
      </c>
      <c r="G17" s="117" t="e">
        <f t="shared" si="4"/>
        <v>#N/A</v>
      </c>
      <c r="H17" s="117" t="e">
        <f t="shared" si="4"/>
        <v>#N/A</v>
      </c>
      <c r="I17" s="117" t="e">
        <f t="shared" si="4"/>
        <v>#N/A</v>
      </c>
      <c r="J17" s="117" t="e">
        <f t="shared" si="4"/>
        <v>#N/A</v>
      </c>
      <c r="K17" s="117" t="e">
        <f t="shared" si="4"/>
        <v>#N/A</v>
      </c>
      <c r="L17" s="117" t="e">
        <f t="shared" si="4"/>
        <v>#N/A</v>
      </c>
      <c r="M17" s="117" t="e">
        <f t="shared" si="4"/>
        <v>#N/A</v>
      </c>
      <c r="N17" s="117" t="e">
        <f t="shared" si="4"/>
        <v>#N/A</v>
      </c>
      <c r="O17" s="117" t="e">
        <f t="shared" si="5"/>
        <v>#N/A</v>
      </c>
      <c r="P17" s="117" t="e">
        <f t="shared" si="5"/>
        <v>#N/A</v>
      </c>
      <c r="Q17" s="117" t="e">
        <f t="shared" si="5"/>
        <v>#N/A</v>
      </c>
      <c r="R17" s="117" t="e">
        <f t="shared" si="5"/>
        <v>#N/A</v>
      </c>
      <c r="S17" s="117" t="e">
        <f t="shared" si="5"/>
        <v>#N/A</v>
      </c>
      <c r="T17" s="117" t="e">
        <f t="shared" si="5"/>
        <v>#N/A</v>
      </c>
      <c r="U17" s="117" t="e">
        <f t="shared" si="5"/>
        <v>#N/A</v>
      </c>
      <c r="V17" s="117" t="e">
        <f t="shared" si="5"/>
        <v>#N/A</v>
      </c>
      <c r="W17" s="117" t="e">
        <f t="shared" si="5"/>
        <v>#N/A</v>
      </c>
      <c r="X17" s="117" t="e">
        <f t="shared" si="5"/>
        <v>#N/A</v>
      </c>
      <c r="Y17" s="117" t="e">
        <f t="shared" si="5"/>
        <v>#N/A</v>
      </c>
      <c r="Z17" s="117" t="e">
        <f t="shared" si="5"/>
        <v>#N/A</v>
      </c>
      <c r="AA17" s="186" t="e">
        <f t="shared" si="2"/>
        <v>#N/A</v>
      </c>
      <c r="AB17" s="116">
        <f t="shared" si="3"/>
        <v>0</v>
      </c>
    </row>
    <row r="18" spans="2:28">
      <c r="B18" s="210"/>
      <c r="C18" s="204"/>
      <c r="D18" s="270"/>
      <c r="E18" s="117" t="e">
        <f t="shared" si="4"/>
        <v>#N/A</v>
      </c>
      <c r="F18" s="117" t="e">
        <f t="shared" si="4"/>
        <v>#N/A</v>
      </c>
      <c r="G18" s="117" t="e">
        <f t="shared" si="4"/>
        <v>#N/A</v>
      </c>
      <c r="H18" s="117" t="e">
        <f t="shared" si="4"/>
        <v>#N/A</v>
      </c>
      <c r="I18" s="117" t="e">
        <f t="shared" si="4"/>
        <v>#N/A</v>
      </c>
      <c r="J18" s="117" t="e">
        <f t="shared" si="4"/>
        <v>#N/A</v>
      </c>
      <c r="K18" s="117" t="e">
        <f t="shared" si="4"/>
        <v>#N/A</v>
      </c>
      <c r="L18" s="117" t="e">
        <f t="shared" si="4"/>
        <v>#N/A</v>
      </c>
      <c r="M18" s="117" t="e">
        <f t="shared" si="4"/>
        <v>#N/A</v>
      </c>
      <c r="N18" s="117" t="e">
        <f t="shared" si="4"/>
        <v>#N/A</v>
      </c>
      <c r="O18" s="117" t="e">
        <f t="shared" si="5"/>
        <v>#N/A</v>
      </c>
      <c r="P18" s="117" t="e">
        <f t="shared" si="5"/>
        <v>#N/A</v>
      </c>
      <c r="Q18" s="117" t="e">
        <f t="shared" si="5"/>
        <v>#N/A</v>
      </c>
      <c r="R18" s="117" t="e">
        <f t="shared" si="5"/>
        <v>#N/A</v>
      </c>
      <c r="S18" s="117" t="e">
        <f t="shared" si="5"/>
        <v>#N/A</v>
      </c>
      <c r="T18" s="117" t="e">
        <f t="shared" si="5"/>
        <v>#N/A</v>
      </c>
      <c r="U18" s="117" t="e">
        <f t="shared" si="5"/>
        <v>#N/A</v>
      </c>
      <c r="V18" s="117" t="e">
        <f t="shared" si="5"/>
        <v>#N/A</v>
      </c>
      <c r="W18" s="117" t="e">
        <f t="shared" si="5"/>
        <v>#N/A</v>
      </c>
      <c r="X18" s="117" t="e">
        <f t="shared" si="5"/>
        <v>#N/A</v>
      </c>
      <c r="Y18" s="117" t="e">
        <f t="shared" si="5"/>
        <v>#N/A</v>
      </c>
      <c r="Z18" s="117" t="e">
        <f t="shared" si="5"/>
        <v>#N/A</v>
      </c>
      <c r="AA18" s="186" t="e">
        <f t="shared" si="2"/>
        <v>#N/A</v>
      </c>
      <c r="AB18" s="116">
        <f t="shared" si="3"/>
        <v>0</v>
      </c>
    </row>
    <row r="19" spans="2:28">
      <c r="B19" s="210"/>
      <c r="C19" s="204"/>
      <c r="D19" s="270"/>
      <c r="E19" s="117" t="e">
        <f t="shared" si="4"/>
        <v>#N/A</v>
      </c>
      <c r="F19" s="117" t="e">
        <f t="shared" si="4"/>
        <v>#N/A</v>
      </c>
      <c r="G19" s="117" t="e">
        <f t="shared" si="4"/>
        <v>#N/A</v>
      </c>
      <c r="H19" s="117" t="e">
        <f t="shared" si="4"/>
        <v>#N/A</v>
      </c>
      <c r="I19" s="117" t="e">
        <f t="shared" si="4"/>
        <v>#N/A</v>
      </c>
      <c r="J19" s="117" t="e">
        <f t="shared" si="4"/>
        <v>#N/A</v>
      </c>
      <c r="K19" s="117" t="e">
        <f t="shared" si="4"/>
        <v>#N/A</v>
      </c>
      <c r="L19" s="117" t="e">
        <f t="shared" si="4"/>
        <v>#N/A</v>
      </c>
      <c r="M19" s="117" t="e">
        <f t="shared" si="4"/>
        <v>#N/A</v>
      </c>
      <c r="N19" s="117" t="e">
        <f t="shared" si="4"/>
        <v>#N/A</v>
      </c>
      <c r="O19" s="117" t="e">
        <f t="shared" si="5"/>
        <v>#N/A</v>
      </c>
      <c r="P19" s="117" t="e">
        <f t="shared" si="5"/>
        <v>#N/A</v>
      </c>
      <c r="Q19" s="117" t="e">
        <f t="shared" si="5"/>
        <v>#N/A</v>
      </c>
      <c r="R19" s="117" t="e">
        <f t="shared" si="5"/>
        <v>#N/A</v>
      </c>
      <c r="S19" s="117" t="e">
        <f t="shared" si="5"/>
        <v>#N/A</v>
      </c>
      <c r="T19" s="117" t="e">
        <f t="shared" si="5"/>
        <v>#N/A</v>
      </c>
      <c r="U19" s="117" t="e">
        <f t="shared" si="5"/>
        <v>#N/A</v>
      </c>
      <c r="V19" s="117" t="e">
        <f t="shared" si="5"/>
        <v>#N/A</v>
      </c>
      <c r="W19" s="117" t="e">
        <f t="shared" si="5"/>
        <v>#N/A</v>
      </c>
      <c r="X19" s="117" t="e">
        <f t="shared" si="5"/>
        <v>#N/A</v>
      </c>
      <c r="Y19" s="117" t="e">
        <f t="shared" si="5"/>
        <v>#N/A</v>
      </c>
      <c r="Z19" s="117" t="e">
        <f t="shared" si="5"/>
        <v>#N/A</v>
      </c>
      <c r="AA19" s="186" t="e">
        <f t="shared" si="2"/>
        <v>#N/A</v>
      </c>
      <c r="AB19" s="116">
        <f>C19</f>
        <v>0</v>
      </c>
    </row>
    <row r="20" spans="2:28" ht="13.5" thickBot="1">
      <c r="B20" s="210"/>
      <c r="C20" s="204"/>
      <c r="D20" s="270"/>
      <c r="E20" s="117" t="e">
        <f t="shared" si="4"/>
        <v>#N/A</v>
      </c>
      <c r="F20" s="117" t="e">
        <f t="shared" si="4"/>
        <v>#N/A</v>
      </c>
      <c r="G20" s="117" t="e">
        <f t="shared" si="4"/>
        <v>#N/A</v>
      </c>
      <c r="H20" s="117" t="e">
        <f t="shared" si="4"/>
        <v>#N/A</v>
      </c>
      <c r="I20" s="117" t="e">
        <f t="shared" si="4"/>
        <v>#N/A</v>
      </c>
      <c r="J20" s="117" t="e">
        <f t="shared" si="4"/>
        <v>#N/A</v>
      </c>
      <c r="K20" s="117" t="e">
        <f t="shared" si="4"/>
        <v>#N/A</v>
      </c>
      <c r="L20" s="117" t="e">
        <f t="shared" si="4"/>
        <v>#N/A</v>
      </c>
      <c r="M20" s="117" t="e">
        <f t="shared" si="4"/>
        <v>#N/A</v>
      </c>
      <c r="N20" s="117" t="e">
        <f t="shared" si="4"/>
        <v>#N/A</v>
      </c>
      <c r="O20" s="117" t="e">
        <f t="shared" si="5"/>
        <v>#N/A</v>
      </c>
      <c r="P20" s="117" t="e">
        <f t="shared" si="5"/>
        <v>#N/A</v>
      </c>
      <c r="Q20" s="117" t="e">
        <f t="shared" si="5"/>
        <v>#N/A</v>
      </c>
      <c r="R20" s="117" t="e">
        <f t="shared" si="5"/>
        <v>#N/A</v>
      </c>
      <c r="S20" s="117" t="e">
        <f t="shared" si="5"/>
        <v>#N/A</v>
      </c>
      <c r="T20" s="117" t="e">
        <f t="shared" si="5"/>
        <v>#N/A</v>
      </c>
      <c r="U20" s="117" t="e">
        <f t="shared" si="5"/>
        <v>#N/A</v>
      </c>
      <c r="V20" s="117" t="e">
        <f t="shared" si="5"/>
        <v>#N/A</v>
      </c>
      <c r="W20" s="117" t="e">
        <f t="shared" si="5"/>
        <v>#N/A</v>
      </c>
      <c r="X20" s="117" t="e">
        <f t="shared" si="5"/>
        <v>#N/A</v>
      </c>
      <c r="Y20" s="117" t="e">
        <f t="shared" si="5"/>
        <v>#N/A</v>
      </c>
      <c r="Z20" s="117" t="e">
        <f t="shared" si="5"/>
        <v>#N/A</v>
      </c>
      <c r="AA20" s="186" t="e">
        <f t="shared" si="2"/>
        <v>#N/A</v>
      </c>
      <c r="AB20" s="116">
        <f>C20</f>
        <v>0</v>
      </c>
    </row>
    <row r="21" spans="2:28" s="171" customFormat="1">
      <c r="B21" s="211"/>
      <c r="C21" s="205"/>
      <c r="D21" s="271"/>
      <c r="E21" s="180"/>
      <c r="F21" s="180"/>
      <c r="G21" s="180"/>
      <c r="H21" s="180"/>
      <c r="I21" s="180"/>
      <c r="J21" s="180"/>
      <c r="K21" s="180"/>
      <c r="L21" s="180"/>
      <c r="M21" s="180"/>
      <c r="N21" s="180"/>
      <c r="O21" s="180"/>
      <c r="P21" s="180"/>
      <c r="Q21" s="180"/>
      <c r="R21" s="180"/>
      <c r="S21" s="180"/>
      <c r="T21" s="180"/>
      <c r="U21" s="180"/>
      <c r="V21" s="180"/>
      <c r="W21" s="180"/>
      <c r="X21" s="180"/>
      <c r="Y21" s="180"/>
      <c r="Z21" s="180"/>
      <c r="AA21" s="235">
        <f t="shared" si="2"/>
        <v>0</v>
      </c>
    </row>
    <row r="22" spans="2:28" s="120" customFormat="1">
      <c r="B22" s="212"/>
      <c r="C22" s="206"/>
      <c r="D22" s="206"/>
      <c r="E22" s="172" t="e">
        <f t="shared" ref="E22:AA22" si="6">SUM(E4:E21)</f>
        <v>#N/A</v>
      </c>
      <c r="F22" s="172" t="e">
        <f t="shared" ref="F22" si="7">SUM(F4:F21)</f>
        <v>#N/A</v>
      </c>
      <c r="G22" s="172" t="e">
        <f>SUM(G4:G21)</f>
        <v>#N/A</v>
      </c>
      <c r="H22" s="172" t="e">
        <f t="shared" si="6"/>
        <v>#N/A</v>
      </c>
      <c r="I22" s="172" t="e">
        <f t="shared" si="6"/>
        <v>#N/A</v>
      </c>
      <c r="J22" s="172" t="e">
        <f t="shared" si="6"/>
        <v>#N/A</v>
      </c>
      <c r="K22" s="172" t="e">
        <f t="shared" si="6"/>
        <v>#N/A</v>
      </c>
      <c r="L22" s="172" t="e">
        <f t="shared" si="6"/>
        <v>#N/A</v>
      </c>
      <c r="M22" s="172" t="e">
        <f t="shared" si="6"/>
        <v>#N/A</v>
      </c>
      <c r="N22" s="172" t="e">
        <f t="shared" si="6"/>
        <v>#N/A</v>
      </c>
      <c r="O22" s="172" t="e">
        <f t="shared" si="6"/>
        <v>#N/A</v>
      </c>
      <c r="P22" s="172" t="e">
        <f t="shared" si="6"/>
        <v>#N/A</v>
      </c>
      <c r="Q22" s="172" t="e">
        <f t="shared" si="6"/>
        <v>#N/A</v>
      </c>
      <c r="R22" s="172" t="e">
        <f t="shared" si="6"/>
        <v>#N/A</v>
      </c>
      <c r="S22" s="172" t="e">
        <f t="shared" si="6"/>
        <v>#N/A</v>
      </c>
      <c r="T22" s="172" t="e">
        <f t="shared" si="6"/>
        <v>#N/A</v>
      </c>
      <c r="U22" s="172" t="e">
        <f t="shared" si="6"/>
        <v>#N/A</v>
      </c>
      <c r="V22" s="172" t="e">
        <f t="shared" si="6"/>
        <v>#N/A</v>
      </c>
      <c r="W22" s="172" t="e">
        <f t="shared" si="6"/>
        <v>#N/A</v>
      </c>
      <c r="X22" s="172" t="e">
        <f t="shared" si="6"/>
        <v>#N/A</v>
      </c>
      <c r="Y22" s="172" t="e">
        <f t="shared" si="6"/>
        <v>#N/A</v>
      </c>
      <c r="Z22" s="172" t="e">
        <f t="shared" si="6"/>
        <v>#N/A</v>
      </c>
      <c r="AA22" s="236" t="e">
        <f t="shared" si="6"/>
        <v>#N/A</v>
      </c>
    </row>
    <row r="23" spans="2:28" s="173" customFormat="1">
      <c r="B23" s="213"/>
      <c r="C23" s="207"/>
      <c r="D23" s="207"/>
      <c r="E23" s="151"/>
      <c r="F23" s="151"/>
      <c r="G23" s="151"/>
      <c r="H23" s="174"/>
      <c r="I23" s="151"/>
      <c r="J23" s="151"/>
      <c r="K23" s="151"/>
      <c r="L23" s="151"/>
      <c r="M23" s="151"/>
      <c r="N23" s="151"/>
      <c r="O23" s="151"/>
      <c r="P23" s="151"/>
      <c r="Q23" s="151"/>
      <c r="R23" s="151"/>
      <c r="S23" s="151"/>
      <c r="T23" s="151"/>
      <c r="U23" s="151"/>
      <c r="V23" s="151"/>
      <c r="W23" s="151"/>
      <c r="X23" s="151"/>
      <c r="Y23" s="151"/>
      <c r="Z23" s="151"/>
      <c r="AA23" s="237"/>
    </row>
    <row r="24" spans="2:28" s="175" customFormat="1">
      <c r="B24" s="210"/>
      <c r="C24" s="208"/>
      <c r="D24" s="208"/>
      <c r="E24" s="193" t="e">
        <f t="shared" ref="E24:Z26" si="8">INDEX(scorematrix,MATCH($C24,renners,0),MATCH(E$3,etappes,0))</f>
        <v>#N/A</v>
      </c>
      <c r="F24" s="193" t="e">
        <f t="shared" si="8"/>
        <v>#N/A</v>
      </c>
      <c r="G24" s="193" t="e">
        <f t="shared" si="8"/>
        <v>#N/A</v>
      </c>
      <c r="H24" s="193" t="e">
        <f t="shared" si="8"/>
        <v>#N/A</v>
      </c>
      <c r="I24" s="193" t="e">
        <f t="shared" si="8"/>
        <v>#N/A</v>
      </c>
      <c r="J24" s="193" t="e">
        <f t="shared" si="8"/>
        <v>#N/A</v>
      </c>
      <c r="K24" s="193" t="e">
        <f t="shared" si="8"/>
        <v>#N/A</v>
      </c>
      <c r="L24" s="193" t="e">
        <f t="shared" si="8"/>
        <v>#N/A</v>
      </c>
      <c r="M24" s="234" t="e">
        <f t="shared" si="8"/>
        <v>#N/A</v>
      </c>
      <c r="N24" s="193" t="e">
        <f t="shared" si="8"/>
        <v>#N/A</v>
      </c>
      <c r="O24" s="193" t="e">
        <f t="shared" si="8"/>
        <v>#N/A</v>
      </c>
      <c r="P24" s="193" t="e">
        <f t="shared" si="8"/>
        <v>#N/A</v>
      </c>
      <c r="Q24" s="193" t="e">
        <f t="shared" si="8"/>
        <v>#N/A</v>
      </c>
      <c r="R24" s="193" t="e">
        <f t="shared" si="8"/>
        <v>#N/A</v>
      </c>
      <c r="S24" s="193" t="e">
        <f t="shared" si="8"/>
        <v>#N/A</v>
      </c>
      <c r="T24" s="193" t="e">
        <f t="shared" si="8"/>
        <v>#N/A</v>
      </c>
      <c r="U24" s="193" t="e">
        <f t="shared" si="8"/>
        <v>#N/A</v>
      </c>
      <c r="V24" s="193" t="e">
        <f t="shared" si="8"/>
        <v>#N/A</v>
      </c>
      <c r="W24" s="193" t="e">
        <f t="shared" si="8"/>
        <v>#N/A</v>
      </c>
      <c r="X24" s="193" t="e">
        <f t="shared" si="8"/>
        <v>#N/A</v>
      </c>
      <c r="Y24" s="193" t="e">
        <f t="shared" si="8"/>
        <v>#N/A</v>
      </c>
      <c r="Z24" s="193" t="e">
        <f t="shared" si="8"/>
        <v>#N/A</v>
      </c>
      <c r="AA24" s="238" t="e">
        <f>SUM(E24:Z24)</f>
        <v>#N/A</v>
      </c>
    </row>
    <row r="25" spans="2:28" s="175" customFormat="1">
      <c r="B25" s="210"/>
      <c r="C25" s="208"/>
      <c r="D25" s="208"/>
      <c r="E25" s="193" t="e">
        <f t="shared" si="8"/>
        <v>#N/A</v>
      </c>
      <c r="F25" s="193" t="e">
        <f t="shared" si="8"/>
        <v>#N/A</v>
      </c>
      <c r="G25" s="193" t="e">
        <f t="shared" si="8"/>
        <v>#N/A</v>
      </c>
      <c r="H25" s="193" t="e">
        <f t="shared" si="8"/>
        <v>#N/A</v>
      </c>
      <c r="I25" s="193" t="e">
        <f t="shared" si="8"/>
        <v>#N/A</v>
      </c>
      <c r="J25" s="193" t="e">
        <f t="shared" si="8"/>
        <v>#N/A</v>
      </c>
      <c r="K25" s="193" t="e">
        <f t="shared" si="8"/>
        <v>#N/A</v>
      </c>
      <c r="L25" s="193" t="e">
        <f t="shared" si="8"/>
        <v>#N/A</v>
      </c>
      <c r="M25" s="193" t="e">
        <f t="shared" si="8"/>
        <v>#N/A</v>
      </c>
      <c r="N25" s="193" t="e">
        <f t="shared" si="8"/>
        <v>#N/A</v>
      </c>
      <c r="O25" s="193" t="e">
        <f t="shared" si="8"/>
        <v>#N/A</v>
      </c>
      <c r="P25" s="193" t="e">
        <f t="shared" si="8"/>
        <v>#N/A</v>
      </c>
      <c r="Q25" s="193" t="e">
        <f t="shared" si="8"/>
        <v>#N/A</v>
      </c>
      <c r="R25" s="193" t="e">
        <f t="shared" si="8"/>
        <v>#N/A</v>
      </c>
      <c r="S25" s="193" t="e">
        <f t="shared" si="8"/>
        <v>#N/A</v>
      </c>
      <c r="T25" s="193" t="e">
        <f t="shared" si="8"/>
        <v>#N/A</v>
      </c>
      <c r="U25" s="193" t="e">
        <f t="shared" si="8"/>
        <v>#N/A</v>
      </c>
      <c r="V25" s="193" t="e">
        <f t="shared" si="8"/>
        <v>#N/A</v>
      </c>
      <c r="W25" s="193" t="e">
        <f t="shared" si="8"/>
        <v>#N/A</v>
      </c>
      <c r="X25" s="193" t="e">
        <f t="shared" si="8"/>
        <v>#N/A</v>
      </c>
      <c r="Y25" s="193" t="e">
        <f t="shared" si="8"/>
        <v>#N/A</v>
      </c>
      <c r="Z25" s="193" t="e">
        <f t="shared" si="8"/>
        <v>#N/A</v>
      </c>
      <c r="AA25" s="238" t="e">
        <f>SUM(E25:Z25)</f>
        <v>#N/A</v>
      </c>
    </row>
    <row r="26" spans="2:28" s="175" customFormat="1">
      <c r="B26" s="210"/>
      <c r="C26" s="208"/>
      <c r="D26" s="208"/>
      <c r="E26" s="193" t="e">
        <f t="shared" si="8"/>
        <v>#N/A</v>
      </c>
      <c r="F26" s="193" t="e">
        <f t="shared" si="8"/>
        <v>#N/A</v>
      </c>
      <c r="G26" s="193" t="e">
        <f t="shared" si="8"/>
        <v>#N/A</v>
      </c>
      <c r="H26" s="193" t="e">
        <f t="shared" si="8"/>
        <v>#N/A</v>
      </c>
      <c r="I26" s="193" t="e">
        <f t="shared" si="8"/>
        <v>#N/A</v>
      </c>
      <c r="J26" s="193" t="e">
        <f t="shared" si="8"/>
        <v>#N/A</v>
      </c>
      <c r="K26" s="193" t="e">
        <f t="shared" si="8"/>
        <v>#N/A</v>
      </c>
      <c r="L26" s="193" t="e">
        <f t="shared" si="8"/>
        <v>#N/A</v>
      </c>
      <c r="M26" s="193" t="e">
        <f t="shared" si="8"/>
        <v>#N/A</v>
      </c>
      <c r="N26" s="193" t="e">
        <f t="shared" si="8"/>
        <v>#N/A</v>
      </c>
      <c r="O26" s="193" t="e">
        <f t="shared" si="8"/>
        <v>#N/A</v>
      </c>
      <c r="P26" s="193" t="e">
        <f t="shared" si="8"/>
        <v>#N/A</v>
      </c>
      <c r="Q26" s="193" t="e">
        <f t="shared" si="8"/>
        <v>#N/A</v>
      </c>
      <c r="R26" s="193" t="e">
        <f t="shared" si="8"/>
        <v>#N/A</v>
      </c>
      <c r="S26" s="193" t="e">
        <f t="shared" si="8"/>
        <v>#N/A</v>
      </c>
      <c r="T26" s="193" t="e">
        <f t="shared" si="8"/>
        <v>#N/A</v>
      </c>
      <c r="U26" s="193" t="e">
        <f t="shared" si="8"/>
        <v>#N/A</v>
      </c>
      <c r="V26" s="193" t="e">
        <f t="shared" si="8"/>
        <v>#N/A</v>
      </c>
      <c r="W26" s="193" t="e">
        <f t="shared" si="8"/>
        <v>#N/A</v>
      </c>
      <c r="X26" s="193" t="e">
        <f t="shared" si="8"/>
        <v>#N/A</v>
      </c>
      <c r="Y26" s="193" t="e">
        <f t="shared" si="8"/>
        <v>#N/A</v>
      </c>
      <c r="Z26" s="193" t="e">
        <f t="shared" si="8"/>
        <v>#N/A</v>
      </c>
      <c r="AA26" s="238" t="e">
        <f>SUM(E26:Z26)</f>
        <v>#N/A</v>
      </c>
    </row>
    <row r="28" spans="2:28">
      <c r="B28" s="116" t="s">
        <v>104</v>
      </c>
    </row>
    <row r="29" spans="2:28">
      <c r="B29" s="215" t="s">
        <v>102</v>
      </c>
      <c r="C29" s="216" t="s">
        <v>79</v>
      </c>
      <c r="D29" s="272"/>
    </row>
  </sheetData>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sheetPr codeName="Blad16" enableFormatConditionsCalculation="0">
    <tabColor indexed="12"/>
  </sheetPr>
  <dimension ref="C1:AB71"/>
  <sheetViews>
    <sheetView showZeros="0" workbookViewId="0">
      <selection activeCell="Y31" sqref="Y31"/>
    </sheetView>
  </sheetViews>
  <sheetFormatPr defaultRowHeight="12.75"/>
  <cols>
    <col min="1" max="1" width="2.7109375" customWidth="1"/>
    <col min="2" max="2" width="3.42578125" customWidth="1"/>
    <col min="3" max="4" width="12.28515625" style="48" customWidth="1"/>
    <col min="5" max="6" width="5.28515625" style="2" customWidth="1"/>
    <col min="7" max="7" width="5.42578125" style="5" customWidth="1"/>
    <col min="8" max="15" width="5.42578125" style="3" customWidth="1"/>
    <col min="16" max="16" width="5.42578125" style="4" customWidth="1"/>
    <col min="17" max="26" width="5.42578125" customWidth="1"/>
    <col min="27" max="27" width="6.28515625" style="1" customWidth="1"/>
    <col min="28" max="28" width="15" customWidth="1"/>
  </cols>
  <sheetData>
    <row r="1" spans="3:28">
      <c r="C1" s="1" t="s">
        <v>43</v>
      </c>
      <c r="D1" s="1"/>
    </row>
    <row r="2" spans="3:28">
      <c r="G2" s="3"/>
    </row>
    <row r="3" spans="3:28" s="4" customFormat="1" ht="13.5" thickBot="1">
      <c r="C3" s="31"/>
      <c r="D3" s="36"/>
      <c r="E3" s="9">
        <f>Score!C1</f>
        <v>1</v>
      </c>
      <c r="F3" s="9">
        <f>Score!E1</f>
        <v>3</v>
      </c>
      <c r="G3" s="9">
        <f>Score!F1</f>
        <v>4</v>
      </c>
      <c r="H3" s="9">
        <f>Score!G1</f>
        <v>5</v>
      </c>
      <c r="I3" s="9">
        <f>Score!H1</f>
        <v>6</v>
      </c>
      <c r="J3" s="9">
        <f>Score!I1</f>
        <v>7</v>
      </c>
      <c r="K3" s="9">
        <f>Score!J1</f>
        <v>8</v>
      </c>
      <c r="L3" s="9">
        <f>Score!K1</f>
        <v>9</v>
      </c>
      <c r="M3" s="9">
        <f>Score!L1</f>
        <v>10</v>
      </c>
      <c r="N3" s="9">
        <f>Score!M1</f>
        <v>11</v>
      </c>
      <c r="O3" s="9">
        <f>Score!N1</f>
        <v>12</v>
      </c>
      <c r="P3" s="9">
        <f>Score!O1</f>
        <v>13</v>
      </c>
      <c r="Q3" s="9">
        <f>Score!P1</f>
        <v>14</v>
      </c>
      <c r="R3" s="9">
        <f>Score!Q1</f>
        <v>15</v>
      </c>
      <c r="S3" s="9">
        <f>Score!R1</f>
        <v>16</v>
      </c>
      <c r="T3" s="9">
        <f>Score!S1</f>
        <v>17</v>
      </c>
      <c r="U3" s="9">
        <f>Score!T1</f>
        <v>18</v>
      </c>
      <c r="V3" s="9">
        <f>Score!U1</f>
        <v>19</v>
      </c>
      <c r="W3" s="9">
        <f>Score!V1</f>
        <v>20</v>
      </c>
      <c r="X3" s="9">
        <f>Score!W1</f>
        <v>21</v>
      </c>
      <c r="Y3" s="9" t="e">
        <f>Score!#REF!</f>
        <v>#REF!</v>
      </c>
      <c r="Z3" s="9" t="s">
        <v>2</v>
      </c>
      <c r="AA3" s="7"/>
    </row>
    <row r="4" spans="3:28">
      <c r="C4"/>
      <c r="D4"/>
      <c r="E4" s="2" t="e">
        <f>VLOOKUP($C4,Score!$B$2:$X$77,2,0)</f>
        <v>#N/A</v>
      </c>
      <c r="F4" s="2" t="e">
        <f>VLOOKUP($C4,Score!$B$2:$X$77,3,0)</f>
        <v>#N/A</v>
      </c>
      <c r="G4" s="2" t="e">
        <f>VLOOKUP($C4,Score!$B$2:$X$77,4,0)</f>
        <v>#N/A</v>
      </c>
      <c r="H4" s="2" t="e">
        <f>VLOOKUP($C4,Score!$B$2:$X$77,5,0)</f>
        <v>#N/A</v>
      </c>
      <c r="I4" s="2" t="e">
        <f>VLOOKUP($C4,Score!$B$2:$X$77,6,0)</f>
        <v>#N/A</v>
      </c>
      <c r="J4" s="2" t="e">
        <f>VLOOKUP($C4,Score!$B$2:$X$77,7,0)</f>
        <v>#N/A</v>
      </c>
      <c r="K4" s="2" t="e">
        <f>VLOOKUP($C4,Score!$B$2:$X$77,8,0)</f>
        <v>#N/A</v>
      </c>
      <c r="L4" s="2" t="e">
        <f>VLOOKUP($C4,Score!$B$2:$X$77,9,0)</f>
        <v>#N/A</v>
      </c>
      <c r="M4" s="2" t="e">
        <f>VLOOKUP($C4,Score!$B$2:$X$77,10,0)</f>
        <v>#N/A</v>
      </c>
      <c r="N4" s="2" t="e">
        <f>VLOOKUP($C4,Score!$B$2:$X$77,11,0)</f>
        <v>#N/A</v>
      </c>
      <c r="O4" s="2" t="e">
        <f>VLOOKUP($C4,Score!$B$2:$X$77,12,0)</f>
        <v>#N/A</v>
      </c>
      <c r="P4" s="2" t="e">
        <f>VLOOKUP($C4,Score!$B$2:$X$77,13,0)</f>
        <v>#N/A</v>
      </c>
      <c r="Q4" s="2" t="e">
        <f>VLOOKUP($C4,Score!$B$2:$X$77,14,0)</f>
        <v>#N/A</v>
      </c>
      <c r="R4" s="2" t="e">
        <f>VLOOKUP($C4,Score!$B$2:$X$77,15,0)</f>
        <v>#N/A</v>
      </c>
      <c r="S4" s="2" t="e">
        <f>VLOOKUP($C4,Score!$B$2:$X$77,16,0)</f>
        <v>#N/A</v>
      </c>
      <c r="T4" s="2" t="e">
        <f>VLOOKUP($C4,Score!$B$2:$X$77,17,0)</f>
        <v>#N/A</v>
      </c>
      <c r="U4" s="2" t="e">
        <f>VLOOKUP($C4,Score!$B$2:$X$77,18,0)</f>
        <v>#N/A</v>
      </c>
      <c r="V4" s="2" t="e">
        <f>VLOOKUP($C4,Score!$B$2:$X$77,19,0)</f>
        <v>#N/A</v>
      </c>
      <c r="W4" s="2" t="e">
        <f>VLOOKUP($C4,Score!$B$2:$X$77,20,0)</f>
        <v>#N/A</v>
      </c>
      <c r="X4" s="2" t="e">
        <f>VLOOKUP($C4,Score!$B$2:$Z$76,21,0)</f>
        <v>#N/A</v>
      </c>
      <c r="Y4" s="2" t="e">
        <f>VLOOKUP($C4,Score!$B$2:$Z$76,22,0)</f>
        <v>#N/A</v>
      </c>
      <c r="Z4" s="2" t="e">
        <f>VLOOKUP($C4,Score!$B$2:$Z$76,24,0)</f>
        <v>#N/A</v>
      </c>
      <c r="AA4" s="6" t="e">
        <f t="shared" ref="AA4:AA20" si="0">SUM(E4:Z4)</f>
        <v>#N/A</v>
      </c>
      <c r="AB4">
        <f t="shared" ref="AB4:AB20" si="1">C4</f>
        <v>0</v>
      </c>
    </row>
    <row r="5" spans="3:28">
      <c r="C5"/>
      <c r="D5"/>
      <c r="E5" s="2" t="e">
        <f>VLOOKUP($C5,Score!$B$2:$X$77,2,0)</f>
        <v>#N/A</v>
      </c>
      <c r="F5" s="2" t="e">
        <f>VLOOKUP($C5,Score!$B$2:$X$77,3,0)</f>
        <v>#N/A</v>
      </c>
      <c r="G5" s="2" t="e">
        <f>VLOOKUP($C5,Score!$B$2:$X$77,4,0)</f>
        <v>#N/A</v>
      </c>
      <c r="H5" s="2" t="e">
        <f>VLOOKUP($C5,Score!$B$2:$X$77,5,0)</f>
        <v>#N/A</v>
      </c>
      <c r="I5" s="2" t="e">
        <f>VLOOKUP($C5,Score!$B$2:$X$77,6,0)</f>
        <v>#N/A</v>
      </c>
      <c r="J5" s="2" t="e">
        <f>VLOOKUP($C5,Score!$B$2:$X$77,7,0)</f>
        <v>#N/A</v>
      </c>
      <c r="K5" s="2" t="e">
        <f>VLOOKUP($C5,Score!$B$2:$X$77,8,0)</f>
        <v>#N/A</v>
      </c>
      <c r="L5" s="2" t="e">
        <f>VLOOKUP($C5,Score!$B$2:$X$77,9,0)</f>
        <v>#N/A</v>
      </c>
      <c r="M5" s="2" t="e">
        <f>VLOOKUP($C5,Score!$B$2:$X$77,10,0)</f>
        <v>#N/A</v>
      </c>
      <c r="N5" s="2" t="e">
        <f>VLOOKUP($C5,Score!$B$2:$X$77,11,0)</f>
        <v>#N/A</v>
      </c>
      <c r="O5" s="2" t="e">
        <f>VLOOKUP($C5,Score!$B$2:$X$77,12,0)</f>
        <v>#N/A</v>
      </c>
      <c r="P5" s="2" t="e">
        <f>VLOOKUP($C5,Score!$B$2:$X$77,13,0)</f>
        <v>#N/A</v>
      </c>
      <c r="Q5" s="2" t="e">
        <f>VLOOKUP($C5,Score!$B$2:$X$77,14,0)</f>
        <v>#N/A</v>
      </c>
      <c r="R5" s="2" t="e">
        <f>VLOOKUP($C5,Score!$B$2:$X$77,15,0)</f>
        <v>#N/A</v>
      </c>
      <c r="S5" s="2" t="e">
        <f>VLOOKUP($C5,Score!$B$2:$X$77,16,0)</f>
        <v>#N/A</v>
      </c>
      <c r="T5" s="2" t="e">
        <f>VLOOKUP($C5,Score!$B$2:$X$77,17,0)</f>
        <v>#N/A</v>
      </c>
      <c r="U5" s="2" t="e">
        <f>VLOOKUP($C5,Score!$B$2:$X$77,18,0)</f>
        <v>#N/A</v>
      </c>
      <c r="V5" s="2" t="e">
        <f>VLOOKUP($C5,Score!$B$2:$X$77,19,0)</f>
        <v>#N/A</v>
      </c>
      <c r="W5" s="2" t="e">
        <f>VLOOKUP($C5,Score!$B$2:$X$77,20,0)</f>
        <v>#N/A</v>
      </c>
      <c r="X5" s="2" t="e">
        <f>VLOOKUP($C5,Score!$B$2:$Z$76,21,0)</f>
        <v>#N/A</v>
      </c>
      <c r="Y5" s="2" t="e">
        <f>VLOOKUP($C5,Score!$B$2:$Z$76,22,0)</f>
        <v>#N/A</v>
      </c>
      <c r="Z5" s="2" t="e">
        <f>VLOOKUP($C5,Score!$B$2:$Z$76,24,0)</f>
        <v>#N/A</v>
      </c>
      <c r="AA5" s="6" t="e">
        <f t="shared" si="0"/>
        <v>#N/A</v>
      </c>
      <c r="AB5">
        <f t="shared" si="1"/>
        <v>0</v>
      </c>
    </row>
    <row r="6" spans="3:28">
      <c r="C6"/>
      <c r="D6"/>
      <c r="E6" s="2" t="e">
        <f>VLOOKUP($C6,Score!$B$2:$X$77,2,0)</f>
        <v>#N/A</v>
      </c>
      <c r="F6" s="2" t="e">
        <f>VLOOKUP($C6,Score!$B$2:$X$77,3,0)</f>
        <v>#N/A</v>
      </c>
      <c r="G6" s="2" t="e">
        <f>VLOOKUP($C6,Score!$B$2:$X$77,4,0)</f>
        <v>#N/A</v>
      </c>
      <c r="H6" s="2" t="e">
        <f>VLOOKUP($C6,Score!$B$2:$X$77,5,0)</f>
        <v>#N/A</v>
      </c>
      <c r="I6" s="2" t="e">
        <f>VLOOKUP($C6,Score!$B$2:$X$77,6,0)</f>
        <v>#N/A</v>
      </c>
      <c r="J6" s="2" t="e">
        <f>VLOOKUP($C6,Score!$B$2:$X$77,7,0)</f>
        <v>#N/A</v>
      </c>
      <c r="K6" s="2" t="e">
        <f>VLOOKUP($C6,Score!$B$2:$X$77,8,0)</f>
        <v>#N/A</v>
      </c>
      <c r="L6" s="2" t="e">
        <f>VLOOKUP($C6,Score!$B$2:$X$77,9,0)</f>
        <v>#N/A</v>
      </c>
      <c r="M6" s="2" t="e">
        <f>VLOOKUP($C6,Score!$B$2:$X$77,10,0)</f>
        <v>#N/A</v>
      </c>
      <c r="N6" s="2" t="e">
        <f>VLOOKUP($C6,Score!$B$2:$X$77,11,0)</f>
        <v>#N/A</v>
      </c>
      <c r="O6" s="2" t="e">
        <f>VLOOKUP($C6,Score!$B$2:$X$77,12,0)</f>
        <v>#N/A</v>
      </c>
      <c r="P6" s="2" t="e">
        <f>VLOOKUP($C6,Score!$B$2:$X$77,13,0)</f>
        <v>#N/A</v>
      </c>
      <c r="Q6" s="2" t="e">
        <f>VLOOKUP($C6,Score!$B$2:$X$77,14,0)</f>
        <v>#N/A</v>
      </c>
      <c r="R6" s="2" t="e">
        <f>VLOOKUP($C6,Score!$B$2:$X$77,15,0)</f>
        <v>#N/A</v>
      </c>
      <c r="S6" s="2" t="e">
        <f>VLOOKUP($C6,Score!$B$2:$X$77,16,0)</f>
        <v>#N/A</v>
      </c>
      <c r="T6" s="2" t="e">
        <f>VLOOKUP($C6,Score!$B$2:$X$77,17,0)</f>
        <v>#N/A</v>
      </c>
      <c r="U6" s="2" t="e">
        <f>VLOOKUP($C6,Score!$B$2:$X$77,18,0)</f>
        <v>#N/A</v>
      </c>
      <c r="V6" s="2" t="e">
        <f>VLOOKUP($C6,Score!$B$2:$X$77,19,0)</f>
        <v>#N/A</v>
      </c>
      <c r="W6" s="2" t="e">
        <f>VLOOKUP($C6,Score!$B$2:$X$77,20,0)</f>
        <v>#N/A</v>
      </c>
      <c r="X6" s="2" t="e">
        <f>VLOOKUP($C6,Score!$B$2:$Z$76,21,0)</f>
        <v>#N/A</v>
      </c>
      <c r="Y6" s="2" t="e">
        <f>VLOOKUP($C6,Score!$B$2:$Z$76,22,0)</f>
        <v>#N/A</v>
      </c>
      <c r="Z6" s="2" t="e">
        <f>VLOOKUP($C6,Score!$B$2:$Z$76,24,0)</f>
        <v>#N/A</v>
      </c>
      <c r="AA6" s="6" t="e">
        <f t="shared" si="0"/>
        <v>#N/A</v>
      </c>
      <c r="AB6">
        <f t="shared" si="1"/>
        <v>0</v>
      </c>
    </row>
    <row r="7" spans="3:28">
      <c r="C7"/>
      <c r="D7"/>
      <c r="E7" s="2" t="e">
        <f>VLOOKUP($C7,Score!$B$2:$X$77,2,0)</f>
        <v>#N/A</v>
      </c>
      <c r="F7" s="2" t="e">
        <f>VLOOKUP($C7,Score!$B$2:$X$77,3,0)</f>
        <v>#N/A</v>
      </c>
      <c r="G7" s="2" t="e">
        <f>VLOOKUP($C7,Score!$B$2:$X$77,4,0)</f>
        <v>#N/A</v>
      </c>
      <c r="H7" s="2" t="e">
        <f>VLOOKUP($C7,Score!$B$2:$X$77,5,0)</f>
        <v>#N/A</v>
      </c>
      <c r="I7" s="2" t="e">
        <f>VLOOKUP($C7,Score!$B$2:$X$77,6,0)</f>
        <v>#N/A</v>
      </c>
      <c r="J7" s="2" t="e">
        <f>VLOOKUP($C7,Score!$B$2:$X$77,7,0)</f>
        <v>#N/A</v>
      </c>
      <c r="K7" s="2" t="e">
        <f>VLOOKUP($C7,Score!$B$2:$X$77,8,0)</f>
        <v>#N/A</v>
      </c>
      <c r="L7" s="2" t="e">
        <f>VLOOKUP($C7,Score!$B$2:$X$77,9,0)</f>
        <v>#N/A</v>
      </c>
      <c r="M7" s="2" t="e">
        <f>VLOOKUP($C7,Score!$B$2:$X$77,10,0)</f>
        <v>#N/A</v>
      </c>
      <c r="N7" s="2" t="e">
        <f>VLOOKUP($C7,Score!$B$2:$X$77,11,0)</f>
        <v>#N/A</v>
      </c>
      <c r="O7" s="2" t="e">
        <f>VLOOKUP($C7,Score!$B$2:$X$77,12,0)</f>
        <v>#N/A</v>
      </c>
      <c r="P7" s="2" t="e">
        <f>VLOOKUP($C7,Score!$B$2:$X$77,13,0)</f>
        <v>#N/A</v>
      </c>
      <c r="Q7" s="2" t="e">
        <f>VLOOKUP($C7,Score!$B$2:$X$77,14,0)</f>
        <v>#N/A</v>
      </c>
      <c r="R7" s="2" t="e">
        <f>VLOOKUP($C7,Score!$B$2:$X$77,15,0)</f>
        <v>#N/A</v>
      </c>
      <c r="S7" s="2" t="e">
        <f>VLOOKUP($C7,Score!$B$2:$X$77,16,0)</f>
        <v>#N/A</v>
      </c>
      <c r="T7" s="2" t="e">
        <f>VLOOKUP($C7,Score!$B$2:$X$77,17,0)</f>
        <v>#N/A</v>
      </c>
      <c r="U7" s="2" t="e">
        <f>VLOOKUP($C7,Score!$B$2:$X$77,18,0)</f>
        <v>#N/A</v>
      </c>
      <c r="V7" s="2" t="e">
        <f>VLOOKUP($C7,Score!$B$2:$X$77,19,0)</f>
        <v>#N/A</v>
      </c>
      <c r="W7" s="2" t="e">
        <f>VLOOKUP($C7,Score!$B$2:$X$77,20,0)</f>
        <v>#N/A</v>
      </c>
      <c r="X7" s="2" t="e">
        <f>VLOOKUP($C7,Score!$B$2:$Z$76,21,0)</f>
        <v>#N/A</v>
      </c>
      <c r="Y7" s="2" t="e">
        <f>VLOOKUP($C7,Score!$B$2:$Z$76,22,0)</f>
        <v>#N/A</v>
      </c>
      <c r="Z7" s="2" t="e">
        <f>VLOOKUP($C7,Score!$B$2:$Z$76,24,0)</f>
        <v>#N/A</v>
      </c>
      <c r="AA7" s="6" t="e">
        <f t="shared" si="0"/>
        <v>#N/A</v>
      </c>
      <c r="AB7">
        <f t="shared" si="1"/>
        <v>0</v>
      </c>
    </row>
    <row r="8" spans="3:28">
      <c r="C8"/>
      <c r="D8"/>
      <c r="E8" s="2" t="e">
        <f>VLOOKUP($C8,Score!$B$2:$X$77,2,0)</f>
        <v>#N/A</v>
      </c>
      <c r="F8" s="2" t="e">
        <f>VLOOKUP($C8,Score!$B$2:$X$77,3,0)</f>
        <v>#N/A</v>
      </c>
      <c r="G8" s="2" t="e">
        <f>VLOOKUP($C8,Score!$B$2:$X$77,4,0)</f>
        <v>#N/A</v>
      </c>
      <c r="H8" s="2" t="e">
        <f>VLOOKUP($C8,Score!$B$2:$X$77,5,0)</f>
        <v>#N/A</v>
      </c>
      <c r="I8" s="2" t="e">
        <f>VLOOKUP($C8,Score!$B$2:$X$77,6,0)</f>
        <v>#N/A</v>
      </c>
      <c r="J8" s="2" t="e">
        <f>VLOOKUP($C8,Score!$B$2:$X$77,7,0)</f>
        <v>#N/A</v>
      </c>
      <c r="K8" s="2" t="e">
        <f>VLOOKUP($C8,Score!$B$2:$X$77,8,0)</f>
        <v>#N/A</v>
      </c>
      <c r="L8" s="2" t="e">
        <f>VLOOKUP($C8,Score!$B$2:$X$77,9,0)</f>
        <v>#N/A</v>
      </c>
      <c r="M8" s="2" t="e">
        <f>VLOOKUP($C8,Score!$B$2:$X$77,10,0)</f>
        <v>#N/A</v>
      </c>
      <c r="N8" s="2" t="e">
        <f>VLOOKUP($C8,Score!$B$2:$X$77,11,0)</f>
        <v>#N/A</v>
      </c>
      <c r="O8" s="2" t="e">
        <f>VLOOKUP($C8,Score!$B$2:$X$77,12,0)</f>
        <v>#N/A</v>
      </c>
      <c r="P8" s="2" t="e">
        <f>VLOOKUP($C8,Score!$B$2:$X$77,13,0)</f>
        <v>#N/A</v>
      </c>
      <c r="Q8" s="2" t="e">
        <f>VLOOKUP($C8,Score!$B$2:$X$77,14,0)</f>
        <v>#N/A</v>
      </c>
      <c r="R8" s="2" t="e">
        <f>VLOOKUP($C8,Score!$B$2:$X$77,15,0)</f>
        <v>#N/A</v>
      </c>
      <c r="S8" s="2" t="e">
        <f>VLOOKUP($C8,Score!$B$2:$X$77,16,0)</f>
        <v>#N/A</v>
      </c>
      <c r="T8" s="2" t="e">
        <f>VLOOKUP($C8,Score!$B$2:$X$77,17,0)</f>
        <v>#N/A</v>
      </c>
      <c r="U8" s="2" t="e">
        <f>VLOOKUP($C8,Score!$B$2:$X$77,18,0)</f>
        <v>#N/A</v>
      </c>
      <c r="V8" s="2" t="e">
        <f>VLOOKUP($C8,Score!$B$2:$X$77,19,0)</f>
        <v>#N/A</v>
      </c>
      <c r="W8" s="2" t="e">
        <f>VLOOKUP($C8,Score!$B$2:$X$77,20,0)</f>
        <v>#N/A</v>
      </c>
      <c r="X8" s="2" t="e">
        <f>VLOOKUP($C8,Score!$B$2:$Z$76,21,0)</f>
        <v>#N/A</v>
      </c>
      <c r="Y8" s="2" t="e">
        <f>VLOOKUP($C8,Score!$B$2:$Z$76,22,0)</f>
        <v>#N/A</v>
      </c>
      <c r="Z8" s="2" t="e">
        <f>VLOOKUP($C8,Score!$B$2:$Z$76,24,0)</f>
        <v>#N/A</v>
      </c>
      <c r="AA8" s="6" t="e">
        <f t="shared" si="0"/>
        <v>#N/A</v>
      </c>
      <c r="AB8">
        <f t="shared" si="1"/>
        <v>0</v>
      </c>
    </row>
    <row r="9" spans="3:28">
      <c r="C9"/>
      <c r="D9"/>
      <c r="E9" s="2" t="e">
        <f>VLOOKUP($C9,Score!$B$2:$X$77,2,0)</f>
        <v>#N/A</v>
      </c>
      <c r="F9" s="2" t="e">
        <f>VLOOKUP($C9,Score!$B$2:$X$77,3,0)</f>
        <v>#N/A</v>
      </c>
      <c r="G9" s="2" t="e">
        <f>VLOOKUP($C9,Score!$B$2:$X$77,4,0)</f>
        <v>#N/A</v>
      </c>
      <c r="H9" s="2" t="e">
        <f>VLOOKUP($C9,Score!$B$2:$X$77,5,0)</f>
        <v>#N/A</v>
      </c>
      <c r="I9" s="2" t="e">
        <f>VLOOKUP($C9,Score!$B$2:$X$77,6,0)</f>
        <v>#N/A</v>
      </c>
      <c r="J9" s="2" t="e">
        <f>VLOOKUP($C9,Score!$B$2:$X$77,7,0)</f>
        <v>#N/A</v>
      </c>
      <c r="K9" s="2" t="e">
        <f>VLOOKUP($C9,Score!$B$2:$X$77,8,0)</f>
        <v>#N/A</v>
      </c>
      <c r="L9" s="2" t="e">
        <f>VLOOKUP($C9,Score!$B$2:$X$77,9,0)</f>
        <v>#N/A</v>
      </c>
      <c r="M9" s="2" t="e">
        <f>VLOOKUP($C9,Score!$B$2:$X$77,10,0)</f>
        <v>#N/A</v>
      </c>
      <c r="N9" s="2" t="e">
        <f>VLOOKUP($C9,Score!$B$2:$X$77,11,0)</f>
        <v>#N/A</v>
      </c>
      <c r="O9" s="2" t="e">
        <f>VLOOKUP($C9,Score!$B$2:$X$77,12,0)</f>
        <v>#N/A</v>
      </c>
      <c r="P9" s="2" t="e">
        <f>VLOOKUP($C9,Score!$B$2:$X$77,13,0)</f>
        <v>#N/A</v>
      </c>
      <c r="Q9" s="2" t="e">
        <f>VLOOKUP($C9,Score!$B$2:$X$77,14,0)</f>
        <v>#N/A</v>
      </c>
      <c r="R9" s="2" t="e">
        <f>VLOOKUP($C9,Score!$B$2:$X$77,15,0)</f>
        <v>#N/A</v>
      </c>
      <c r="S9" s="2" t="e">
        <f>VLOOKUP($C9,Score!$B$2:$X$77,16,0)</f>
        <v>#N/A</v>
      </c>
      <c r="T9" s="2" t="e">
        <f>VLOOKUP($C9,Score!$B$2:$X$77,17,0)</f>
        <v>#N/A</v>
      </c>
      <c r="U9" s="2" t="e">
        <f>VLOOKUP($C9,Score!$B$2:$X$77,18,0)</f>
        <v>#N/A</v>
      </c>
      <c r="V9" s="2" t="e">
        <f>VLOOKUP($C9,Score!$B$2:$X$77,19,0)</f>
        <v>#N/A</v>
      </c>
      <c r="W9" s="2" t="e">
        <f>VLOOKUP($C9,Score!$B$2:$X$77,20,0)</f>
        <v>#N/A</v>
      </c>
      <c r="X9" s="2" t="e">
        <f>VLOOKUP($C9,Score!$B$2:$Z$76,21,0)</f>
        <v>#N/A</v>
      </c>
      <c r="Y9" s="2" t="e">
        <f>VLOOKUP($C9,Score!$B$2:$Z$76,22,0)</f>
        <v>#N/A</v>
      </c>
      <c r="Z9" s="2" t="e">
        <f>VLOOKUP($C9,Score!$B$2:$Z$76,24,0)</f>
        <v>#N/A</v>
      </c>
      <c r="AA9" s="6" t="e">
        <f t="shared" si="0"/>
        <v>#N/A</v>
      </c>
      <c r="AB9">
        <f t="shared" si="1"/>
        <v>0</v>
      </c>
    </row>
    <row r="10" spans="3:28">
      <c r="C10"/>
      <c r="D10"/>
      <c r="E10" s="2" t="e">
        <f>VLOOKUP($C10,Score!$B$2:$X$77,2,0)</f>
        <v>#N/A</v>
      </c>
      <c r="F10" s="2" t="e">
        <f>VLOOKUP($C10,Score!$B$2:$X$77,3,0)</f>
        <v>#N/A</v>
      </c>
      <c r="G10" s="2" t="e">
        <f>VLOOKUP($C10,Score!$B$2:$X$77,4,0)</f>
        <v>#N/A</v>
      </c>
      <c r="H10" s="2" t="e">
        <f>VLOOKUP($C10,Score!$B$2:$X$77,5,0)</f>
        <v>#N/A</v>
      </c>
      <c r="I10" s="2" t="e">
        <f>VLOOKUP($C10,Score!$B$2:$X$77,6,0)</f>
        <v>#N/A</v>
      </c>
      <c r="J10" s="2" t="e">
        <f>VLOOKUP($C10,Score!$B$2:$X$77,7,0)</f>
        <v>#N/A</v>
      </c>
      <c r="K10" s="2" t="e">
        <f>VLOOKUP($C10,Score!$B$2:$X$77,8,0)</f>
        <v>#N/A</v>
      </c>
      <c r="L10" s="2" t="e">
        <f>VLOOKUP($C10,Score!$B$2:$X$77,9,0)</f>
        <v>#N/A</v>
      </c>
      <c r="M10" s="2" t="e">
        <f>VLOOKUP($C10,Score!$B$2:$X$77,10,0)</f>
        <v>#N/A</v>
      </c>
      <c r="N10" s="2" t="e">
        <f>VLOOKUP($C10,Score!$B$2:$X$77,11,0)</f>
        <v>#N/A</v>
      </c>
      <c r="O10" s="2" t="e">
        <f>VLOOKUP($C10,Score!$B$2:$X$77,12,0)</f>
        <v>#N/A</v>
      </c>
      <c r="P10" s="2" t="e">
        <f>VLOOKUP($C10,Score!$B$2:$X$77,13,0)</f>
        <v>#N/A</v>
      </c>
      <c r="Q10" s="2" t="e">
        <f>VLOOKUP($C10,Score!$B$2:$X$77,14,0)</f>
        <v>#N/A</v>
      </c>
      <c r="R10" s="2" t="e">
        <f>VLOOKUP($C10,Score!$B$2:$X$77,15,0)</f>
        <v>#N/A</v>
      </c>
      <c r="S10" s="2" t="e">
        <f>VLOOKUP($C10,Score!$B$2:$X$77,16,0)</f>
        <v>#N/A</v>
      </c>
      <c r="T10" s="2" t="e">
        <f>VLOOKUP($C10,Score!$B$2:$X$77,17,0)</f>
        <v>#N/A</v>
      </c>
      <c r="U10" s="2" t="e">
        <f>VLOOKUP($C10,Score!$B$2:$X$77,18,0)</f>
        <v>#N/A</v>
      </c>
      <c r="V10" s="2" t="e">
        <f>VLOOKUP($C10,Score!$B$2:$X$77,19,0)</f>
        <v>#N/A</v>
      </c>
      <c r="W10" s="2" t="e">
        <f>VLOOKUP($C10,Score!$B$2:$X$77,20,0)</f>
        <v>#N/A</v>
      </c>
      <c r="X10" s="2" t="e">
        <f>VLOOKUP($C10,Score!$B$2:$Z$76,21,0)</f>
        <v>#N/A</v>
      </c>
      <c r="Y10" s="2" t="e">
        <f>VLOOKUP($C10,Score!$B$2:$Z$76,22,0)</f>
        <v>#N/A</v>
      </c>
      <c r="Z10" s="2" t="e">
        <f>VLOOKUP($C10,Score!$B$2:$Z$76,24,0)</f>
        <v>#N/A</v>
      </c>
      <c r="AA10" s="6" t="e">
        <f t="shared" si="0"/>
        <v>#N/A</v>
      </c>
      <c r="AB10">
        <f t="shared" si="1"/>
        <v>0</v>
      </c>
    </row>
    <row r="11" spans="3:28">
      <c r="C11"/>
      <c r="D11"/>
      <c r="E11" s="2" t="e">
        <f>VLOOKUP($C11,Score!$B$2:$X$77,2,0)</f>
        <v>#N/A</v>
      </c>
      <c r="F11" s="2" t="e">
        <f>VLOOKUP($C11,Score!$B$2:$X$77,3,0)</f>
        <v>#N/A</v>
      </c>
      <c r="G11" s="2" t="e">
        <f>VLOOKUP($C11,Score!$B$2:$X$77,4,0)</f>
        <v>#N/A</v>
      </c>
      <c r="H11" s="2" t="e">
        <f>VLOOKUP($C11,Score!$B$2:$X$77,5,0)</f>
        <v>#N/A</v>
      </c>
      <c r="I11" s="2" t="e">
        <f>VLOOKUP($C11,Score!$B$2:$X$77,6,0)</f>
        <v>#N/A</v>
      </c>
      <c r="J11" s="2" t="e">
        <f>VLOOKUP($C11,Score!$B$2:$X$77,7,0)</f>
        <v>#N/A</v>
      </c>
      <c r="K11" s="2" t="e">
        <f>VLOOKUP($C11,Score!$B$2:$X$77,8,0)</f>
        <v>#N/A</v>
      </c>
      <c r="L11" s="2" t="e">
        <f>VLOOKUP($C11,Score!$B$2:$X$77,9,0)</f>
        <v>#N/A</v>
      </c>
      <c r="M11" s="2" t="e">
        <f>VLOOKUP($C11,Score!$B$2:$X$77,10,0)</f>
        <v>#N/A</v>
      </c>
      <c r="N11" s="2" t="e">
        <f>VLOOKUP($C11,Score!$B$2:$X$77,11,0)</f>
        <v>#N/A</v>
      </c>
      <c r="O11" s="2" t="e">
        <f>VLOOKUP($C11,Score!$B$2:$X$77,12,0)</f>
        <v>#N/A</v>
      </c>
      <c r="P11" s="2" t="e">
        <f>VLOOKUP($C11,Score!$B$2:$X$77,13,0)</f>
        <v>#N/A</v>
      </c>
      <c r="Q11" s="2" t="e">
        <f>VLOOKUP($C11,Score!$B$2:$X$77,14,0)</f>
        <v>#N/A</v>
      </c>
      <c r="R11" s="2" t="e">
        <f>VLOOKUP($C11,Score!$B$2:$X$77,15,0)</f>
        <v>#N/A</v>
      </c>
      <c r="S11" s="2" t="e">
        <f>VLOOKUP($C11,Score!$B$2:$X$77,16,0)</f>
        <v>#N/A</v>
      </c>
      <c r="T11" s="2" t="e">
        <f>VLOOKUP($C11,Score!$B$2:$X$77,17,0)</f>
        <v>#N/A</v>
      </c>
      <c r="U11" s="2" t="e">
        <f>VLOOKUP($C11,Score!$B$2:$X$77,18,0)</f>
        <v>#N/A</v>
      </c>
      <c r="V11" s="2" t="e">
        <f>VLOOKUP($C11,Score!$B$2:$X$77,19,0)</f>
        <v>#N/A</v>
      </c>
      <c r="W11" s="2" t="e">
        <f>VLOOKUP($C11,Score!$B$2:$X$77,20,0)</f>
        <v>#N/A</v>
      </c>
      <c r="X11" s="2" t="e">
        <f>VLOOKUP($C11,Score!$B$2:$Z$76,21,0)</f>
        <v>#N/A</v>
      </c>
      <c r="Y11" s="2" t="e">
        <f>VLOOKUP($C11,Score!$B$2:$Z$76,22,0)</f>
        <v>#N/A</v>
      </c>
      <c r="Z11" s="2" t="e">
        <f>VLOOKUP($C11,Score!$B$2:$Z$76,24,0)</f>
        <v>#N/A</v>
      </c>
      <c r="AA11" s="6" t="e">
        <f t="shared" si="0"/>
        <v>#N/A</v>
      </c>
      <c r="AB11">
        <f t="shared" si="1"/>
        <v>0</v>
      </c>
    </row>
    <row r="12" spans="3:28">
      <c r="C12"/>
      <c r="D12"/>
      <c r="E12" s="2" t="e">
        <f>VLOOKUP($C12,Score!$B$2:$X$77,2,0)</f>
        <v>#N/A</v>
      </c>
      <c r="F12" s="2" t="e">
        <f>VLOOKUP($C12,Score!$B$2:$X$77,3,0)</f>
        <v>#N/A</v>
      </c>
      <c r="G12" s="2" t="e">
        <f>VLOOKUP($C12,Score!$B$2:$X$77,4,0)</f>
        <v>#N/A</v>
      </c>
      <c r="H12" s="2" t="e">
        <f>VLOOKUP($C12,Score!$B$2:$X$77,5,0)</f>
        <v>#N/A</v>
      </c>
      <c r="I12" s="2" t="e">
        <f>VLOOKUP($C12,Score!$B$2:$X$77,6,0)</f>
        <v>#N/A</v>
      </c>
      <c r="J12" s="2" t="e">
        <f>VLOOKUP($C12,Score!$B$2:$X$77,7,0)</f>
        <v>#N/A</v>
      </c>
      <c r="K12" s="2" t="e">
        <f>VLOOKUP($C12,Score!$B$2:$X$77,8,0)</f>
        <v>#N/A</v>
      </c>
      <c r="L12" s="2" t="e">
        <f>VLOOKUP($C12,Score!$B$2:$X$77,9,0)</f>
        <v>#N/A</v>
      </c>
      <c r="M12" s="2" t="e">
        <f>VLOOKUP($C12,Score!$B$2:$X$77,10,0)</f>
        <v>#N/A</v>
      </c>
      <c r="N12" s="2" t="e">
        <f>VLOOKUP($C12,Score!$B$2:$X$77,11,0)</f>
        <v>#N/A</v>
      </c>
      <c r="O12" s="2" t="e">
        <f>VLOOKUP($C12,Score!$B$2:$X$77,12,0)</f>
        <v>#N/A</v>
      </c>
      <c r="P12" s="2" t="e">
        <f>VLOOKUP($C12,Score!$B$2:$X$77,13,0)</f>
        <v>#N/A</v>
      </c>
      <c r="Q12" s="2" t="e">
        <f>VLOOKUP($C12,Score!$B$2:$X$77,14,0)</f>
        <v>#N/A</v>
      </c>
      <c r="R12" s="2" t="e">
        <f>VLOOKUP($C12,Score!$B$2:$X$77,15,0)</f>
        <v>#N/A</v>
      </c>
      <c r="S12" s="2" t="e">
        <f>VLOOKUP($C12,Score!$B$2:$X$77,16,0)</f>
        <v>#N/A</v>
      </c>
      <c r="T12" s="2" t="e">
        <f>VLOOKUP($C12,Score!$B$2:$X$77,17,0)</f>
        <v>#N/A</v>
      </c>
      <c r="U12" s="2" t="e">
        <f>VLOOKUP($C12,Score!$B$2:$X$77,18,0)</f>
        <v>#N/A</v>
      </c>
      <c r="V12" s="2" t="e">
        <f>VLOOKUP($C12,Score!$B$2:$X$77,19,0)</f>
        <v>#N/A</v>
      </c>
      <c r="W12" s="2" t="e">
        <f>VLOOKUP($C12,Score!$B$2:$X$77,20,0)</f>
        <v>#N/A</v>
      </c>
      <c r="X12" s="2" t="e">
        <f>VLOOKUP($C12,Score!$B$2:$Z$76,21,0)</f>
        <v>#N/A</v>
      </c>
      <c r="Y12" s="2" t="e">
        <f>VLOOKUP($C12,Score!$B$2:$Z$76,22,0)</f>
        <v>#N/A</v>
      </c>
      <c r="Z12" s="2" t="e">
        <f>VLOOKUP($C12,Score!$B$2:$Z$76,24,0)</f>
        <v>#N/A</v>
      </c>
      <c r="AA12" s="6" t="e">
        <f t="shared" si="0"/>
        <v>#N/A</v>
      </c>
      <c r="AB12">
        <f t="shared" si="1"/>
        <v>0</v>
      </c>
    </row>
    <row r="13" spans="3:28">
      <c r="C13" s="37"/>
      <c r="D13" s="37"/>
      <c r="E13" s="2" t="e">
        <f>VLOOKUP($C13,Score!$B$2:$X$77,2,0)</f>
        <v>#N/A</v>
      </c>
      <c r="F13" s="2" t="e">
        <f>VLOOKUP($C13,Score!$B$2:$X$77,3,0)</f>
        <v>#N/A</v>
      </c>
      <c r="G13" s="2" t="e">
        <f>VLOOKUP($C13,Score!$B$2:$X$77,4,0)</f>
        <v>#N/A</v>
      </c>
      <c r="H13" s="2" t="e">
        <f>VLOOKUP($C13,Score!$B$2:$X$77,5,0)</f>
        <v>#N/A</v>
      </c>
      <c r="I13" s="2" t="e">
        <f>VLOOKUP($C13,Score!$B$2:$X$77,6,0)</f>
        <v>#N/A</v>
      </c>
      <c r="J13" s="2" t="e">
        <f>VLOOKUP($C13,Score!$B$2:$X$77,7,0)</f>
        <v>#N/A</v>
      </c>
      <c r="K13" s="2" t="e">
        <f>VLOOKUP($C13,Score!$B$2:$X$77,8,0)</f>
        <v>#N/A</v>
      </c>
      <c r="L13" s="2" t="e">
        <f>VLOOKUP($C13,Score!$B$2:$X$77,9,0)</f>
        <v>#N/A</v>
      </c>
      <c r="M13" s="2" t="e">
        <f>VLOOKUP($C13,Score!$B$2:$X$77,10,0)</f>
        <v>#N/A</v>
      </c>
      <c r="N13" s="2" t="e">
        <f>VLOOKUP($C13,Score!$B$2:$X$77,11,0)</f>
        <v>#N/A</v>
      </c>
      <c r="O13" s="2" t="e">
        <f>VLOOKUP($C13,Score!$B$2:$X$77,12,0)</f>
        <v>#N/A</v>
      </c>
      <c r="P13" s="2" t="e">
        <f>VLOOKUP($C13,Score!$B$2:$X$77,13,0)</f>
        <v>#N/A</v>
      </c>
      <c r="Q13" s="2" t="e">
        <f>VLOOKUP($C13,Score!$B$2:$X$77,14,0)</f>
        <v>#N/A</v>
      </c>
      <c r="R13" s="2" t="e">
        <f>VLOOKUP($C13,Score!$B$2:$X$77,15,0)</f>
        <v>#N/A</v>
      </c>
      <c r="S13" s="2" t="e">
        <f>VLOOKUP($C13,Score!$B$2:$X$77,16,0)</f>
        <v>#N/A</v>
      </c>
      <c r="T13" s="2" t="e">
        <f>VLOOKUP($C13,Score!$B$2:$X$77,17,0)</f>
        <v>#N/A</v>
      </c>
      <c r="U13" s="2" t="e">
        <f>VLOOKUP($C13,Score!$B$2:$X$77,18,0)</f>
        <v>#N/A</v>
      </c>
      <c r="V13" s="2" t="e">
        <f>VLOOKUP($C13,Score!$B$2:$X$77,19,0)</f>
        <v>#N/A</v>
      </c>
      <c r="W13" s="2" t="e">
        <f>VLOOKUP($C13,Score!$B$2:$X$77,20,0)</f>
        <v>#N/A</v>
      </c>
      <c r="X13" s="2" t="e">
        <f>VLOOKUP($C13,Score!$B$2:$Z$76,21,0)</f>
        <v>#N/A</v>
      </c>
      <c r="Y13" s="2" t="e">
        <f>VLOOKUP($C13,Score!$B$2:$Z$76,22,0)</f>
        <v>#N/A</v>
      </c>
      <c r="Z13" s="2" t="e">
        <f>VLOOKUP($C13,Score!$B$2:$Z$76,24,0)</f>
        <v>#N/A</v>
      </c>
      <c r="AA13" s="6" t="e">
        <f t="shared" si="0"/>
        <v>#N/A</v>
      </c>
      <c r="AB13">
        <f t="shared" si="1"/>
        <v>0</v>
      </c>
    </row>
    <row r="14" spans="3:28">
      <c r="C14"/>
      <c r="D14"/>
      <c r="E14" s="2" t="e">
        <f>VLOOKUP($C14,Score!$B$2:$X$77,2,0)</f>
        <v>#N/A</v>
      </c>
      <c r="F14" s="2" t="e">
        <f>VLOOKUP($C14,Score!$B$2:$X$77,3,0)</f>
        <v>#N/A</v>
      </c>
      <c r="G14" s="2" t="e">
        <f>VLOOKUP($C14,Score!$B$2:$X$77,4,0)</f>
        <v>#N/A</v>
      </c>
      <c r="H14" s="2" t="e">
        <f>VLOOKUP($C14,Score!$B$2:$X$77,5,0)</f>
        <v>#N/A</v>
      </c>
      <c r="I14" s="2" t="e">
        <f>VLOOKUP($C14,Score!$B$2:$X$77,6,0)</f>
        <v>#N/A</v>
      </c>
      <c r="J14" s="2" t="e">
        <f>VLOOKUP($C14,Score!$B$2:$X$77,7,0)</f>
        <v>#N/A</v>
      </c>
      <c r="K14" s="2" t="e">
        <f>VLOOKUP($C14,Score!$B$2:$X$77,8,0)</f>
        <v>#N/A</v>
      </c>
      <c r="L14" s="2" t="e">
        <f>VLOOKUP($C14,Score!$B$2:$X$77,9,0)</f>
        <v>#N/A</v>
      </c>
      <c r="M14" s="2" t="e">
        <f>VLOOKUP($C14,Score!$B$2:$X$77,10,0)</f>
        <v>#N/A</v>
      </c>
      <c r="N14" s="2" t="e">
        <f>VLOOKUP($C14,Score!$B$2:$X$77,11,0)</f>
        <v>#N/A</v>
      </c>
      <c r="O14" s="2" t="e">
        <f>VLOOKUP($C14,Score!$B$2:$X$77,12,0)</f>
        <v>#N/A</v>
      </c>
      <c r="P14" s="2" t="e">
        <f>VLOOKUP($C14,Score!$B$2:$X$77,13,0)</f>
        <v>#N/A</v>
      </c>
      <c r="Q14" s="2" t="e">
        <f>VLOOKUP($C14,Score!$B$2:$X$77,14,0)</f>
        <v>#N/A</v>
      </c>
      <c r="R14" s="2" t="e">
        <f>VLOOKUP($C14,Score!$B$2:$X$77,15,0)</f>
        <v>#N/A</v>
      </c>
      <c r="S14" s="2" t="e">
        <f>VLOOKUP($C14,Score!$B$2:$X$77,16,0)</f>
        <v>#N/A</v>
      </c>
      <c r="T14" s="2" t="e">
        <f>VLOOKUP($C14,Score!$B$2:$X$77,17,0)</f>
        <v>#N/A</v>
      </c>
      <c r="U14" s="2" t="e">
        <f>VLOOKUP($C14,Score!$B$2:$X$77,18,0)</f>
        <v>#N/A</v>
      </c>
      <c r="V14" s="2" t="e">
        <f>VLOOKUP($C14,Score!$B$2:$X$77,19,0)</f>
        <v>#N/A</v>
      </c>
      <c r="W14" s="2" t="e">
        <f>VLOOKUP($C14,Score!$B$2:$X$77,20,0)</f>
        <v>#N/A</v>
      </c>
      <c r="X14" s="2" t="e">
        <f>VLOOKUP($C14,Score!$B$2:$Z$76,21,0)</f>
        <v>#N/A</v>
      </c>
      <c r="Y14" s="2" t="e">
        <f>VLOOKUP($C14,Score!$B$2:$Z$76,22,0)</f>
        <v>#N/A</v>
      </c>
      <c r="Z14" s="2" t="e">
        <f>VLOOKUP($C14,Score!$B$2:$Z$76,24,0)</f>
        <v>#N/A</v>
      </c>
      <c r="AA14" s="6" t="e">
        <f t="shared" si="0"/>
        <v>#N/A</v>
      </c>
      <c r="AB14">
        <f t="shared" si="1"/>
        <v>0</v>
      </c>
    </row>
    <row r="15" spans="3:28">
      <c r="C15"/>
      <c r="D15"/>
      <c r="E15" s="2" t="e">
        <f>VLOOKUP($C15,Score!$B$2:$X$77,2,0)</f>
        <v>#N/A</v>
      </c>
      <c r="F15" s="2" t="e">
        <f>VLOOKUP($C15,Score!$B$2:$X$77,3,0)</f>
        <v>#N/A</v>
      </c>
      <c r="G15" s="2" t="e">
        <f>VLOOKUP($C15,Score!$B$2:$X$77,4,0)</f>
        <v>#N/A</v>
      </c>
      <c r="H15" s="2" t="e">
        <f>VLOOKUP($C15,Score!$B$2:$X$77,5,0)</f>
        <v>#N/A</v>
      </c>
      <c r="I15" s="2" t="e">
        <f>VLOOKUP($C15,Score!$B$2:$X$77,6,0)</f>
        <v>#N/A</v>
      </c>
      <c r="J15" s="2" t="e">
        <f>VLOOKUP($C15,Score!$B$2:$X$77,7,0)</f>
        <v>#N/A</v>
      </c>
      <c r="K15" s="2" t="e">
        <f>VLOOKUP($C15,Score!$B$2:$X$77,8,0)</f>
        <v>#N/A</v>
      </c>
      <c r="L15" s="2" t="e">
        <f>VLOOKUP($C15,Score!$B$2:$X$77,9,0)</f>
        <v>#N/A</v>
      </c>
      <c r="M15" s="2" t="e">
        <f>VLOOKUP($C15,Score!$B$2:$X$77,10,0)</f>
        <v>#N/A</v>
      </c>
      <c r="N15" s="2" t="e">
        <f>VLOOKUP($C15,Score!$B$2:$X$77,11,0)</f>
        <v>#N/A</v>
      </c>
      <c r="O15" s="2" t="e">
        <f>VLOOKUP($C15,Score!$B$2:$X$77,12,0)</f>
        <v>#N/A</v>
      </c>
      <c r="P15" s="2" t="e">
        <f>VLOOKUP($C15,Score!$B$2:$X$77,13,0)</f>
        <v>#N/A</v>
      </c>
      <c r="Q15" s="2" t="e">
        <f>VLOOKUP($C15,Score!$B$2:$X$77,14,0)</f>
        <v>#N/A</v>
      </c>
      <c r="R15" s="2" t="e">
        <f>VLOOKUP($C15,Score!$B$2:$X$77,15,0)</f>
        <v>#N/A</v>
      </c>
      <c r="S15" s="2" t="e">
        <f>VLOOKUP($C15,Score!$B$2:$X$77,16,0)</f>
        <v>#N/A</v>
      </c>
      <c r="T15" s="2" t="e">
        <f>VLOOKUP($C15,Score!$B$2:$X$77,17,0)</f>
        <v>#N/A</v>
      </c>
      <c r="U15" s="2" t="e">
        <f>VLOOKUP($C15,Score!$B$2:$X$77,18,0)</f>
        <v>#N/A</v>
      </c>
      <c r="V15" s="2" t="e">
        <f>VLOOKUP($C15,Score!$B$2:$X$77,19,0)</f>
        <v>#N/A</v>
      </c>
      <c r="W15" s="2" t="e">
        <f>VLOOKUP($C15,Score!$B$2:$X$77,20,0)</f>
        <v>#N/A</v>
      </c>
      <c r="X15" s="2" t="e">
        <f>VLOOKUP($C15,Score!$B$2:$Z$76,21,0)</f>
        <v>#N/A</v>
      </c>
      <c r="Y15" s="2" t="e">
        <f>VLOOKUP($C15,Score!$B$2:$Z$76,22,0)</f>
        <v>#N/A</v>
      </c>
      <c r="Z15" s="2" t="e">
        <f>VLOOKUP($C15,Score!$B$2:$Z$76,24,0)</f>
        <v>#N/A</v>
      </c>
      <c r="AA15" s="6" t="e">
        <f t="shared" si="0"/>
        <v>#N/A</v>
      </c>
      <c r="AB15">
        <f t="shared" si="1"/>
        <v>0</v>
      </c>
    </row>
    <row r="16" spans="3:28">
      <c r="C16"/>
      <c r="D16"/>
      <c r="E16" s="2" t="e">
        <f>VLOOKUP($C16,Score!$B$2:$X$77,2,0)</f>
        <v>#N/A</v>
      </c>
      <c r="F16" s="2" t="e">
        <f>VLOOKUP($C16,Score!$B$2:$X$77,3,0)</f>
        <v>#N/A</v>
      </c>
      <c r="G16" s="2" t="e">
        <f>VLOOKUP($C16,Score!$B$2:$X$77,4,0)</f>
        <v>#N/A</v>
      </c>
      <c r="H16" s="2" t="e">
        <f>VLOOKUP($C16,Score!$B$2:$X$77,5,0)</f>
        <v>#N/A</v>
      </c>
      <c r="I16" s="2" t="e">
        <f>VLOOKUP($C16,Score!$B$2:$X$77,6,0)</f>
        <v>#N/A</v>
      </c>
      <c r="J16" s="2" t="e">
        <f>VLOOKUP($C16,Score!$B$2:$X$77,7,0)</f>
        <v>#N/A</v>
      </c>
      <c r="K16" s="2" t="e">
        <f>VLOOKUP($C16,Score!$B$2:$X$77,8,0)</f>
        <v>#N/A</v>
      </c>
      <c r="L16" s="2" t="e">
        <f>VLOOKUP($C16,Score!$B$2:$X$77,9,0)</f>
        <v>#N/A</v>
      </c>
      <c r="M16" s="2" t="e">
        <f>VLOOKUP($C16,Score!$B$2:$X$77,10,0)</f>
        <v>#N/A</v>
      </c>
      <c r="N16" s="2" t="e">
        <f>VLOOKUP($C16,Score!$B$2:$X$77,11,0)</f>
        <v>#N/A</v>
      </c>
      <c r="O16" s="2" t="e">
        <f>VLOOKUP($C16,Score!$B$2:$X$77,12,0)</f>
        <v>#N/A</v>
      </c>
      <c r="P16" s="2" t="e">
        <f>VLOOKUP($C16,Score!$B$2:$X$77,13,0)</f>
        <v>#N/A</v>
      </c>
      <c r="Q16" s="2" t="e">
        <f>VLOOKUP($C16,Score!$B$2:$X$77,14,0)</f>
        <v>#N/A</v>
      </c>
      <c r="R16" s="2" t="e">
        <f>VLOOKUP($C16,Score!$B$2:$X$77,15,0)</f>
        <v>#N/A</v>
      </c>
      <c r="S16" s="2" t="e">
        <f>VLOOKUP($C16,Score!$B$2:$X$77,16,0)</f>
        <v>#N/A</v>
      </c>
      <c r="T16" s="2" t="e">
        <f>VLOOKUP($C16,Score!$B$2:$X$77,17,0)</f>
        <v>#N/A</v>
      </c>
      <c r="U16" s="2" t="e">
        <f>VLOOKUP($C16,Score!$B$2:$X$77,18,0)</f>
        <v>#N/A</v>
      </c>
      <c r="V16" s="2" t="e">
        <f>VLOOKUP($C16,Score!$B$2:$X$77,19,0)</f>
        <v>#N/A</v>
      </c>
      <c r="W16" s="2" t="e">
        <f>VLOOKUP($C16,Score!$B$2:$X$77,20,0)</f>
        <v>#N/A</v>
      </c>
      <c r="X16" s="2" t="e">
        <f>VLOOKUP($C16,Score!$B$2:$Z$76,21,0)</f>
        <v>#N/A</v>
      </c>
      <c r="Y16" s="2" t="e">
        <f>VLOOKUP($C16,Score!$B$2:$Z$76,22,0)</f>
        <v>#N/A</v>
      </c>
      <c r="Z16" s="2" t="e">
        <f>VLOOKUP($C16,Score!$B$2:$Z$76,24,0)</f>
        <v>#N/A</v>
      </c>
      <c r="AA16" s="6" t="e">
        <f t="shared" si="0"/>
        <v>#N/A</v>
      </c>
      <c r="AB16">
        <f t="shared" si="1"/>
        <v>0</v>
      </c>
    </row>
    <row r="17" spans="3:28">
      <c r="C17"/>
      <c r="D17"/>
      <c r="E17" s="2" t="e">
        <f>VLOOKUP($C17,Score!$B$2:$X$77,2,0)</f>
        <v>#N/A</v>
      </c>
      <c r="F17" s="2" t="e">
        <f>VLOOKUP($C17,Score!$B$2:$X$77,3,0)</f>
        <v>#N/A</v>
      </c>
      <c r="G17" s="2" t="e">
        <f>VLOOKUP($C17,Score!$B$2:$X$77,4,0)</f>
        <v>#N/A</v>
      </c>
      <c r="H17" s="2" t="e">
        <f>VLOOKUP($C17,Score!$B$2:$X$77,5,0)</f>
        <v>#N/A</v>
      </c>
      <c r="I17" s="2" t="e">
        <f>VLOOKUP($C17,Score!$B$2:$X$77,6,0)</f>
        <v>#N/A</v>
      </c>
      <c r="J17" s="2" t="e">
        <f>VLOOKUP($C17,Score!$B$2:$X$77,7,0)</f>
        <v>#N/A</v>
      </c>
      <c r="K17" s="2" t="e">
        <f>VLOOKUP($C17,Score!$B$2:$X$77,8,0)</f>
        <v>#N/A</v>
      </c>
      <c r="L17" s="2" t="e">
        <f>VLOOKUP($C17,Score!$B$2:$X$77,9,0)</f>
        <v>#N/A</v>
      </c>
      <c r="M17" s="2" t="e">
        <f>VLOOKUP($C17,Score!$B$2:$X$77,10,0)</f>
        <v>#N/A</v>
      </c>
      <c r="N17" s="2" t="e">
        <f>VLOOKUP($C17,Score!$B$2:$X$77,11,0)</f>
        <v>#N/A</v>
      </c>
      <c r="O17" s="2" t="e">
        <f>VLOOKUP($C17,Score!$B$2:$X$77,12,0)</f>
        <v>#N/A</v>
      </c>
      <c r="P17" s="2" t="e">
        <f>VLOOKUP($C17,Score!$B$2:$X$77,13,0)</f>
        <v>#N/A</v>
      </c>
      <c r="Q17" s="2" t="e">
        <f>VLOOKUP($C17,Score!$B$2:$X$77,14,0)</f>
        <v>#N/A</v>
      </c>
      <c r="R17" s="2" t="e">
        <f>VLOOKUP($C17,Score!$B$2:$X$77,15,0)</f>
        <v>#N/A</v>
      </c>
      <c r="S17" s="2" t="e">
        <f>VLOOKUP($C17,Score!$B$2:$X$77,16,0)</f>
        <v>#N/A</v>
      </c>
      <c r="T17" s="2" t="e">
        <f>VLOOKUP($C17,Score!$B$2:$X$77,17,0)</f>
        <v>#N/A</v>
      </c>
      <c r="U17" s="2" t="e">
        <f>VLOOKUP($C17,Score!$B$2:$X$77,18,0)</f>
        <v>#N/A</v>
      </c>
      <c r="V17" s="2" t="e">
        <f>VLOOKUP($C17,Score!$B$2:$X$77,19,0)</f>
        <v>#N/A</v>
      </c>
      <c r="W17" s="2" t="e">
        <f>VLOOKUP($C17,Score!$B$2:$X$77,20,0)</f>
        <v>#N/A</v>
      </c>
      <c r="X17" s="2" t="e">
        <f>VLOOKUP($C17,Score!$B$2:$Z$76,21,0)</f>
        <v>#N/A</v>
      </c>
      <c r="Y17" s="2" t="e">
        <f>VLOOKUP($C17,Score!$B$2:$Z$76,22,0)</f>
        <v>#N/A</v>
      </c>
      <c r="Z17" s="2" t="e">
        <f>VLOOKUP($C17,Score!$B$2:$Z$76,24,0)</f>
        <v>#N/A</v>
      </c>
      <c r="AA17" s="6" t="e">
        <f t="shared" si="0"/>
        <v>#N/A</v>
      </c>
      <c r="AB17">
        <f t="shared" si="1"/>
        <v>0</v>
      </c>
    </row>
    <row r="18" spans="3:28">
      <c r="C18"/>
      <c r="D18"/>
      <c r="E18" s="2" t="e">
        <f>VLOOKUP($C18,Score!$B$2:$X$77,2,0)</f>
        <v>#N/A</v>
      </c>
      <c r="F18" s="2" t="e">
        <f>VLOOKUP($C18,Score!$B$2:$X$77,3,0)</f>
        <v>#N/A</v>
      </c>
      <c r="G18" s="2" t="e">
        <f>VLOOKUP($C18,Score!$B$2:$X$77,4,0)</f>
        <v>#N/A</v>
      </c>
      <c r="H18" s="2" t="e">
        <f>VLOOKUP($C18,Score!$B$2:$X$77,5,0)</f>
        <v>#N/A</v>
      </c>
      <c r="I18" s="2" t="e">
        <f>VLOOKUP($C18,Score!$B$2:$X$77,6,0)</f>
        <v>#N/A</v>
      </c>
      <c r="J18" s="2" t="e">
        <f>VLOOKUP($C18,Score!$B$2:$X$77,7,0)</f>
        <v>#N/A</v>
      </c>
      <c r="K18" s="2" t="e">
        <f>VLOOKUP($C18,Score!$B$2:$X$77,8,0)</f>
        <v>#N/A</v>
      </c>
      <c r="L18" s="2" t="e">
        <f>VLOOKUP($C18,Score!$B$2:$X$77,9,0)</f>
        <v>#N/A</v>
      </c>
      <c r="M18" s="2" t="e">
        <f>VLOOKUP($C18,Score!$B$2:$X$77,10,0)</f>
        <v>#N/A</v>
      </c>
      <c r="N18" s="2" t="e">
        <f>VLOOKUP($C18,Score!$B$2:$X$77,11,0)</f>
        <v>#N/A</v>
      </c>
      <c r="O18" s="2" t="e">
        <f>VLOOKUP($C18,Score!$B$2:$X$77,12,0)</f>
        <v>#N/A</v>
      </c>
      <c r="P18" s="2" t="e">
        <f>VLOOKUP($C18,Score!$B$2:$X$77,13,0)</f>
        <v>#N/A</v>
      </c>
      <c r="Q18" s="2" t="e">
        <f>VLOOKUP($C18,Score!$B$2:$X$77,14,0)</f>
        <v>#N/A</v>
      </c>
      <c r="R18" s="2" t="e">
        <f>VLOOKUP($C18,Score!$B$2:$X$77,15,0)</f>
        <v>#N/A</v>
      </c>
      <c r="S18" s="2" t="e">
        <f>VLOOKUP($C18,Score!$B$2:$X$77,16,0)</f>
        <v>#N/A</v>
      </c>
      <c r="T18" s="2" t="e">
        <f>VLOOKUP($C18,Score!$B$2:$X$77,17,0)</f>
        <v>#N/A</v>
      </c>
      <c r="U18" s="2" t="e">
        <f>VLOOKUP($C18,Score!$B$2:$X$77,18,0)</f>
        <v>#N/A</v>
      </c>
      <c r="V18" s="2" t="e">
        <f>VLOOKUP($C18,Score!$B$2:$X$77,19,0)</f>
        <v>#N/A</v>
      </c>
      <c r="W18" s="2" t="e">
        <f>VLOOKUP($C18,Score!$B$2:$X$77,20,0)</f>
        <v>#N/A</v>
      </c>
      <c r="X18" s="2" t="e">
        <f>VLOOKUP($C18,Score!$B$2:$Z$76,21,0)</f>
        <v>#N/A</v>
      </c>
      <c r="Y18" s="2" t="e">
        <f>VLOOKUP($C18,Score!$B$2:$Z$76,22,0)</f>
        <v>#N/A</v>
      </c>
      <c r="Z18" s="2" t="e">
        <f>VLOOKUP($C18,Score!$B$2:$Z$76,24,0)</f>
        <v>#N/A</v>
      </c>
      <c r="AA18" s="6" t="e">
        <f t="shared" si="0"/>
        <v>#N/A</v>
      </c>
      <c r="AB18">
        <f t="shared" si="1"/>
        <v>0</v>
      </c>
    </row>
    <row r="19" spans="3:28">
      <c r="C19"/>
      <c r="D19"/>
      <c r="E19" s="2" t="e">
        <f>VLOOKUP($C19,Score!$B$2:$X$77,2,0)</f>
        <v>#N/A</v>
      </c>
      <c r="F19" s="2" t="e">
        <f>VLOOKUP($C19,Score!$B$2:$X$77,3,0)</f>
        <v>#N/A</v>
      </c>
      <c r="G19" s="2" t="e">
        <f>VLOOKUP($C19,Score!$B$2:$X$77,4,0)</f>
        <v>#N/A</v>
      </c>
      <c r="H19" s="2" t="e">
        <f>VLOOKUP($C19,Score!$B$2:$X$77,5,0)</f>
        <v>#N/A</v>
      </c>
      <c r="I19" s="2" t="e">
        <f>VLOOKUP($C19,Score!$B$2:$X$77,6,0)</f>
        <v>#N/A</v>
      </c>
      <c r="J19" s="2" t="e">
        <f>VLOOKUP($C19,Score!$B$2:$X$77,7,0)</f>
        <v>#N/A</v>
      </c>
      <c r="K19" s="2" t="e">
        <f>VLOOKUP($C19,Score!$B$2:$X$77,8,0)</f>
        <v>#N/A</v>
      </c>
      <c r="L19" s="2" t="e">
        <f>VLOOKUP($C19,Score!$B$2:$X$77,9,0)</f>
        <v>#N/A</v>
      </c>
      <c r="M19" s="2" t="e">
        <f>VLOOKUP($C19,Score!$B$2:$X$77,10,0)</f>
        <v>#N/A</v>
      </c>
      <c r="N19" s="2" t="e">
        <f>VLOOKUP($C19,Score!$B$2:$X$77,11,0)</f>
        <v>#N/A</v>
      </c>
      <c r="O19" s="2" t="e">
        <f>VLOOKUP($C19,Score!$B$2:$X$77,12,0)</f>
        <v>#N/A</v>
      </c>
      <c r="P19" s="2" t="e">
        <f>VLOOKUP($C19,Score!$B$2:$X$77,13,0)</f>
        <v>#N/A</v>
      </c>
      <c r="Q19" s="2" t="e">
        <f>VLOOKUP($C19,Score!$B$2:$X$77,14,0)</f>
        <v>#N/A</v>
      </c>
      <c r="R19" s="2" t="e">
        <f>VLOOKUP($C19,Score!$B$2:$X$77,15,0)</f>
        <v>#N/A</v>
      </c>
      <c r="S19" s="2" t="e">
        <f>VLOOKUP($C19,Score!$B$2:$X$77,16,0)</f>
        <v>#N/A</v>
      </c>
      <c r="T19" s="2" t="e">
        <f>VLOOKUP($C19,Score!$B$2:$X$77,17,0)</f>
        <v>#N/A</v>
      </c>
      <c r="U19" s="2" t="e">
        <f>VLOOKUP($C19,Score!$B$2:$X$77,18,0)</f>
        <v>#N/A</v>
      </c>
      <c r="V19" s="2" t="e">
        <f>VLOOKUP($C19,Score!$B$2:$X$77,19,0)</f>
        <v>#N/A</v>
      </c>
      <c r="W19" s="2" t="e">
        <f>VLOOKUP($C19,Score!$B$2:$X$77,20,0)</f>
        <v>#N/A</v>
      </c>
      <c r="X19" s="2" t="e">
        <f>VLOOKUP($C19,Score!$B$2:$Z$76,21,0)</f>
        <v>#N/A</v>
      </c>
      <c r="Y19" s="2" t="e">
        <f>VLOOKUP($C19,Score!$B$2:$Z$76,22,0)</f>
        <v>#N/A</v>
      </c>
      <c r="Z19" s="2" t="e">
        <f>VLOOKUP($C19,Score!$B$2:$Z$76,24,0)</f>
        <v>#N/A</v>
      </c>
      <c r="AA19" s="6" t="e">
        <f t="shared" si="0"/>
        <v>#N/A</v>
      </c>
      <c r="AB19">
        <f t="shared" si="1"/>
        <v>0</v>
      </c>
    </row>
    <row r="20" spans="3:28">
      <c r="C20"/>
      <c r="D20"/>
      <c r="E20" s="2" t="e">
        <f>VLOOKUP($C20,Score!$B$2:$X$77,2,0)</f>
        <v>#N/A</v>
      </c>
      <c r="F20" s="2" t="e">
        <f>VLOOKUP($C20,Score!$B$2:$X$77,3,0)</f>
        <v>#N/A</v>
      </c>
      <c r="G20" s="2" t="e">
        <f>VLOOKUP($C20,Score!$B$2:$X$77,4,0)</f>
        <v>#N/A</v>
      </c>
      <c r="H20" s="2" t="e">
        <f>VLOOKUP($C20,Score!$B$2:$X$77,5,0)</f>
        <v>#N/A</v>
      </c>
      <c r="I20" s="2" t="e">
        <f>VLOOKUP($C20,Score!$B$2:$X$77,6,0)</f>
        <v>#N/A</v>
      </c>
      <c r="J20" s="2" t="e">
        <f>VLOOKUP($C20,Score!$B$2:$X$77,7,0)</f>
        <v>#N/A</v>
      </c>
      <c r="K20" s="2" t="e">
        <f>VLOOKUP($C20,Score!$B$2:$X$77,8,0)</f>
        <v>#N/A</v>
      </c>
      <c r="L20" s="2" t="e">
        <f>VLOOKUP($C20,Score!$B$2:$X$77,9,0)</f>
        <v>#N/A</v>
      </c>
      <c r="M20" s="2" t="e">
        <f>VLOOKUP($C20,Score!$B$2:$X$77,10,0)</f>
        <v>#N/A</v>
      </c>
      <c r="N20" s="2" t="e">
        <f>VLOOKUP($C20,Score!$B$2:$X$77,11,0)</f>
        <v>#N/A</v>
      </c>
      <c r="O20" s="2" t="e">
        <f>VLOOKUP($C20,Score!$B$2:$X$77,12,0)</f>
        <v>#N/A</v>
      </c>
      <c r="P20" s="2" t="e">
        <f>VLOOKUP($C20,Score!$B$2:$X$77,13,0)</f>
        <v>#N/A</v>
      </c>
      <c r="Q20" s="2" t="e">
        <f>VLOOKUP($C20,Score!$B$2:$X$77,14,0)</f>
        <v>#N/A</v>
      </c>
      <c r="R20" s="2" t="e">
        <f>VLOOKUP($C20,Score!$B$2:$X$77,15,0)</f>
        <v>#N/A</v>
      </c>
      <c r="S20" s="2" t="e">
        <f>VLOOKUP($C20,Score!$B$2:$X$77,16,0)</f>
        <v>#N/A</v>
      </c>
      <c r="T20" s="2" t="e">
        <f>VLOOKUP($C20,Score!$B$2:$X$77,17,0)</f>
        <v>#N/A</v>
      </c>
      <c r="U20" s="2" t="e">
        <f>VLOOKUP($C20,Score!$B$2:$X$77,18,0)</f>
        <v>#N/A</v>
      </c>
      <c r="V20" s="2" t="e">
        <f>VLOOKUP($C20,Score!$B$2:$X$77,19,0)</f>
        <v>#N/A</v>
      </c>
      <c r="W20" s="2" t="e">
        <f>VLOOKUP($C20,Score!$B$2:$X$77,20,0)</f>
        <v>#N/A</v>
      </c>
      <c r="X20" s="2" t="e">
        <f>VLOOKUP($C20,Score!$B$2:$Z$76,21,0)</f>
        <v>#N/A</v>
      </c>
      <c r="Y20" s="2" t="e">
        <f>VLOOKUP($C20,Score!$B$2:$Z$76,22,0)</f>
        <v>#N/A</v>
      </c>
      <c r="Z20" s="2" t="e">
        <f>VLOOKUP($C20,Score!$B$2:$Z$76,24,0)</f>
        <v>#N/A</v>
      </c>
      <c r="AA20" s="6" t="e">
        <f t="shared" si="0"/>
        <v>#N/A</v>
      </c>
      <c r="AB20">
        <f t="shared" si="1"/>
        <v>0</v>
      </c>
    </row>
    <row r="21" spans="3:28" s="68" customFormat="1">
      <c r="E21" s="69"/>
      <c r="F21" s="70"/>
      <c r="G21" s="69"/>
      <c r="H21" s="69"/>
      <c r="I21" s="69"/>
      <c r="J21" s="69"/>
      <c r="K21" s="69"/>
      <c r="L21" s="69"/>
      <c r="M21" s="69"/>
      <c r="N21" s="69"/>
      <c r="O21" s="69"/>
      <c r="P21" s="69"/>
      <c r="Q21" s="69"/>
      <c r="R21" s="69"/>
      <c r="S21" s="69"/>
      <c r="T21" s="69"/>
      <c r="U21" s="69"/>
      <c r="V21" s="69"/>
      <c r="W21" s="69"/>
      <c r="X21" s="69"/>
      <c r="Y21" s="69"/>
      <c r="Z21" s="69"/>
      <c r="AA21" s="72"/>
    </row>
    <row r="22" spans="3:28" s="1" customFormat="1">
      <c r="C22"/>
      <c r="D22"/>
      <c r="E22" s="66" t="e">
        <f t="shared" ref="E22:AA22" si="2">SUM(E4:E21)</f>
        <v>#N/A</v>
      </c>
      <c r="F22" s="66" t="e">
        <f t="shared" si="2"/>
        <v>#N/A</v>
      </c>
      <c r="G22" s="66" t="e">
        <f t="shared" si="2"/>
        <v>#N/A</v>
      </c>
      <c r="H22" s="66" t="e">
        <f t="shared" si="2"/>
        <v>#N/A</v>
      </c>
      <c r="I22" s="66" t="e">
        <f t="shared" si="2"/>
        <v>#N/A</v>
      </c>
      <c r="J22" s="66" t="e">
        <f t="shared" si="2"/>
        <v>#N/A</v>
      </c>
      <c r="K22" s="66" t="e">
        <f t="shared" si="2"/>
        <v>#N/A</v>
      </c>
      <c r="L22" s="66" t="e">
        <f t="shared" si="2"/>
        <v>#N/A</v>
      </c>
      <c r="M22" s="66" t="e">
        <f t="shared" si="2"/>
        <v>#N/A</v>
      </c>
      <c r="N22" s="66" t="e">
        <f t="shared" si="2"/>
        <v>#N/A</v>
      </c>
      <c r="O22" s="66" t="e">
        <f t="shared" si="2"/>
        <v>#N/A</v>
      </c>
      <c r="P22" s="66" t="e">
        <f t="shared" si="2"/>
        <v>#N/A</v>
      </c>
      <c r="Q22" s="66" t="e">
        <f t="shared" si="2"/>
        <v>#N/A</v>
      </c>
      <c r="R22" s="66" t="e">
        <f t="shared" si="2"/>
        <v>#N/A</v>
      </c>
      <c r="S22" s="66" t="e">
        <f t="shared" si="2"/>
        <v>#N/A</v>
      </c>
      <c r="T22" s="66" t="e">
        <f t="shared" si="2"/>
        <v>#N/A</v>
      </c>
      <c r="U22" s="66" t="e">
        <f t="shared" si="2"/>
        <v>#N/A</v>
      </c>
      <c r="V22" s="66" t="e">
        <f t="shared" si="2"/>
        <v>#N/A</v>
      </c>
      <c r="W22" s="66" t="e">
        <f t="shared" si="2"/>
        <v>#N/A</v>
      </c>
      <c r="X22" s="66" t="e">
        <f t="shared" si="2"/>
        <v>#N/A</v>
      </c>
      <c r="Y22" s="66" t="e">
        <f t="shared" si="2"/>
        <v>#N/A</v>
      </c>
      <c r="Z22" s="66" t="e">
        <f t="shared" si="2"/>
        <v>#N/A</v>
      </c>
      <c r="AA22" s="67" t="e">
        <f t="shared" si="2"/>
        <v>#N/A</v>
      </c>
    </row>
    <row r="23" spans="3:28" s="51" customFormat="1">
      <c r="C23"/>
      <c r="D23"/>
      <c r="E23" s="52"/>
      <c r="F23" s="52"/>
      <c r="G23" s="47"/>
      <c r="H23" s="52"/>
      <c r="I23" s="52"/>
      <c r="J23" s="52"/>
      <c r="K23" s="52"/>
      <c r="L23" s="52"/>
      <c r="M23" s="52"/>
      <c r="N23" s="52"/>
      <c r="O23" s="52"/>
      <c r="P23" s="52"/>
      <c r="Q23" s="52"/>
      <c r="R23" s="52"/>
      <c r="S23" s="52"/>
      <c r="T23" s="52"/>
      <c r="U23" s="52"/>
      <c r="V23" s="52"/>
      <c r="W23" s="52"/>
      <c r="X23" s="52"/>
      <c r="Y23" s="52"/>
      <c r="Z23" s="52"/>
      <c r="AA23" s="60"/>
    </row>
    <row r="24" spans="3:28" s="63" customFormat="1">
      <c r="C24" s="64"/>
      <c r="D24" s="64"/>
      <c r="E24" s="97" t="e">
        <f>VLOOKUP($C24,Score!$B$2:$X$77,2,0)</f>
        <v>#N/A</v>
      </c>
      <c r="F24" s="97" t="e">
        <f>VLOOKUP($C24,Score!$B$2:$X$77,2,0)</f>
        <v>#N/A</v>
      </c>
      <c r="G24" s="97" t="e">
        <f>VLOOKUP($C24,Score!$B$2:$X$77,2,0)</f>
        <v>#N/A</v>
      </c>
      <c r="H24" s="97" t="e">
        <f>VLOOKUP($C24,Score!$B$2:$X$77,2,0)</f>
        <v>#N/A</v>
      </c>
      <c r="I24" s="97" t="e">
        <f>VLOOKUP($C24,Score!$B$2:$X$77,2,0)</f>
        <v>#N/A</v>
      </c>
      <c r="J24" s="97" t="e">
        <f>VLOOKUP($C24,Score!$B$2:$X$77,2,0)</f>
        <v>#N/A</v>
      </c>
      <c r="K24" s="97" t="e">
        <f>VLOOKUP($C24,Score!$B$2:$X$77,2,0)</f>
        <v>#N/A</v>
      </c>
      <c r="L24" s="97" t="e">
        <f>VLOOKUP($C24,Score!$B$2:$X$77,2,0)</f>
        <v>#N/A</v>
      </c>
      <c r="M24" s="97" t="e">
        <f>VLOOKUP($C24,Score!$B$2:$X$77,2,0)</f>
        <v>#N/A</v>
      </c>
      <c r="N24" s="97" t="e">
        <f>VLOOKUP($C24,Score!$B$2:$X$77,2,0)</f>
        <v>#N/A</v>
      </c>
      <c r="O24" s="97" t="e">
        <f>VLOOKUP($C24,Score!$B$2:$X$77,2,0)</f>
        <v>#N/A</v>
      </c>
      <c r="P24" s="97" t="e">
        <f>VLOOKUP($C24,Score!$B$2:$X$77,2,0)</f>
        <v>#N/A</v>
      </c>
      <c r="Q24" s="97" t="e">
        <f>VLOOKUP($C24,Score!$B$2:$X$77,2,0)</f>
        <v>#N/A</v>
      </c>
      <c r="R24" s="97" t="e">
        <f>VLOOKUP($C24,Score!$B$2:$X$77,2,0)</f>
        <v>#N/A</v>
      </c>
      <c r="S24" s="97" t="e">
        <f>VLOOKUP($C24,Score!$B$2:$X$77,2,0)</f>
        <v>#N/A</v>
      </c>
      <c r="T24" s="97" t="e">
        <f>VLOOKUP($C24,Score!$B$2:$X$77,2,0)</f>
        <v>#N/A</v>
      </c>
      <c r="U24" s="97" t="e">
        <f>VLOOKUP($C24,Score!$B$2:$X$77,2,0)</f>
        <v>#N/A</v>
      </c>
      <c r="V24" s="97" t="e">
        <f>VLOOKUP($C24,Score!$B$2:$X$77,2,0)</f>
        <v>#N/A</v>
      </c>
      <c r="W24" s="97" t="e">
        <f>VLOOKUP($C24,Score!$B$2:$X$77,2,0)</f>
        <v>#N/A</v>
      </c>
      <c r="X24" s="97" t="e">
        <f>VLOOKUP($C24,Score!$B$2:$X$77,2,0)</f>
        <v>#N/A</v>
      </c>
      <c r="Y24" s="97" t="e">
        <f>VLOOKUP($C24,Score!$B$2:$X$77,2,0)</f>
        <v>#N/A</v>
      </c>
      <c r="Z24" s="97" t="e">
        <f>VLOOKUP($C24,Score!$B$2:$X$77,2,0)</f>
        <v>#N/A</v>
      </c>
      <c r="AA24" s="97" t="e">
        <f>VLOOKUP($C24,Score!$B$2:$X$77,2,0)</f>
        <v>#N/A</v>
      </c>
    </row>
    <row r="25" spans="3:28" s="63" customFormat="1">
      <c r="C25" s="64"/>
      <c r="D25" s="64"/>
      <c r="E25" s="97" t="e">
        <f>VLOOKUP($C25,Score!$B$2:$X$77,2,0)</f>
        <v>#N/A</v>
      </c>
      <c r="F25" s="97" t="e">
        <f>VLOOKUP($C25,Score!$B$2:$X$77,2,0)</f>
        <v>#N/A</v>
      </c>
      <c r="G25" s="97" t="e">
        <f>VLOOKUP($C25,Score!$B$2:$X$77,2,0)</f>
        <v>#N/A</v>
      </c>
      <c r="H25" s="97" t="e">
        <f>VLOOKUP($C25,Score!$B$2:$X$77,2,0)</f>
        <v>#N/A</v>
      </c>
      <c r="I25" s="97" t="e">
        <f>VLOOKUP($C25,Score!$B$2:$X$77,2,0)</f>
        <v>#N/A</v>
      </c>
      <c r="J25" s="97" t="e">
        <f>VLOOKUP($C25,Score!$B$2:$X$77,2,0)</f>
        <v>#N/A</v>
      </c>
      <c r="K25" s="97" t="e">
        <f>VLOOKUP($C25,Score!$B$2:$X$77,2,0)</f>
        <v>#N/A</v>
      </c>
      <c r="L25" s="97" t="e">
        <f>VLOOKUP($C25,Score!$B$2:$X$77,2,0)</f>
        <v>#N/A</v>
      </c>
      <c r="M25" s="97" t="e">
        <f>VLOOKUP($C25,Score!$B$2:$X$77,2,0)</f>
        <v>#N/A</v>
      </c>
      <c r="N25" s="97" t="e">
        <f>VLOOKUP($C25,Score!$B$2:$X$77,2,0)</f>
        <v>#N/A</v>
      </c>
      <c r="O25" s="97" t="e">
        <f>VLOOKUP($C25,Score!$B$2:$X$77,2,0)</f>
        <v>#N/A</v>
      </c>
      <c r="P25" s="97" t="e">
        <f>VLOOKUP($C25,Score!$B$2:$X$77,2,0)</f>
        <v>#N/A</v>
      </c>
      <c r="Q25" s="97" t="e">
        <f>VLOOKUP($C25,Score!$B$2:$X$77,2,0)</f>
        <v>#N/A</v>
      </c>
      <c r="R25" s="97" t="e">
        <f>VLOOKUP($C25,Score!$B$2:$X$77,2,0)</f>
        <v>#N/A</v>
      </c>
      <c r="S25" s="97" t="e">
        <f>VLOOKUP($C25,Score!$B$2:$X$77,2,0)</f>
        <v>#N/A</v>
      </c>
      <c r="T25" s="97" t="e">
        <f>VLOOKUP($C25,Score!$B$2:$X$77,2,0)</f>
        <v>#N/A</v>
      </c>
      <c r="U25" s="97" t="e">
        <f>VLOOKUP($C25,Score!$B$2:$X$77,2,0)</f>
        <v>#N/A</v>
      </c>
      <c r="V25" s="97" t="e">
        <f>VLOOKUP($C25,Score!$B$2:$X$77,2,0)</f>
        <v>#N/A</v>
      </c>
      <c r="W25" s="97" t="e">
        <f>VLOOKUP($C25,Score!$B$2:$X$77,2,0)</f>
        <v>#N/A</v>
      </c>
      <c r="X25" s="97" t="e">
        <f>VLOOKUP($C25,Score!$B$2:$X$77,2,0)</f>
        <v>#N/A</v>
      </c>
      <c r="Y25" s="97" t="e">
        <f>VLOOKUP($C25,Score!$B$2:$X$77,2,0)</f>
        <v>#N/A</v>
      </c>
      <c r="Z25" s="97" t="e">
        <f>VLOOKUP($C25,Score!$B$2:$X$77,2,0)</f>
        <v>#N/A</v>
      </c>
      <c r="AA25" s="97" t="e">
        <f>VLOOKUP($C25,Score!$B$2:$X$77,2,0)</f>
        <v>#N/A</v>
      </c>
    </row>
    <row r="26" spans="3:28" s="63" customFormat="1">
      <c r="C26" s="85"/>
      <c r="D26" s="85"/>
      <c r="E26" s="97" t="e">
        <f>VLOOKUP($C26,Score!$B$2:$X$77,2,0)</f>
        <v>#N/A</v>
      </c>
      <c r="F26" s="97" t="e">
        <f>VLOOKUP($C26,Score!$B$2:$X$77,2,0)</f>
        <v>#N/A</v>
      </c>
      <c r="G26" s="97" t="e">
        <f>VLOOKUP($C26,Score!$B$2:$X$77,2,0)</f>
        <v>#N/A</v>
      </c>
      <c r="H26" s="97" t="e">
        <f>VLOOKUP($C26,Score!$B$2:$X$77,2,0)</f>
        <v>#N/A</v>
      </c>
      <c r="I26" s="97" t="e">
        <f>VLOOKUP($C26,Score!$B$2:$X$77,2,0)</f>
        <v>#N/A</v>
      </c>
      <c r="J26" s="97" t="e">
        <f>VLOOKUP($C26,Score!$B$2:$X$77,2,0)</f>
        <v>#N/A</v>
      </c>
      <c r="K26" s="97" t="e">
        <f>VLOOKUP($C26,Score!$B$2:$X$77,2,0)</f>
        <v>#N/A</v>
      </c>
      <c r="L26" s="97" t="e">
        <f>VLOOKUP($C26,Score!$B$2:$X$77,2,0)</f>
        <v>#N/A</v>
      </c>
      <c r="M26" s="97" t="e">
        <f>VLOOKUP($C26,Score!$B$2:$X$77,2,0)</f>
        <v>#N/A</v>
      </c>
      <c r="N26" s="97" t="e">
        <f>VLOOKUP($C26,Score!$B$2:$X$77,2,0)</f>
        <v>#N/A</v>
      </c>
      <c r="O26" s="97" t="e">
        <f>VLOOKUP($C26,Score!$B$2:$X$77,2,0)</f>
        <v>#N/A</v>
      </c>
      <c r="P26" s="97" t="e">
        <f>VLOOKUP($C26,Score!$B$2:$X$77,2,0)</f>
        <v>#N/A</v>
      </c>
      <c r="Q26" s="97" t="e">
        <f>VLOOKUP($C26,Score!$B$2:$X$77,2,0)</f>
        <v>#N/A</v>
      </c>
      <c r="R26" s="97" t="e">
        <f>VLOOKUP($C26,Score!$B$2:$X$77,2,0)</f>
        <v>#N/A</v>
      </c>
      <c r="S26" s="97" t="e">
        <f>VLOOKUP($C26,Score!$B$2:$X$77,2,0)</f>
        <v>#N/A</v>
      </c>
      <c r="T26" s="97" t="e">
        <f>VLOOKUP($C26,Score!$B$2:$X$77,2,0)</f>
        <v>#N/A</v>
      </c>
      <c r="U26" s="97" t="e">
        <f>VLOOKUP($C26,Score!$B$2:$X$77,2,0)</f>
        <v>#N/A</v>
      </c>
      <c r="V26" s="97" t="e">
        <f>VLOOKUP($C26,Score!$B$2:$X$77,2,0)</f>
        <v>#N/A</v>
      </c>
      <c r="W26" s="97" t="e">
        <f>VLOOKUP($C26,Score!$B$2:$X$77,2,0)</f>
        <v>#N/A</v>
      </c>
      <c r="X26" s="97" t="e">
        <f>VLOOKUP($C26,Score!$B$2:$X$77,2,0)</f>
        <v>#N/A</v>
      </c>
      <c r="Y26" s="97" t="e">
        <f>VLOOKUP($C26,Score!$B$2:$X$77,2,0)</f>
        <v>#N/A</v>
      </c>
      <c r="Z26" s="97" t="e">
        <f>VLOOKUP($C26,Score!$B$2:$X$77,2,0)</f>
        <v>#N/A</v>
      </c>
      <c r="AA26" s="97" t="e">
        <f>VLOOKUP($C26,Score!$B$2:$X$77,2,0)</f>
        <v>#N/A</v>
      </c>
    </row>
    <row r="27" spans="3:28" s="49" customFormat="1">
      <c r="C27" s="30"/>
      <c r="D27" s="30"/>
      <c r="E27" s="38"/>
      <c r="F27" s="38"/>
      <c r="G27" s="39"/>
      <c r="H27" s="38"/>
      <c r="I27" s="38"/>
      <c r="J27" s="38"/>
      <c r="K27" s="38"/>
      <c r="L27" s="38"/>
      <c r="M27" s="38"/>
      <c r="N27" s="38"/>
      <c r="O27" s="38"/>
      <c r="AA27" s="42"/>
    </row>
    <row r="28" spans="3:28" s="49" customFormat="1">
      <c r="C28" s="56"/>
      <c r="D28" s="56"/>
      <c r="E28" s="38"/>
      <c r="F28" s="38"/>
      <c r="G28" s="39"/>
      <c r="H28" s="38"/>
      <c r="I28" s="38"/>
      <c r="J28" s="38"/>
      <c r="K28" s="38"/>
      <c r="L28" s="38"/>
      <c r="M28" s="38"/>
      <c r="N28" s="38"/>
      <c r="O28" s="38"/>
      <c r="AA28" s="42"/>
    </row>
    <row r="29" spans="3:28" s="49" customFormat="1">
      <c r="C29" s="30"/>
      <c r="D29" s="30"/>
      <c r="E29" s="38"/>
      <c r="F29" s="38"/>
      <c r="G29" s="39"/>
      <c r="H29" s="38"/>
      <c r="I29" s="38"/>
      <c r="J29" s="38"/>
      <c r="K29" s="38"/>
      <c r="L29" s="38"/>
      <c r="M29" s="38"/>
      <c r="N29" s="38"/>
      <c r="O29" s="38"/>
      <c r="AA29" s="42"/>
    </row>
    <row r="30" spans="3:28" s="49" customFormat="1">
      <c r="C30" s="30"/>
      <c r="D30" s="30"/>
      <c r="E30" s="38"/>
      <c r="F30" s="38"/>
      <c r="G30" s="39"/>
      <c r="H30" s="38"/>
      <c r="I30" s="38"/>
      <c r="J30" s="38"/>
      <c r="K30" s="38"/>
      <c r="L30" s="38"/>
      <c r="M30" s="38"/>
      <c r="N30" s="38"/>
      <c r="O30" s="38"/>
      <c r="AA30" s="42"/>
    </row>
    <row r="31" spans="3:28" s="49" customFormat="1">
      <c r="C31" s="30"/>
      <c r="D31" s="30"/>
      <c r="E31" s="38"/>
      <c r="F31" s="38"/>
      <c r="G31" s="39"/>
      <c r="H31" s="38"/>
      <c r="I31" s="38"/>
      <c r="J31" s="38"/>
      <c r="K31" s="38"/>
      <c r="L31" s="38"/>
      <c r="M31" s="38"/>
      <c r="N31" s="38"/>
      <c r="O31" s="38"/>
      <c r="AA31" s="42"/>
    </row>
    <row r="32" spans="3:28" s="14" customFormat="1">
      <c r="C32" s="16"/>
      <c r="D32" s="16"/>
      <c r="E32" s="10"/>
      <c r="F32" s="10"/>
      <c r="G32" s="11"/>
      <c r="H32" s="12"/>
      <c r="I32" s="12"/>
      <c r="J32" s="12"/>
      <c r="K32" s="12"/>
      <c r="L32" s="12"/>
      <c r="M32" s="12"/>
      <c r="N32" s="12"/>
      <c r="O32" s="12"/>
      <c r="P32" s="13"/>
      <c r="AA32" s="15"/>
    </row>
    <row r="33" spans="3:27" s="14" customFormat="1">
      <c r="C33" s="16"/>
      <c r="D33" s="16"/>
      <c r="E33" s="10"/>
      <c r="F33" s="10"/>
      <c r="G33" s="11"/>
      <c r="H33" s="12"/>
      <c r="I33" s="12"/>
      <c r="J33" s="12"/>
      <c r="K33" s="12"/>
      <c r="L33" s="12"/>
      <c r="M33" s="12"/>
      <c r="N33" s="12"/>
      <c r="O33" s="12"/>
      <c r="P33" s="13"/>
      <c r="AA33" s="15"/>
    </row>
    <row r="34" spans="3:27" s="14" customFormat="1">
      <c r="C34" s="16"/>
      <c r="D34" s="16"/>
      <c r="E34" s="10"/>
      <c r="F34" s="10"/>
      <c r="G34" s="11"/>
      <c r="H34" s="12"/>
      <c r="I34" s="12"/>
      <c r="J34" s="12"/>
      <c r="K34" s="12"/>
      <c r="L34" s="12"/>
      <c r="M34" s="12"/>
      <c r="N34" s="12"/>
      <c r="O34" s="12"/>
      <c r="P34" s="13"/>
      <c r="AA34" s="15"/>
    </row>
    <row r="35" spans="3:27" s="14" customFormat="1">
      <c r="C35" s="16"/>
      <c r="D35" s="16"/>
      <c r="E35" s="10"/>
      <c r="F35" s="10"/>
      <c r="G35" s="11"/>
      <c r="H35" s="12"/>
      <c r="I35" s="12"/>
      <c r="J35" s="12"/>
      <c r="K35" s="12"/>
      <c r="L35" s="12"/>
      <c r="M35" s="12"/>
      <c r="N35" s="12"/>
      <c r="O35" s="12"/>
      <c r="P35" s="13"/>
      <c r="AA35" s="15"/>
    </row>
    <row r="36" spans="3:27" s="14" customFormat="1">
      <c r="C36" s="16"/>
      <c r="D36" s="16"/>
      <c r="E36" s="10"/>
      <c r="F36" s="10"/>
      <c r="G36" s="11"/>
      <c r="H36" s="12"/>
      <c r="I36" s="12"/>
      <c r="J36" s="12"/>
      <c r="K36" s="12"/>
      <c r="L36" s="12"/>
      <c r="M36" s="12"/>
      <c r="N36" s="12"/>
      <c r="O36" s="12"/>
      <c r="P36" s="13"/>
      <c r="AA36" s="15"/>
    </row>
    <row r="37" spans="3:27" s="14" customFormat="1">
      <c r="C37" s="16"/>
      <c r="D37" s="16"/>
      <c r="E37" s="10"/>
      <c r="F37" s="10"/>
      <c r="G37" s="11"/>
      <c r="H37" s="12"/>
      <c r="I37" s="12"/>
      <c r="J37" s="12"/>
      <c r="K37" s="12"/>
      <c r="L37" s="12"/>
      <c r="M37" s="12"/>
      <c r="N37" s="12"/>
      <c r="O37" s="12"/>
      <c r="P37" s="13"/>
      <c r="AA37" s="15"/>
    </row>
    <row r="38" spans="3:27" s="14" customFormat="1">
      <c r="C38" s="16"/>
      <c r="D38" s="16"/>
      <c r="E38" s="10"/>
      <c r="F38" s="10"/>
      <c r="G38" s="11"/>
      <c r="H38" s="12"/>
      <c r="I38" s="12"/>
      <c r="J38" s="12"/>
      <c r="K38" s="12"/>
      <c r="L38" s="12"/>
      <c r="M38" s="12"/>
      <c r="N38" s="12"/>
      <c r="O38" s="12"/>
      <c r="P38" s="13"/>
      <c r="AA38" s="15"/>
    </row>
    <row r="39" spans="3:27" s="14" customFormat="1">
      <c r="C39" s="16"/>
      <c r="D39" s="16"/>
      <c r="E39" s="10"/>
      <c r="F39" s="10"/>
      <c r="G39" s="11"/>
      <c r="H39" s="12"/>
      <c r="I39" s="12"/>
      <c r="J39" s="12"/>
      <c r="K39" s="12"/>
      <c r="L39" s="12"/>
      <c r="M39" s="12"/>
      <c r="N39" s="12"/>
      <c r="O39" s="12"/>
      <c r="P39" s="13"/>
      <c r="AA39" s="15"/>
    </row>
    <row r="40" spans="3:27" s="14" customFormat="1">
      <c r="C40" s="16"/>
      <c r="D40" s="16"/>
      <c r="E40" s="10"/>
      <c r="F40" s="10"/>
      <c r="G40" s="11"/>
      <c r="H40" s="12"/>
      <c r="I40" s="12"/>
      <c r="J40" s="12"/>
      <c r="K40" s="12"/>
      <c r="L40" s="12"/>
      <c r="M40" s="12"/>
      <c r="N40" s="12"/>
      <c r="O40" s="12"/>
      <c r="P40" s="13"/>
      <c r="AA40" s="15"/>
    </row>
    <row r="41" spans="3:27" s="14" customFormat="1">
      <c r="C41" s="50"/>
      <c r="D41" s="50"/>
      <c r="E41" s="10"/>
      <c r="F41" s="10"/>
      <c r="G41" s="11"/>
      <c r="H41" s="12"/>
      <c r="I41" s="12"/>
      <c r="J41" s="12"/>
      <c r="K41" s="12"/>
      <c r="L41" s="12"/>
      <c r="M41" s="12"/>
      <c r="N41" s="12"/>
      <c r="O41" s="12"/>
      <c r="P41" s="13"/>
      <c r="AA41" s="15"/>
    </row>
    <row r="42" spans="3:27" s="14" customFormat="1">
      <c r="C42" s="50"/>
      <c r="D42" s="50"/>
      <c r="E42" s="10"/>
      <c r="F42" s="10"/>
      <c r="G42" s="11"/>
      <c r="H42" s="12"/>
      <c r="I42" s="12"/>
      <c r="J42" s="12"/>
      <c r="K42" s="12"/>
      <c r="L42" s="12"/>
      <c r="M42" s="12"/>
      <c r="N42" s="12"/>
      <c r="O42" s="12"/>
      <c r="P42" s="13"/>
      <c r="AA42" s="15"/>
    </row>
    <row r="43" spans="3:27" s="14" customFormat="1">
      <c r="C43" s="50"/>
      <c r="D43" s="50"/>
      <c r="E43" s="10"/>
      <c r="F43" s="10"/>
      <c r="G43" s="11"/>
      <c r="H43" s="12"/>
      <c r="I43" s="12"/>
      <c r="J43" s="12"/>
      <c r="K43" s="12"/>
      <c r="L43" s="12"/>
      <c r="M43" s="12"/>
      <c r="N43" s="12"/>
      <c r="O43" s="12"/>
      <c r="P43" s="13"/>
      <c r="AA43" s="15"/>
    </row>
    <row r="44" spans="3:27" s="14" customFormat="1">
      <c r="C44" s="50"/>
      <c r="D44" s="50"/>
      <c r="E44" s="10"/>
      <c r="F44" s="10"/>
      <c r="G44" s="11"/>
      <c r="H44" s="12"/>
      <c r="I44" s="12"/>
      <c r="J44" s="12"/>
      <c r="K44" s="12"/>
      <c r="L44" s="12"/>
      <c r="M44" s="12"/>
      <c r="N44" s="12"/>
      <c r="O44" s="12"/>
      <c r="P44" s="13"/>
      <c r="AA44" s="15"/>
    </row>
    <row r="45" spans="3:27" s="14" customFormat="1">
      <c r="C45" s="50"/>
      <c r="D45" s="50"/>
      <c r="E45" s="10"/>
      <c r="F45" s="10"/>
      <c r="G45" s="11"/>
      <c r="H45" s="12"/>
      <c r="I45" s="12"/>
      <c r="J45" s="12"/>
      <c r="K45" s="12"/>
      <c r="L45" s="12"/>
      <c r="M45" s="12"/>
      <c r="N45" s="12"/>
      <c r="O45" s="12"/>
      <c r="P45" s="13"/>
      <c r="AA45" s="15"/>
    </row>
    <row r="46" spans="3:27" s="14" customFormat="1">
      <c r="C46" s="50"/>
      <c r="D46" s="50"/>
      <c r="E46" s="10"/>
      <c r="F46" s="10"/>
      <c r="G46" s="11"/>
      <c r="H46" s="12"/>
      <c r="I46" s="12"/>
      <c r="J46" s="12"/>
      <c r="K46" s="12"/>
      <c r="L46" s="12"/>
      <c r="M46" s="12"/>
      <c r="N46" s="12"/>
      <c r="O46" s="12"/>
      <c r="P46" s="13"/>
      <c r="AA46" s="15"/>
    </row>
    <row r="47" spans="3:27" s="14" customFormat="1">
      <c r="C47" s="50"/>
      <c r="D47" s="50"/>
      <c r="E47" s="10"/>
      <c r="F47" s="10"/>
      <c r="G47" s="11"/>
      <c r="H47" s="12"/>
      <c r="I47" s="12"/>
      <c r="J47" s="12"/>
      <c r="K47" s="12"/>
      <c r="L47" s="12"/>
      <c r="M47" s="12"/>
      <c r="N47" s="12"/>
      <c r="O47" s="12"/>
      <c r="P47" s="13"/>
      <c r="AA47" s="15"/>
    </row>
    <row r="48" spans="3:27" s="14" customFormat="1">
      <c r="C48" s="50"/>
      <c r="D48" s="50"/>
      <c r="E48" s="10"/>
      <c r="F48" s="10"/>
      <c r="G48" s="11"/>
      <c r="H48" s="12"/>
      <c r="I48" s="12"/>
      <c r="J48" s="12"/>
      <c r="K48" s="12"/>
      <c r="L48" s="12"/>
      <c r="M48" s="12"/>
      <c r="N48" s="12"/>
      <c r="O48" s="12"/>
      <c r="P48" s="13"/>
      <c r="AA48" s="15"/>
    </row>
    <row r="49" spans="3:27" s="14" customFormat="1">
      <c r="C49" s="50"/>
      <c r="D49" s="50"/>
      <c r="E49" s="10"/>
      <c r="F49" s="10"/>
      <c r="G49" s="11"/>
      <c r="H49" s="12"/>
      <c r="I49" s="12"/>
      <c r="J49" s="12"/>
      <c r="K49" s="12"/>
      <c r="L49" s="12"/>
      <c r="M49" s="12"/>
      <c r="N49" s="12"/>
      <c r="O49" s="12"/>
      <c r="P49" s="13"/>
      <c r="AA49" s="15"/>
    </row>
    <row r="50" spans="3:27" s="14" customFormat="1">
      <c r="C50" s="50"/>
      <c r="D50" s="50"/>
      <c r="E50" s="10"/>
      <c r="F50" s="10"/>
      <c r="G50" s="11"/>
      <c r="H50" s="12"/>
      <c r="I50" s="12"/>
      <c r="J50" s="12"/>
      <c r="K50" s="12"/>
      <c r="L50" s="12"/>
      <c r="M50" s="12"/>
      <c r="N50" s="12"/>
      <c r="O50" s="12"/>
      <c r="P50" s="13"/>
      <c r="AA50" s="15"/>
    </row>
    <row r="51" spans="3:27" s="14" customFormat="1">
      <c r="C51" s="50"/>
      <c r="D51" s="50"/>
      <c r="E51" s="10"/>
      <c r="F51" s="10"/>
      <c r="G51" s="11"/>
      <c r="H51" s="12"/>
      <c r="I51" s="12"/>
      <c r="J51" s="12"/>
      <c r="K51" s="12"/>
      <c r="L51" s="12"/>
      <c r="M51" s="12"/>
      <c r="N51" s="12"/>
      <c r="O51" s="12"/>
      <c r="P51" s="13"/>
      <c r="AA51" s="15"/>
    </row>
    <row r="52" spans="3:27" s="14" customFormat="1">
      <c r="C52" s="50"/>
      <c r="D52" s="50"/>
      <c r="E52" s="10"/>
      <c r="F52" s="10"/>
      <c r="G52" s="11"/>
      <c r="H52" s="12"/>
      <c r="I52" s="12"/>
      <c r="J52" s="12"/>
      <c r="K52" s="12"/>
      <c r="L52" s="12"/>
      <c r="M52" s="12"/>
      <c r="N52" s="12"/>
      <c r="O52" s="12"/>
      <c r="P52" s="13"/>
      <c r="AA52" s="15"/>
    </row>
    <row r="53" spans="3:27" s="14" customFormat="1">
      <c r="C53" s="50"/>
      <c r="D53" s="50"/>
      <c r="E53" s="10"/>
      <c r="F53" s="10"/>
      <c r="G53" s="11"/>
      <c r="H53" s="12"/>
      <c r="I53" s="12"/>
      <c r="J53" s="12"/>
      <c r="K53" s="12"/>
      <c r="L53" s="12"/>
      <c r="M53" s="12"/>
      <c r="N53" s="12"/>
      <c r="O53" s="12"/>
      <c r="P53" s="13"/>
      <c r="AA53" s="15"/>
    </row>
    <row r="54" spans="3:27" s="14" customFormat="1">
      <c r="C54" s="50"/>
      <c r="D54" s="50"/>
      <c r="E54" s="10"/>
      <c r="F54" s="10"/>
      <c r="G54" s="11"/>
      <c r="H54" s="12"/>
      <c r="I54" s="12"/>
      <c r="J54" s="12"/>
      <c r="K54" s="12"/>
      <c r="L54" s="12"/>
      <c r="M54" s="12"/>
      <c r="N54" s="12"/>
      <c r="O54" s="12"/>
      <c r="P54" s="13"/>
      <c r="AA54" s="15"/>
    </row>
    <row r="55" spans="3:27" s="14" customFormat="1">
      <c r="C55" s="50"/>
      <c r="D55" s="50"/>
      <c r="E55" s="10"/>
      <c r="F55" s="10"/>
      <c r="G55" s="11"/>
      <c r="H55" s="12"/>
      <c r="I55" s="12"/>
      <c r="J55" s="12"/>
      <c r="K55" s="12"/>
      <c r="L55" s="12"/>
      <c r="M55" s="12"/>
      <c r="N55" s="12"/>
      <c r="O55" s="12"/>
      <c r="P55" s="13"/>
      <c r="AA55" s="15"/>
    </row>
    <row r="56" spans="3:27" s="14" customFormat="1">
      <c r="C56" s="50"/>
      <c r="D56" s="50"/>
      <c r="E56" s="10"/>
      <c r="F56" s="10"/>
      <c r="G56" s="11"/>
      <c r="H56" s="12"/>
      <c r="I56" s="12"/>
      <c r="J56" s="12"/>
      <c r="K56" s="12"/>
      <c r="L56" s="12"/>
      <c r="M56" s="12"/>
      <c r="N56" s="12"/>
      <c r="O56" s="12"/>
      <c r="P56" s="13"/>
      <c r="AA56" s="15"/>
    </row>
    <row r="57" spans="3:27" s="14" customFormat="1">
      <c r="C57" s="50"/>
      <c r="D57" s="50"/>
      <c r="E57" s="10"/>
      <c r="F57" s="10"/>
      <c r="G57" s="11"/>
      <c r="H57" s="12"/>
      <c r="I57" s="12"/>
      <c r="J57" s="12"/>
      <c r="K57" s="12"/>
      <c r="L57" s="12"/>
      <c r="M57" s="12"/>
      <c r="N57" s="12"/>
      <c r="O57" s="12"/>
      <c r="P57" s="13"/>
      <c r="AA57" s="15"/>
    </row>
    <row r="58" spans="3:27" s="14" customFormat="1">
      <c r="C58" s="50"/>
      <c r="D58" s="50"/>
      <c r="E58" s="10"/>
      <c r="F58" s="10"/>
      <c r="G58" s="11"/>
      <c r="H58" s="12"/>
      <c r="I58" s="12"/>
      <c r="J58" s="12"/>
      <c r="K58" s="12"/>
      <c r="L58" s="12"/>
      <c r="M58" s="12"/>
      <c r="N58" s="12"/>
      <c r="O58" s="12"/>
      <c r="P58" s="13"/>
      <c r="AA58" s="15"/>
    </row>
    <row r="59" spans="3:27" s="14" customFormat="1">
      <c r="C59" s="50"/>
      <c r="D59" s="50"/>
      <c r="E59" s="10"/>
      <c r="F59" s="10"/>
      <c r="G59" s="11"/>
      <c r="H59" s="12"/>
      <c r="I59" s="12"/>
      <c r="J59" s="12"/>
      <c r="K59" s="12"/>
      <c r="L59" s="12"/>
      <c r="M59" s="12"/>
      <c r="N59" s="12"/>
      <c r="O59" s="12"/>
      <c r="P59" s="13"/>
      <c r="AA59" s="15"/>
    </row>
    <row r="60" spans="3:27" s="14" customFormat="1">
      <c r="C60" s="50"/>
      <c r="D60" s="50"/>
      <c r="E60" s="10"/>
      <c r="F60" s="10"/>
      <c r="G60" s="11"/>
      <c r="H60" s="12"/>
      <c r="I60" s="12"/>
      <c r="J60" s="12"/>
      <c r="K60" s="12"/>
      <c r="L60" s="12"/>
      <c r="M60" s="12"/>
      <c r="N60" s="12"/>
      <c r="O60" s="12"/>
      <c r="P60" s="13"/>
      <c r="AA60" s="15"/>
    </row>
    <row r="61" spans="3:27" s="14" customFormat="1">
      <c r="C61" s="50"/>
      <c r="D61" s="50"/>
      <c r="E61" s="10"/>
      <c r="F61" s="10"/>
      <c r="G61" s="11"/>
      <c r="H61" s="12"/>
      <c r="I61" s="12"/>
      <c r="J61" s="12"/>
      <c r="K61" s="12"/>
      <c r="L61" s="12"/>
      <c r="M61" s="12"/>
      <c r="N61" s="12"/>
      <c r="O61" s="12"/>
      <c r="P61" s="13"/>
      <c r="AA61" s="15"/>
    </row>
    <row r="62" spans="3:27" s="14" customFormat="1">
      <c r="C62" s="50"/>
      <c r="D62" s="50"/>
      <c r="E62" s="10"/>
      <c r="F62" s="10"/>
      <c r="G62" s="11"/>
      <c r="H62" s="12"/>
      <c r="I62" s="12"/>
      <c r="J62" s="12"/>
      <c r="K62" s="12"/>
      <c r="L62" s="12"/>
      <c r="M62" s="12"/>
      <c r="N62" s="12"/>
      <c r="O62" s="12"/>
      <c r="P62" s="13"/>
      <c r="AA62" s="15"/>
    </row>
    <row r="63" spans="3:27" s="14" customFormat="1">
      <c r="C63" s="50"/>
      <c r="D63" s="50"/>
      <c r="E63" s="10"/>
      <c r="F63" s="10"/>
      <c r="G63" s="11"/>
      <c r="H63" s="12"/>
      <c r="I63" s="12"/>
      <c r="J63" s="12"/>
      <c r="K63" s="12"/>
      <c r="L63" s="12"/>
      <c r="M63" s="12"/>
      <c r="N63" s="12"/>
      <c r="O63" s="12"/>
      <c r="P63" s="13"/>
      <c r="AA63" s="15"/>
    </row>
    <row r="64" spans="3:27" s="14" customFormat="1">
      <c r="C64" s="50"/>
      <c r="D64" s="50"/>
      <c r="E64" s="10"/>
      <c r="F64" s="10"/>
      <c r="G64" s="11"/>
      <c r="H64" s="12"/>
      <c r="I64" s="12"/>
      <c r="J64" s="12"/>
      <c r="K64" s="12"/>
      <c r="L64" s="12"/>
      <c r="M64" s="12"/>
      <c r="N64" s="12"/>
      <c r="O64" s="12"/>
      <c r="P64" s="13"/>
      <c r="AA64" s="15"/>
    </row>
    <row r="65" spans="3:27" s="14" customFormat="1">
      <c r="C65" s="50"/>
      <c r="D65" s="50"/>
      <c r="E65" s="10"/>
      <c r="F65" s="10"/>
      <c r="G65" s="11"/>
      <c r="H65" s="12"/>
      <c r="I65" s="12"/>
      <c r="J65" s="12"/>
      <c r="K65" s="12"/>
      <c r="L65" s="12"/>
      <c r="M65" s="12"/>
      <c r="N65" s="12"/>
      <c r="O65" s="12"/>
      <c r="P65" s="13"/>
      <c r="AA65" s="15"/>
    </row>
    <row r="66" spans="3:27" s="14" customFormat="1">
      <c r="C66" s="50"/>
      <c r="D66" s="50"/>
      <c r="E66" s="10"/>
      <c r="F66" s="10"/>
      <c r="G66" s="11"/>
      <c r="H66" s="12"/>
      <c r="I66" s="12"/>
      <c r="J66" s="12"/>
      <c r="K66" s="12"/>
      <c r="L66" s="12"/>
      <c r="M66" s="12"/>
      <c r="N66" s="12"/>
      <c r="O66" s="12"/>
      <c r="P66" s="13"/>
      <c r="AA66" s="15"/>
    </row>
    <row r="67" spans="3:27" s="14" customFormat="1">
      <c r="C67" s="50"/>
      <c r="D67" s="50"/>
      <c r="E67" s="10"/>
      <c r="F67" s="10"/>
      <c r="G67" s="11"/>
      <c r="H67" s="12"/>
      <c r="I67" s="12"/>
      <c r="J67" s="12"/>
      <c r="K67" s="12"/>
      <c r="L67" s="12"/>
      <c r="M67" s="12"/>
      <c r="N67" s="12"/>
      <c r="O67" s="12"/>
      <c r="P67" s="13"/>
      <c r="AA67" s="15"/>
    </row>
    <row r="68" spans="3:27" s="14" customFormat="1">
      <c r="C68" s="50"/>
      <c r="D68" s="50"/>
      <c r="E68" s="10"/>
      <c r="F68" s="10"/>
      <c r="G68" s="11"/>
      <c r="H68" s="12"/>
      <c r="I68" s="12"/>
      <c r="J68" s="12"/>
      <c r="K68" s="12"/>
      <c r="L68" s="12"/>
      <c r="M68" s="12"/>
      <c r="N68" s="12"/>
      <c r="O68" s="12"/>
      <c r="P68" s="13"/>
      <c r="AA68" s="15"/>
    </row>
    <row r="69" spans="3:27" s="14" customFormat="1">
      <c r="C69" s="50"/>
      <c r="D69" s="50"/>
      <c r="E69" s="10"/>
      <c r="F69" s="10"/>
      <c r="G69" s="11"/>
      <c r="H69" s="12"/>
      <c r="I69" s="12"/>
      <c r="J69" s="12"/>
      <c r="K69" s="12"/>
      <c r="L69" s="12"/>
      <c r="M69" s="12"/>
      <c r="N69" s="12"/>
      <c r="O69" s="12"/>
      <c r="P69" s="13"/>
      <c r="AA69" s="15"/>
    </row>
    <row r="70" spans="3:27" s="14" customFormat="1">
      <c r="C70" s="50"/>
      <c r="D70" s="50"/>
      <c r="E70" s="10"/>
      <c r="F70" s="10"/>
      <c r="G70" s="11"/>
      <c r="H70" s="12"/>
      <c r="I70" s="12"/>
      <c r="J70" s="12"/>
      <c r="K70" s="12"/>
      <c r="L70" s="12"/>
      <c r="M70" s="12"/>
      <c r="N70" s="12"/>
      <c r="O70" s="12"/>
      <c r="P70" s="13"/>
      <c r="AA70" s="15"/>
    </row>
    <row r="71" spans="3:27" s="14" customFormat="1">
      <c r="C71" s="50"/>
      <c r="D71" s="50"/>
      <c r="E71" s="10"/>
      <c r="F71" s="10"/>
      <c r="G71" s="11"/>
      <c r="H71" s="12"/>
      <c r="I71" s="12"/>
      <c r="J71" s="12"/>
      <c r="K71" s="12"/>
      <c r="L71" s="12"/>
      <c r="M71" s="12"/>
      <c r="N71" s="12"/>
      <c r="O71" s="12"/>
      <c r="P71" s="13"/>
      <c r="AA71" s="15"/>
    </row>
  </sheetData>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Werkbladen</vt:lpstr>
      </vt:variant>
      <vt:variant>
        <vt:i4>22</vt:i4>
      </vt:variant>
      <vt:variant>
        <vt:lpstr>Grafieken</vt:lpstr>
      </vt:variant>
      <vt:variant>
        <vt:i4>3</vt:i4>
      </vt:variant>
      <vt:variant>
        <vt:lpstr>Benoemde bereiken</vt:lpstr>
      </vt:variant>
      <vt:variant>
        <vt:i4>7</vt:i4>
      </vt:variant>
    </vt:vector>
  </HeadingPairs>
  <TitlesOfParts>
    <vt:vector size="32" baseType="lpstr">
      <vt:lpstr>Etappes</vt:lpstr>
      <vt:lpstr>originaliteit</vt:lpstr>
      <vt:lpstr>Score</vt:lpstr>
      <vt:lpstr>Teams</vt:lpstr>
      <vt:lpstr>Lego</vt:lpstr>
      <vt:lpstr>Bangkok</vt:lpstr>
      <vt:lpstr>Tin</vt:lpstr>
      <vt:lpstr>Niet</vt:lpstr>
      <vt:lpstr>Casper</vt:lpstr>
      <vt:lpstr>Vino</vt:lpstr>
      <vt:lpstr>Omer</vt:lpstr>
      <vt:lpstr>TTT</vt:lpstr>
      <vt:lpstr>BertT</vt:lpstr>
      <vt:lpstr>Lange</vt:lpstr>
      <vt:lpstr>Gran</vt:lpstr>
      <vt:lpstr>Selfkant</vt:lpstr>
      <vt:lpstr>Wadaf</vt:lpstr>
      <vt:lpstr>Freaky</vt:lpstr>
      <vt:lpstr>Lothar</vt:lpstr>
      <vt:lpstr>Ami</vt:lpstr>
      <vt:lpstr>IJff</vt:lpstr>
      <vt:lpstr>HANDLEIDING</vt:lpstr>
      <vt:lpstr>Grafiek</vt:lpstr>
      <vt:lpstr>Grafiek (2)</vt:lpstr>
      <vt:lpstr>Grafiek (3)</vt:lpstr>
      <vt:lpstr>Etappes!Afdrukbereik</vt:lpstr>
      <vt:lpstr>originaliteit!Afdrukbereik</vt:lpstr>
      <vt:lpstr>etappes</vt:lpstr>
      <vt:lpstr>lijst_sheets</vt:lpstr>
      <vt:lpstr>lijst_teams</vt:lpstr>
      <vt:lpstr>renners</vt:lpstr>
      <vt:lpstr>scorematrix</vt:lpstr>
    </vt:vector>
  </TitlesOfParts>
  <Company>Universiteit Utrecht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 Berkhout</dc:creator>
  <cp:lastModifiedBy>Ernest</cp:lastModifiedBy>
  <cp:lastPrinted>2008-07-22T15:56:34Z</cp:lastPrinted>
  <dcterms:created xsi:type="dcterms:W3CDTF">2000-07-22T17:05:22Z</dcterms:created>
  <dcterms:modified xsi:type="dcterms:W3CDTF">2015-08-16T12:13:47Z</dcterms:modified>
</cp:coreProperties>
</file>