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worksheets/sheet19.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 yWindow="1680" windowWidth="15480" windowHeight="11640" tabRatio="928"/>
  </bookViews>
  <sheets>
    <sheet name="Etappes" sheetId="2" r:id="rId1"/>
    <sheet name="Grafiek" sheetId="18" r:id="rId2"/>
    <sheet name="Grafiek (2)" sheetId="41" r:id="rId3"/>
    <sheet name="originaliteit" sheetId="19" r:id="rId4"/>
    <sheet name="Grafiek (3)" sheetId="42" r:id="rId5"/>
    <sheet name="Teams" sheetId="9" r:id="rId6"/>
    <sheet name="Score" sheetId="10" r:id="rId7"/>
    <sheet name="Selfkant" sheetId="37" r:id="rId8"/>
    <sheet name="Gran" sheetId="40" r:id="rId9"/>
    <sheet name="Lange" sheetId="14" r:id="rId10"/>
    <sheet name="Tour" sheetId="16" r:id="rId11"/>
    <sheet name="Tin" sheetId="12" r:id="rId12"/>
    <sheet name="SVU" sheetId="35" r:id="rId13"/>
    <sheet name="IJff" sheetId="28" r:id="rId14"/>
    <sheet name="Sale" sheetId="25" r:id="rId15"/>
    <sheet name="Theo" sheetId="36" state="hidden" r:id="rId16"/>
    <sheet name="Casper" sheetId="33" state="hidden" r:id="rId17"/>
    <sheet name="Vino" sheetId="32" state="hidden" r:id="rId18"/>
    <sheet name="Omer" sheetId="15" state="hidden" r:id="rId19"/>
    <sheet name="TTT" sheetId="34" state="hidden" r:id="rId20"/>
    <sheet name="BertT" sheetId="17" state="hidden" r:id="rId21"/>
    <sheet name="Lothar" sheetId="21" r:id="rId22"/>
    <sheet name="Ami" sheetId="45" r:id="rId23"/>
    <sheet name="Niet" sheetId="30" r:id="rId24"/>
    <sheet name="HANDLEIDING" sheetId="43" r:id="rId25"/>
  </sheets>
  <definedNames>
    <definedName name="_xlnm.Print_Area" localSheetId="0">Etappes!$A$1:$Z$81</definedName>
    <definedName name="_xlnm.Print_Area" localSheetId="3">originaliteit!$A$1:$M$50</definedName>
    <definedName name="etappes">Score!$B$1:$Z$1</definedName>
    <definedName name="lijst_sheets">originaliteit!$B$1:$L$1</definedName>
    <definedName name="lijst_teams">Etappes!$B$3:$B$19</definedName>
    <definedName name="renners">Score!$B:$B</definedName>
    <definedName name="scorematrix">Score!$B:$Z</definedName>
    <definedName name="TABLE" localSheetId="20">BertT!#REF!</definedName>
    <definedName name="TABLE" localSheetId="16">Casper!#REF!</definedName>
    <definedName name="TABLE" localSheetId="18">Omer!#REF!</definedName>
    <definedName name="TABLE" localSheetId="15">Theo!#REF!</definedName>
    <definedName name="TABLE" localSheetId="19">TTT!#REF!</definedName>
    <definedName name="TABLE" localSheetId="17">Vino!#REF!</definedName>
    <definedName name="TABLE_2" localSheetId="20">BertT!#REF!</definedName>
    <definedName name="TABLE_2" localSheetId="16">Casper!#REF!</definedName>
    <definedName name="TABLE_2" localSheetId="18">Omer!#REF!</definedName>
    <definedName name="TABLE_2" localSheetId="15">Theo!#REF!</definedName>
    <definedName name="TABLE_2" localSheetId="19">TTT!#REF!</definedName>
    <definedName name="TABLE_2" localSheetId="17">Vino!#REF!</definedName>
    <definedName name="TABLE_3" localSheetId="20">BertT!#REF!</definedName>
    <definedName name="TABLE_3" localSheetId="16">Casper!#REF!</definedName>
    <definedName name="TABLE_3" localSheetId="18">Omer!#REF!</definedName>
    <definedName name="TABLE_3" localSheetId="15">Theo!#REF!</definedName>
    <definedName name="TABLE_3" localSheetId="19">TTT!#REF!</definedName>
    <definedName name="TABLE_3" localSheetId="17">Vino!#REF!</definedName>
  </definedNames>
  <calcPr calcId="125725"/>
</workbook>
</file>

<file path=xl/calcChain.xml><?xml version="1.0" encoding="utf-8"?>
<calcChain xmlns="http://schemas.openxmlformats.org/spreadsheetml/2006/main">
  <c r="Y30" i="10"/>
  <c r="Y29"/>
  <c r="Y15"/>
  <c r="W30"/>
  <c r="W15"/>
  <c r="W29"/>
  <c r="W23"/>
  <c r="W21"/>
  <c r="W19"/>
  <c r="W6"/>
  <c r="W33"/>
  <c r="W18"/>
  <c r="V30"/>
  <c r="V37"/>
  <c r="V38"/>
  <c r="V16"/>
  <c r="V25"/>
  <c r="V22"/>
  <c r="V8"/>
  <c r="V15"/>
  <c r="V29"/>
  <c r="U29"/>
  <c r="U15"/>
  <c r="U38"/>
  <c r="U16"/>
  <c r="U22"/>
  <c r="U32"/>
  <c r="T40"/>
  <c r="T29"/>
  <c r="T15"/>
  <c r="T16"/>
  <c r="T30"/>
  <c r="T22"/>
  <c r="T8"/>
  <c r="T38"/>
  <c r="S30"/>
  <c r="S29"/>
  <c r="S16"/>
  <c r="S25"/>
  <c r="S22"/>
  <c r="S38"/>
  <c r="S8"/>
  <c r="S15"/>
  <c r="R22"/>
  <c r="R29"/>
  <c r="R15"/>
  <c r="R25"/>
  <c r="R9"/>
  <c r="Q22"/>
  <c r="Q29"/>
  <c r="Q15"/>
  <c r="Q30"/>
  <c r="Q16"/>
  <c r="Q8"/>
  <c r="Q25"/>
  <c r="Q38"/>
  <c r="P29"/>
  <c r="P15"/>
  <c r="P22"/>
  <c r="P8"/>
  <c r="P25"/>
  <c r="O29"/>
  <c r="O15"/>
  <c r="O19"/>
  <c r="O6"/>
  <c r="O33"/>
  <c r="O16"/>
  <c r="O22"/>
  <c r="O8"/>
  <c r="O25"/>
  <c r="O7"/>
  <c r="N29"/>
  <c r="N15"/>
  <c r="N23"/>
  <c r="N21"/>
  <c r="N6"/>
  <c r="N33"/>
  <c r="N22"/>
  <c r="N38"/>
  <c r="M29"/>
  <c r="M28"/>
  <c r="M15"/>
  <c r="M33"/>
  <c r="M22"/>
  <c r="M8"/>
  <c r="M25"/>
  <c r="M38"/>
  <c r="M24"/>
  <c r="L29"/>
  <c r="L15"/>
  <c r="L23"/>
  <c r="L21"/>
  <c r="L6"/>
  <c r="L19"/>
  <c r="L33"/>
  <c r="K29" l="1"/>
  <c r="K15"/>
  <c r="K9"/>
  <c r="K30"/>
  <c r="K8"/>
  <c r="K22"/>
  <c r="K25"/>
  <c r="K38"/>
  <c r="K34"/>
  <c r="J29"/>
  <c r="J28"/>
  <c r="J15"/>
  <c r="J30"/>
  <c r="J8"/>
  <c r="J22"/>
  <c r="J25"/>
  <c r="J2"/>
  <c r="J38"/>
  <c r="I7"/>
  <c r="I3"/>
  <c r="I33" l="1"/>
  <c r="I13"/>
  <c r="H21"/>
  <c r="H23"/>
  <c r="H6"/>
  <c r="H19"/>
  <c r="H33"/>
  <c r="H28"/>
  <c r="H15"/>
  <c r="H3"/>
  <c r="H31" l="1"/>
  <c r="G3"/>
  <c r="G19"/>
  <c r="G23"/>
  <c r="G6"/>
  <c r="G33"/>
  <c r="D33"/>
  <c r="E33"/>
  <c r="E14"/>
  <c r="E3"/>
  <c r="E31"/>
  <c r="D3" l="1"/>
  <c r="C31"/>
  <c r="C23"/>
  <c r="C21"/>
  <c r="AB4" i="2"/>
  <c r="AB5"/>
  <c r="AB6"/>
  <c r="AB7"/>
  <c r="AB8"/>
  <c r="AB9"/>
  <c r="AB10"/>
  <c r="AB11"/>
  <c r="AB12"/>
  <c r="AB13"/>
  <c r="I9" i="19"/>
  <c r="C9"/>
  <c r="F9"/>
  <c r="E9"/>
  <c r="J9"/>
  <c r="K9"/>
  <c r="D9"/>
  <c r="G9"/>
  <c r="H9"/>
  <c r="B9"/>
  <c r="Y24" i="40" l="1"/>
  <c r="Y25"/>
  <c r="Y26"/>
  <c r="X23" i="10"/>
  <c r="Z23" s="1"/>
  <c r="X41"/>
  <c r="X47"/>
  <c r="Y26" i="12"/>
  <c r="Y25"/>
  <c r="Y24"/>
  <c r="Y26" i="35"/>
  <c r="Y25"/>
  <c r="Y24"/>
  <c r="Y26" i="37"/>
  <c r="Y25"/>
  <c r="Y24"/>
  <c r="Y26" i="25"/>
  <c r="Y25"/>
  <c r="Y24"/>
  <c r="Y26" i="14"/>
  <c r="Y25"/>
  <c r="Y24"/>
  <c r="Y26" i="28"/>
  <c r="Y25"/>
  <c r="Y24"/>
  <c r="Y26" i="16"/>
  <c r="Y25"/>
  <c r="Y24"/>
  <c r="Y26" i="45"/>
  <c r="Y25"/>
  <c r="Y24"/>
  <c r="Y26" i="30"/>
  <c r="Y25"/>
  <c r="Y24"/>
  <c r="Y24" i="21"/>
  <c r="Y26"/>
  <c r="Y25"/>
  <c r="X48" i="10"/>
  <c r="X46"/>
  <c r="X45"/>
  <c r="X44"/>
  <c r="X43"/>
  <c r="X42"/>
  <c r="X40"/>
  <c r="X39"/>
  <c r="X38"/>
  <c r="X37"/>
  <c r="X36"/>
  <c r="X35"/>
  <c r="X34"/>
  <c r="X33"/>
  <c r="X32"/>
  <c r="X31"/>
  <c r="X29"/>
  <c r="X28"/>
  <c r="X27"/>
  <c r="X26"/>
  <c r="X25"/>
  <c r="X24"/>
  <c r="X22"/>
  <c r="X21"/>
  <c r="X20"/>
  <c r="X19"/>
  <c r="X18"/>
  <c r="X17"/>
  <c r="X16"/>
  <c r="X15"/>
  <c r="X14"/>
  <c r="X13"/>
  <c r="X12"/>
  <c r="X11"/>
  <c r="X10"/>
  <c r="X9"/>
  <c r="X8"/>
  <c r="X7"/>
  <c r="X6"/>
  <c r="X5"/>
  <c r="X4"/>
  <c r="X3"/>
  <c r="X2"/>
  <c r="Y62" i="2"/>
  <c r="Y63"/>
  <c r="D50" i="19"/>
  <c r="U20" i="9"/>
  <c r="U21"/>
  <c r="U22"/>
  <c r="U23"/>
  <c r="U24"/>
  <c r="U25"/>
  <c r="U26"/>
  <c r="U3"/>
  <c r="O2"/>
  <c r="O3"/>
  <c r="O4"/>
  <c r="O5"/>
  <c r="O6"/>
  <c r="O7"/>
  <c r="O8"/>
  <c r="O9"/>
  <c r="O10"/>
  <c r="O11"/>
  <c r="O12"/>
  <c r="O13"/>
  <c r="O14"/>
  <c r="O15"/>
  <c r="O16"/>
  <c r="O17"/>
  <c r="O18"/>
  <c r="O19"/>
  <c r="O20"/>
  <c r="O21"/>
  <c r="O22"/>
  <c r="O23"/>
  <c r="O24"/>
  <c r="O25"/>
  <c r="O26"/>
  <c r="O1"/>
  <c r="G2" i="19"/>
  <c r="H28"/>
  <c r="C2"/>
  <c r="E2"/>
  <c r="D2"/>
  <c r="I2"/>
  <c r="K2"/>
  <c r="B41"/>
  <c r="F28"/>
  <c r="J2"/>
  <c r="L2"/>
  <c r="H2"/>
  <c r="F2"/>
  <c r="P18" i="9" l="1"/>
  <c r="P25"/>
  <c r="P26"/>
  <c r="P20"/>
  <c r="X30" i="10"/>
  <c r="P5" i="9"/>
  <c r="P11"/>
  <c r="P9"/>
  <c r="P7"/>
  <c r="Z44" i="10" l="1"/>
  <c r="Z42"/>
  <c r="Z24"/>
  <c r="Z31"/>
  <c r="Z12"/>
  <c r="Z43"/>
  <c r="AA20" i="45" l="1"/>
  <c r="Y20"/>
  <c r="AA19"/>
  <c r="Y19"/>
  <c r="AA18"/>
  <c r="Y18"/>
  <c r="AA17"/>
  <c r="Y17"/>
  <c r="AA16"/>
  <c r="Y16"/>
  <c r="AA15"/>
  <c r="Y15"/>
  <c r="AA14"/>
  <c r="Y14"/>
  <c r="AA13"/>
  <c r="Y13"/>
  <c r="AA12"/>
  <c r="Y12"/>
  <c r="AA11"/>
  <c r="Y11"/>
  <c r="AA10"/>
  <c r="Y10"/>
  <c r="AA9"/>
  <c r="Y9"/>
  <c r="AA8"/>
  <c r="Y8"/>
  <c r="AA7"/>
  <c r="Y7"/>
  <c r="AA6"/>
  <c r="Y6"/>
  <c r="AA5"/>
  <c r="Y5"/>
  <c r="AA4"/>
  <c r="Y4"/>
  <c r="E6" i="19"/>
  <c r="E15"/>
  <c r="E20"/>
  <c r="E3"/>
  <c r="E5"/>
  <c r="E10"/>
  <c r="E21"/>
  <c r="E25"/>
  <c r="E4"/>
  <c r="E8"/>
  <c r="E20" i="45" l="1"/>
  <c r="E26"/>
  <c r="E25"/>
  <c r="E24"/>
  <c r="G20"/>
  <c r="G26"/>
  <c r="G25"/>
  <c r="G24"/>
  <c r="I20"/>
  <c r="I26"/>
  <c r="I25"/>
  <c r="I24"/>
  <c r="K20"/>
  <c r="K26"/>
  <c r="K25"/>
  <c r="K24"/>
  <c r="M20"/>
  <c r="M26"/>
  <c r="M25"/>
  <c r="M24"/>
  <c r="O20"/>
  <c r="O26"/>
  <c r="O25"/>
  <c r="O24"/>
  <c r="Q20"/>
  <c r="Q26"/>
  <c r="Q25"/>
  <c r="Q24"/>
  <c r="S20"/>
  <c r="S26"/>
  <c r="S25"/>
  <c r="S24"/>
  <c r="U20"/>
  <c r="U26"/>
  <c r="U25"/>
  <c r="U24"/>
  <c r="W20"/>
  <c r="W26"/>
  <c r="W25"/>
  <c r="W24"/>
  <c r="W21" s="1"/>
  <c r="D20"/>
  <c r="D26"/>
  <c r="D25"/>
  <c r="D24"/>
  <c r="F20"/>
  <c r="F26"/>
  <c r="F25"/>
  <c r="F24"/>
  <c r="H20"/>
  <c r="H26"/>
  <c r="H25"/>
  <c r="H24"/>
  <c r="J20"/>
  <c r="J26"/>
  <c r="J25"/>
  <c r="J24"/>
  <c r="L20"/>
  <c r="L26"/>
  <c r="L25"/>
  <c r="L24"/>
  <c r="N20"/>
  <c r="N26"/>
  <c r="N21" s="1"/>
  <c r="N25"/>
  <c r="N24"/>
  <c r="P20"/>
  <c r="P26"/>
  <c r="P25"/>
  <c r="P24"/>
  <c r="R20"/>
  <c r="R26"/>
  <c r="R25"/>
  <c r="R24"/>
  <c r="T20"/>
  <c r="T26"/>
  <c r="T25"/>
  <c r="T24"/>
  <c r="V20"/>
  <c r="V26"/>
  <c r="V25"/>
  <c r="V24"/>
  <c r="X20"/>
  <c r="X26"/>
  <c r="X25"/>
  <c r="X24"/>
  <c r="K4"/>
  <c r="G4"/>
  <c r="O4"/>
  <c r="E4"/>
  <c r="I4"/>
  <c r="M4"/>
  <c r="Y22"/>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AB14" i="2"/>
  <c r="AC14" s="1"/>
  <c r="AB15"/>
  <c r="AC15" s="1"/>
  <c r="AB16"/>
  <c r="AC16" s="1"/>
  <c r="AB17"/>
  <c r="AC17" s="1"/>
  <c r="AB18"/>
  <c r="AC18" s="1"/>
  <c r="AB19"/>
  <c r="AC19" s="1"/>
  <c r="AB3"/>
  <c r="J19"/>
  <c r="J16"/>
  <c r="W14"/>
  <c r="B15"/>
  <c r="S15"/>
  <c r="H18"/>
  <c r="V14"/>
  <c r="Q14"/>
  <c r="M18"/>
  <c r="U14"/>
  <c r="W16"/>
  <c r="O17"/>
  <c r="S14"/>
  <c r="N19"/>
  <c r="L18"/>
  <c r="K14"/>
  <c r="C18"/>
  <c r="J15"/>
  <c r="E14"/>
  <c r="U17"/>
  <c r="B19"/>
  <c r="O18"/>
  <c r="X19"/>
  <c r="R15"/>
  <c r="H15"/>
  <c r="N14"/>
  <c r="J14"/>
  <c r="E15"/>
  <c r="X17"/>
  <c r="V19"/>
  <c r="C17"/>
  <c r="B18"/>
  <c r="Q16"/>
  <c r="Q19"/>
  <c r="S18"/>
  <c r="X16"/>
  <c r="C19"/>
  <c r="Q17"/>
  <c r="R19"/>
  <c r="I15"/>
  <c r="I16"/>
  <c r="S16"/>
  <c r="R17"/>
  <c r="Q15"/>
  <c r="O15"/>
  <c r="P15"/>
  <c r="G17"/>
  <c r="C16"/>
  <c r="K16"/>
  <c r="N17"/>
  <c r="G18"/>
  <c r="T17"/>
  <c r="V18"/>
  <c r="G19"/>
  <c r="T15"/>
  <c r="T19"/>
  <c r="C15"/>
  <c r="H19"/>
  <c r="W18"/>
  <c r="I18"/>
  <c r="G14"/>
  <c r="U15"/>
  <c r="N16"/>
  <c r="D15"/>
  <c r="K15"/>
  <c r="X18"/>
  <c r="R14"/>
  <c r="L17"/>
  <c r="R16"/>
  <c r="M17"/>
  <c r="L19"/>
  <c r="H16"/>
  <c r="P18"/>
  <c r="E19"/>
  <c r="T14"/>
  <c r="P17"/>
  <c r="E17"/>
  <c r="C14"/>
  <c r="B17"/>
  <c r="H17"/>
  <c r="K18"/>
  <c r="Q18"/>
  <c r="D14"/>
  <c r="H14"/>
  <c r="B16"/>
  <c r="O14"/>
  <c r="L14"/>
  <c r="W17"/>
  <c r="V15"/>
  <c r="K17"/>
  <c r="P16"/>
  <c r="I14"/>
  <c r="F14"/>
  <c r="M19"/>
  <c r="I17"/>
  <c r="B11"/>
  <c r="V17"/>
  <c r="S19"/>
  <c r="W15"/>
  <c r="D17"/>
  <c r="J17"/>
  <c r="V16"/>
  <c r="B13"/>
  <c r="D16"/>
  <c r="M15"/>
  <c r="X14"/>
  <c r="F15"/>
  <c r="L15"/>
  <c r="N18"/>
  <c r="P14"/>
  <c r="I19"/>
  <c r="G16"/>
  <c r="U16"/>
  <c r="L16"/>
  <c r="T16"/>
  <c r="F16"/>
  <c r="B14"/>
  <c r="E18"/>
  <c r="O16"/>
  <c r="U18"/>
  <c r="J18"/>
  <c r="S17"/>
  <c r="T18"/>
  <c r="F17"/>
  <c r="O19"/>
  <c r="N15"/>
  <c r="U19"/>
  <c r="F18"/>
  <c r="P19"/>
  <c r="R18"/>
  <c r="G15"/>
  <c r="D19"/>
  <c r="K19"/>
  <c r="D18"/>
  <c r="F19"/>
  <c r="M14"/>
  <c r="W19"/>
  <c r="X15"/>
  <c r="M16"/>
  <c r="E16"/>
  <c r="Z20" i="45" l="1"/>
  <c r="B32" i="2"/>
  <c r="B47" s="1"/>
  <c r="B30"/>
  <c r="B45" s="1"/>
  <c r="O22" i="45"/>
  <c r="G22"/>
  <c r="M22"/>
  <c r="I22"/>
  <c r="E22"/>
  <c r="K22"/>
  <c r="Y19" i="2"/>
  <c r="Z19" s="1"/>
  <c r="Y17"/>
  <c r="Z17" s="1"/>
  <c r="Y15"/>
  <c r="Z15" s="1"/>
  <c r="Y18"/>
  <c r="Z18" s="1"/>
  <c r="Y16"/>
  <c r="Z16" s="1"/>
  <c r="Y14"/>
  <c r="Z14" s="1"/>
  <c r="D22" i="45"/>
  <c r="Z4"/>
  <c r="Z18"/>
  <c r="Z16"/>
  <c r="Z14"/>
  <c r="Z12"/>
  <c r="Z10"/>
  <c r="Z8"/>
  <c r="Z6"/>
  <c r="X22"/>
  <c r="T22"/>
  <c r="P22"/>
  <c r="L22"/>
  <c r="H22"/>
  <c r="U22"/>
  <c r="Q22"/>
  <c r="Z19"/>
  <c r="Z17"/>
  <c r="Z15"/>
  <c r="Z13"/>
  <c r="Z11"/>
  <c r="Z9"/>
  <c r="Z7"/>
  <c r="Z5"/>
  <c r="V22"/>
  <c r="R22"/>
  <c r="N22"/>
  <c r="J22"/>
  <c r="F22"/>
  <c r="W22"/>
  <c r="S22"/>
  <c r="Z22" l="1"/>
  <c r="Y20" i="12" l="1"/>
  <c r="Y19"/>
  <c r="Y18"/>
  <c r="Y17"/>
  <c r="Y16"/>
  <c r="Y15"/>
  <c r="Y14"/>
  <c r="Y13"/>
  <c r="Y12"/>
  <c r="Y11"/>
  <c r="Y10"/>
  <c r="Y9"/>
  <c r="Y8"/>
  <c r="Y7"/>
  <c r="Y6"/>
  <c r="Y5"/>
  <c r="Y4"/>
  <c r="Y20" i="35"/>
  <c r="Y19"/>
  <c r="Y18"/>
  <c r="Y17"/>
  <c r="Y16"/>
  <c r="Y15"/>
  <c r="Y14"/>
  <c r="Y13"/>
  <c r="Y12"/>
  <c r="Y11"/>
  <c r="Y10"/>
  <c r="Y9"/>
  <c r="Y8"/>
  <c r="Y7"/>
  <c r="Y6"/>
  <c r="Y5"/>
  <c r="Y4"/>
  <c r="Y20" i="37"/>
  <c r="Y19"/>
  <c r="Y18"/>
  <c r="Y17"/>
  <c r="Y16"/>
  <c r="Y15"/>
  <c r="Y14"/>
  <c r="Y13"/>
  <c r="Y12"/>
  <c r="Y11"/>
  <c r="Y10"/>
  <c r="Y9"/>
  <c r="Y8"/>
  <c r="Y7"/>
  <c r="Y6"/>
  <c r="Y5"/>
  <c r="Y4"/>
  <c r="Y20" i="25"/>
  <c r="Y19"/>
  <c r="Y18"/>
  <c r="Y17"/>
  <c r="Y16"/>
  <c r="Y15"/>
  <c r="Y14"/>
  <c r="Y13"/>
  <c r="Y12"/>
  <c r="Y11"/>
  <c r="Y10"/>
  <c r="Y9"/>
  <c r="Y8"/>
  <c r="Y7"/>
  <c r="Y6"/>
  <c r="Y5"/>
  <c r="Y4"/>
  <c r="Y20" i="14"/>
  <c r="Y19"/>
  <c r="Y18"/>
  <c r="Y17"/>
  <c r="Y16"/>
  <c r="Y15"/>
  <c r="Y14"/>
  <c r="Y13"/>
  <c r="Y12"/>
  <c r="Y11"/>
  <c r="Y10"/>
  <c r="Y9"/>
  <c r="Y8"/>
  <c r="Y7"/>
  <c r="Y6"/>
  <c r="Y5"/>
  <c r="Y4"/>
  <c r="Y20" i="28"/>
  <c r="Y19"/>
  <c r="Y18"/>
  <c r="Y17"/>
  <c r="Y16"/>
  <c r="Y15"/>
  <c r="Y14"/>
  <c r="Y13"/>
  <c r="Y12"/>
  <c r="Y11"/>
  <c r="Y10"/>
  <c r="Y9"/>
  <c r="Y8"/>
  <c r="Y7"/>
  <c r="Y6"/>
  <c r="Y5"/>
  <c r="Y4"/>
  <c r="Y20" i="16"/>
  <c r="Y19"/>
  <c r="Y18"/>
  <c r="Y17"/>
  <c r="Y16"/>
  <c r="Y15"/>
  <c r="Y14"/>
  <c r="Y13"/>
  <c r="Y12"/>
  <c r="Y11"/>
  <c r="Y10"/>
  <c r="Y9"/>
  <c r="Y8"/>
  <c r="Y7"/>
  <c r="Y6"/>
  <c r="Y5"/>
  <c r="Y4"/>
  <c r="Y20" i="40"/>
  <c r="Y19"/>
  <c r="Y18"/>
  <c r="Y17"/>
  <c r="Y16"/>
  <c r="Y15"/>
  <c r="Y14"/>
  <c r="Y13"/>
  <c r="Y12"/>
  <c r="Y11"/>
  <c r="Y10"/>
  <c r="Y9"/>
  <c r="Y8"/>
  <c r="Y7"/>
  <c r="Y6"/>
  <c r="Y5"/>
  <c r="Y4"/>
  <c r="Y20" i="30"/>
  <c r="Y19"/>
  <c r="Y18"/>
  <c r="Y17"/>
  <c r="Y16"/>
  <c r="Y15"/>
  <c r="Y14"/>
  <c r="Y13"/>
  <c r="Y12"/>
  <c r="Y11"/>
  <c r="Y10"/>
  <c r="Y9"/>
  <c r="Y8"/>
  <c r="Y7"/>
  <c r="Y6"/>
  <c r="Y5"/>
  <c r="Y4"/>
  <c r="Y4" i="21"/>
  <c r="Y5"/>
  <c r="Y6"/>
  <c r="Y7"/>
  <c r="Y8"/>
  <c r="Y9"/>
  <c r="Y10"/>
  <c r="Y11"/>
  <c r="Y12"/>
  <c r="Y13"/>
  <c r="Y14"/>
  <c r="Y15"/>
  <c r="Y16"/>
  <c r="Y17"/>
  <c r="Y18"/>
  <c r="Y19"/>
  <c r="Y20"/>
  <c r="E26" i="30" l="1"/>
  <c r="E25"/>
  <c r="E24"/>
  <c r="G26"/>
  <c r="G25"/>
  <c r="G24"/>
  <c r="I26"/>
  <c r="I25"/>
  <c r="I24"/>
  <c r="K26"/>
  <c r="K25"/>
  <c r="K24"/>
  <c r="M26"/>
  <c r="M25"/>
  <c r="M24"/>
  <c r="O26"/>
  <c r="O25"/>
  <c r="O24"/>
  <c r="Q26"/>
  <c r="Q25"/>
  <c r="Q24"/>
  <c r="S26"/>
  <c r="S25"/>
  <c r="S24"/>
  <c r="U26"/>
  <c r="U25"/>
  <c r="U24"/>
  <c r="W26"/>
  <c r="W25"/>
  <c r="W24"/>
  <c r="E20" i="40"/>
  <c r="E26"/>
  <c r="E25"/>
  <c r="E24"/>
  <c r="G20"/>
  <c r="G26"/>
  <c r="G25"/>
  <c r="G24"/>
  <c r="I20"/>
  <c r="I24"/>
  <c r="I25"/>
  <c r="I26"/>
  <c r="K20"/>
  <c r="K24"/>
  <c r="K25"/>
  <c r="K26"/>
  <c r="M20"/>
  <c r="M24"/>
  <c r="M25"/>
  <c r="M26"/>
  <c r="O20"/>
  <c r="O24"/>
  <c r="O25"/>
  <c r="O26"/>
  <c r="Q20"/>
  <c r="Q24"/>
  <c r="Q25"/>
  <c r="Q26"/>
  <c r="S20"/>
  <c r="S24"/>
  <c r="S25"/>
  <c r="S26"/>
  <c r="U20"/>
  <c r="U24"/>
  <c r="U25"/>
  <c r="U26"/>
  <c r="W20"/>
  <c r="W24"/>
  <c r="W25"/>
  <c r="W26"/>
  <c r="E20" i="16"/>
  <c r="E26"/>
  <c r="E25"/>
  <c r="E24"/>
  <c r="G20"/>
  <c r="G26"/>
  <c r="G25"/>
  <c r="G24"/>
  <c r="I20"/>
  <c r="I26"/>
  <c r="I25"/>
  <c r="I24"/>
  <c r="K20"/>
  <c r="K26"/>
  <c r="K25"/>
  <c r="K24"/>
  <c r="M20"/>
  <c r="M26"/>
  <c r="M25"/>
  <c r="M24"/>
  <c r="O20"/>
  <c r="O26"/>
  <c r="O25"/>
  <c r="O24"/>
  <c r="Q20"/>
  <c r="Q26"/>
  <c r="Q25"/>
  <c r="Q24"/>
  <c r="S20"/>
  <c r="S26"/>
  <c r="S25"/>
  <c r="S24"/>
  <c r="U20"/>
  <c r="U26"/>
  <c r="U25"/>
  <c r="U24"/>
  <c r="W20"/>
  <c r="W26"/>
  <c r="W25"/>
  <c r="W24"/>
  <c r="E5" i="28"/>
  <c r="E26"/>
  <c r="E25"/>
  <c r="E24"/>
  <c r="G4"/>
  <c r="G26"/>
  <c r="G25"/>
  <c r="G24"/>
  <c r="I5"/>
  <c r="I26"/>
  <c r="I25"/>
  <c r="I24"/>
  <c r="K4"/>
  <c r="K26"/>
  <c r="K25"/>
  <c r="K24"/>
  <c r="M4"/>
  <c r="M26"/>
  <c r="M25"/>
  <c r="M24"/>
  <c r="O4"/>
  <c r="O26"/>
  <c r="O25"/>
  <c r="O24"/>
  <c r="Q4"/>
  <c r="Q26"/>
  <c r="Q25"/>
  <c r="Q24"/>
  <c r="S4"/>
  <c r="S26"/>
  <c r="S25"/>
  <c r="S24"/>
  <c r="U4"/>
  <c r="U26"/>
  <c r="U25"/>
  <c r="U24"/>
  <c r="W4"/>
  <c r="W26"/>
  <c r="W25"/>
  <c r="W24"/>
  <c r="E20" i="14"/>
  <c r="E26"/>
  <c r="E25"/>
  <c r="E24"/>
  <c r="G20"/>
  <c r="G26"/>
  <c r="G25"/>
  <c r="G24"/>
  <c r="I20"/>
  <c r="I26"/>
  <c r="I25"/>
  <c r="I24"/>
  <c r="K20"/>
  <c r="K26"/>
  <c r="K25"/>
  <c r="K24"/>
  <c r="M20"/>
  <c r="M26"/>
  <c r="M25"/>
  <c r="M24"/>
  <c r="O20"/>
  <c r="O26"/>
  <c r="O25"/>
  <c r="O24"/>
  <c r="Q20"/>
  <c r="Q26"/>
  <c r="Q25"/>
  <c r="Q24"/>
  <c r="S20"/>
  <c r="S26"/>
  <c r="S25"/>
  <c r="S24"/>
  <c r="U20"/>
  <c r="U26"/>
  <c r="U25"/>
  <c r="U24"/>
  <c r="W20"/>
  <c r="W26"/>
  <c r="W25"/>
  <c r="W24"/>
  <c r="E20" i="25"/>
  <c r="E26"/>
  <c r="E25"/>
  <c r="E24"/>
  <c r="G20"/>
  <c r="G26"/>
  <c r="G25"/>
  <c r="G24"/>
  <c r="I20"/>
  <c r="I26"/>
  <c r="I25"/>
  <c r="I24"/>
  <c r="K20"/>
  <c r="K26"/>
  <c r="K25"/>
  <c r="K24"/>
  <c r="M20"/>
  <c r="M26"/>
  <c r="M25"/>
  <c r="M24"/>
  <c r="O20"/>
  <c r="O26"/>
  <c r="O25"/>
  <c r="O24"/>
  <c r="Q20"/>
  <c r="Q26"/>
  <c r="Q25"/>
  <c r="Q24"/>
  <c r="S20"/>
  <c r="S26"/>
  <c r="S25"/>
  <c r="S24"/>
  <c r="U20"/>
  <c r="U26"/>
  <c r="U25"/>
  <c r="U21" s="1"/>
  <c r="U24"/>
  <c r="W20"/>
  <c r="W26"/>
  <c r="W25"/>
  <c r="W24"/>
  <c r="E4" i="37"/>
  <c r="E26"/>
  <c r="E25"/>
  <c r="E24"/>
  <c r="G5"/>
  <c r="G26"/>
  <c r="G25"/>
  <c r="G24"/>
  <c r="I4"/>
  <c r="I26"/>
  <c r="I25"/>
  <c r="I24"/>
  <c r="K5"/>
  <c r="K26"/>
  <c r="K25"/>
  <c r="K24"/>
  <c r="M4"/>
  <c r="M26"/>
  <c r="M25"/>
  <c r="M24"/>
  <c r="O5"/>
  <c r="O26"/>
  <c r="O25"/>
  <c r="O24"/>
  <c r="Q4"/>
  <c r="Q26"/>
  <c r="Q25"/>
  <c r="Q24"/>
  <c r="S5"/>
  <c r="S26"/>
  <c r="S25"/>
  <c r="S24"/>
  <c r="S21" s="1"/>
  <c r="U4"/>
  <c r="U26"/>
  <c r="U25"/>
  <c r="U24"/>
  <c r="W4"/>
  <c r="W26"/>
  <c r="W25"/>
  <c r="W24"/>
  <c r="E4" i="35"/>
  <c r="E26"/>
  <c r="E25"/>
  <c r="E24"/>
  <c r="G4"/>
  <c r="G26"/>
  <c r="G25"/>
  <c r="G24"/>
  <c r="I4"/>
  <c r="I26"/>
  <c r="I25"/>
  <c r="I24"/>
  <c r="K4"/>
  <c r="K26"/>
  <c r="K25"/>
  <c r="K24"/>
  <c r="M26"/>
  <c r="M25"/>
  <c r="M24"/>
  <c r="O26"/>
  <c r="O25"/>
  <c r="O24"/>
  <c r="Q26"/>
  <c r="Q25"/>
  <c r="Q24"/>
  <c r="S26"/>
  <c r="S25"/>
  <c r="S24"/>
  <c r="U26"/>
  <c r="U25"/>
  <c r="U24"/>
  <c r="W26"/>
  <c r="W25"/>
  <c r="W24"/>
  <c r="E20" i="12"/>
  <c r="E26"/>
  <c r="E25"/>
  <c r="E24"/>
  <c r="G20"/>
  <c r="G26"/>
  <c r="G25"/>
  <c r="G24"/>
  <c r="I20"/>
  <c r="I26"/>
  <c r="I25"/>
  <c r="I24"/>
  <c r="K20"/>
  <c r="K26"/>
  <c r="K25"/>
  <c r="K24"/>
  <c r="M20"/>
  <c r="M26"/>
  <c r="M25"/>
  <c r="M24"/>
  <c r="O20"/>
  <c r="O26"/>
  <c r="O25"/>
  <c r="O24"/>
  <c r="Q20"/>
  <c r="Q26"/>
  <c r="Q25"/>
  <c r="Q24"/>
  <c r="S20"/>
  <c r="S26"/>
  <c r="S25"/>
  <c r="S24"/>
  <c r="U20"/>
  <c r="U26"/>
  <c r="U25"/>
  <c r="U24"/>
  <c r="W20"/>
  <c r="W26"/>
  <c r="W25"/>
  <c r="W24"/>
  <c r="D8" i="30"/>
  <c r="D26"/>
  <c r="D25"/>
  <c r="D24"/>
  <c r="F7"/>
  <c r="F26"/>
  <c r="F25"/>
  <c r="F24"/>
  <c r="H8"/>
  <c r="H26"/>
  <c r="H25"/>
  <c r="H24"/>
  <c r="J7"/>
  <c r="J26"/>
  <c r="J25"/>
  <c r="J24"/>
  <c r="L8"/>
  <c r="L26"/>
  <c r="L25"/>
  <c r="L24"/>
  <c r="N7"/>
  <c r="N26"/>
  <c r="N25"/>
  <c r="N24"/>
  <c r="P7"/>
  <c r="P26"/>
  <c r="P25"/>
  <c r="P24"/>
  <c r="R7"/>
  <c r="R26"/>
  <c r="R25"/>
  <c r="R24"/>
  <c r="T7"/>
  <c r="T26"/>
  <c r="T25"/>
  <c r="T24"/>
  <c r="V7"/>
  <c r="V26"/>
  <c r="V25"/>
  <c r="V24"/>
  <c r="X7"/>
  <c r="X26"/>
  <c r="X25"/>
  <c r="X24"/>
  <c r="D20" i="40"/>
  <c r="D26"/>
  <c r="D25"/>
  <c r="D24"/>
  <c r="F20"/>
  <c r="F26"/>
  <c r="F25"/>
  <c r="F24"/>
  <c r="H20"/>
  <c r="H24"/>
  <c r="H25"/>
  <c r="H26"/>
  <c r="J20"/>
  <c r="J24"/>
  <c r="J25"/>
  <c r="J26"/>
  <c r="L20"/>
  <c r="L24"/>
  <c r="L25"/>
  <c r="L26"/>
  <c r="N20"/>
  <c r="N24"/>
  <c r="N25"/>
  <c r="N26"/>
  <c r="P20"/>
  <c r="P24"/>
  <c r="P25"/>
  <c r="P26"/>
  <c r="R20"/>
  <c r="R24"/>
  <c r="R25"/>
  <c r="R26"/>
  <c r="T20"/>
  <c r="T24"/>
  <c r="T25"/>
  <c r="T26"/>
  <c r="V20"/>
  <c r="V24"/>
  <c r="V25"/>
  <c r="V26"/>
  <c r="X20"/>
  <c r="X24"/>
  <c r="X25"/>
  <c r="X26"/>
  <c r="D20" i="16"/>
  <c r="D26"/>
  <c r="D25"/>
  <c r="D24"/>
  <c r="F20"/>
  <c r="F26"/>
  <c r="F25"/>
  <c r="F24"/>
  <c r="H20"/>
  <c r="H26"/>
  <c r="H25"/>
  <c r="H24"/>
  <c r="J20"/>
  <c r="J26"/>
  <c r="J25"/>
  <c r="J24"/>
  <c r="L20"/>
  <c r="L26"/>
  <c r="L25"/>
  <c r="L21" s="1"/>
  <c r="L24"/>
  <c r="N20"/>
  <c r="N26"/>
  <c r="N21" s="1"/>
  <c r="N25"/>
  <c r="N24"/>
  <c r="P20"/>
  <c r="P26"/>
  <c r="P25"/>
  <c r="P24"/>
  <c r="R20"/>
  <c r="R26"/>
  <c r="R25"/>
  <c r="R24"/>
  <c r="T20"/>
  <c r="T26"/>
  <c r="T25"/>
  <c r="T24"/>
  <c r="V20"/>
  <c r="V26"/>
  <c r="V25"/>
  <c r="V24"/>
  <c r="X20"/>
  <c r="X26"/>
  <c r="X25"/>
  <c r="X24"/>
  <c r="D8" i="28"/>
  <c r="D26"/>
  <c r="D25"/>
  <c r="D24"/>
  <c r="F8"/>
  <c r="F26"/>
  <c r="F25"/>
  <c r="F24"/>
  <c r="H8"/>
  <c r="H26"/>
  <c r="H25"/>
  <c r="H24"/>
  <c r="J8"/>
  <c r="J26"/>
  <c r="J25"/>
  <c r="J24"/>
  <c r="L7"/>
  <c r="L26"/>
  <c r="L25"/>
  <c r="L24"/>
  <c r="N7"/>
  <c r="N26"/>
  <c r="N25"/>
  <c r="N24"/>
  <c r="P7"/>
  <c r="P26"/>
  <c r="P25"/>
  <c r="P24"/>
  <c r="R7"/>
  <c r="R26"/>
  <c r="R25"/>
  <c r="R24"/>
  <c r="T7"/>
  <c r="T26"/>
  <c r="T25"/>
  <c r="T24"/>
  <c r="V7"/>
  <c r="V26"/>
  <c r="V25"/>
  <c r="V24"/>
  <c r="X7"/>
  <c r="X26"/>
  <c r="X25"/>
  <c r="X24"/>
  <c r="D20" i="14"/>
  <c r="D26"/>
  <c r="D25"/>
  <c r="D24"/>
  <c r="F20"/>
  <c r="F26"/>
  <c r="F25"/>
  <c r="F24"/>
  <c r="H20"/>
  <c r="H26"/>
  <c r="H25"/>
  <c r="H24"/>
  <c r="J20"/>
  <c r="J26"/>
  <c r="J25"/>
  <c r="J24"/>
  <c r="L20"/>
  <c r="L26"/>
  <c r="L25"/>
  <c r="L24"/>
  <c r="N20"/>
  <c r="N26"/>
  <c r="N21" s="1"/>
  <c r="N25"/>
  <c r="N24"/>
  <c r="P20"/>
  <c r="P26"/>
  <c r="P25"/>
  <c r="P24"/>
  <c r="P21" s="1"/>
  <c r="R20"/>
  <c r="R26"/>
  <c r="R25"/>
  <c r="R24"/>
  <c r="T20"/>
  <c r="T26"/>
  <c r="T25"/>
  <c r="T24"/>
  <c r="V20"/>
  <c r="V26"/>
  <c r="V25"/>
  <c r="V24"/>
  <c r="X20"/>
  <c r="X26"/>
  <c r="X25"/>
  <c r="X24"/>
  <c r="D20" i="25"/>
  <c r="D26"/>
  <c r="D25"/>
  <c r="D24"/>
  <c r="F20"/>
  <c r="F26"/>
  <c r="F25"/>
  <c r="F24"/>
  <c r="H20"/>
  <c r="H26"/>
  <c r="H25"/>
  <c r="H24"/>
  <c r="J20"/>
  <c r="J26"/>
  <c r="J25"/>
  <c r="J24"/>
  <c r="L20"/>
  <c r="L26"/>
  <c r="L25"/>
  <c r="L24"/>
  <c r="N20"/>
  <c r="N26"/>
  <c r="N21" s="1"/>
  <c r="N25"/>
  <c r="N24"/>
  <c r="P20"/>
  <c r="P26"/>
  <c r="P25"/>
  <c r="P24"/>
  <c r="R20"/>
  <c r="R26"/>
  <c r="R25"/>
  <c r="R24"/>
  <c r="R21" s="1"/>
  <c r="T20"/>
  <c r="T26"/>
  <c r="T25"/>
  <c r="T24"/>
  <c r="V20"/>
  <c r="V26"/>
  <c r="V25"/>
  <c r="V24"/>
  <c r="X20"/>
  <c r="X26"/>
  <c r="X25"/>
  <c r="X24"/>
  <c r="D6" i="37"/>
  <c r="D26"/>
  <c r="D25"/>
  <c r="D24"/>
  <c r="F6"/>
  <c r="F26"/>
  <c r="F25"/>
  <c r="F24"/>
  <c r="H6"/>
  <c r="H26"/>
  <c r="H25"/>
  <c r="H24"/>
  <c r="J6"/>
  <c r="J26"/>
  <c r="J25"/>
  <c r="J24"/>
  <c r="L6"/>
  <c r="L26"/>
  <c r="L25"/>
  <c r="L24"/>
  <c r="N6"/>
  <c r="N26"/>
  <c r="N21" s="1"/>
  <c r="N25"/>
  <c r="N24"/>
  <c r="P6"/>
  <c r="P26"/>
  <c r="P25"/>
  <c r="P24"/>
  <c r="R5"/>
  <c r="R26"/>
  <c r="R25"/>
  <c r="R24"/>
  <c r="T5"/>
  <c r="T26"/>
  <c r="T25"/>
  <c r="T21" s="1"/>
  <c r="T24"/>
  <c r="V5"/>
  <c r="V26"/>
  <c r="V25"/>
  <c r="V24"/>
  <c r="X5"/>
  <c r="X26"/>
  <c r="X25"/>
  <c r="X24"/>
  <c r="D14" i="35"/>
  <c r="D26"/>
  <c r="D25"/>
  <c r="D24"/>
  <c r="F14"/>
  <c r="F26"/>
  <c r="F25"/>
  <c r="F24"/>
  <c r="H13"/>
  <c r="H26"/>
  <c r="H25"/>
  <c r="H24"/>
  <c r="J14"/>
  <c r="J26"/>
  <c r="J25"/>
  <c r="J24"/>
  <c r="L13"/>
  <c r="L26"/>
  <c r="L25"/>
  <c r="L24"/>
  <c r="N13"/>
  <c r="N26"/>
  <c r="N25"/>
  <c r="N24"/>
  <c r="P13"/>
  <c r="P26"/>
  <c r="P25"/>
  <c r="P24"/>
  <c r="R13"/>
  <c r="R26"/>
  <c r="R25"/>
  <c r="R21" s="1"/>
  <c r="R24"/>
  <c r="T13"/>
  <c r="T26"/>
  <c r="T25"/>
  <c r="T24"/>
  <c r="T21" s="1"/>
  <c r="V13"/>
  <c r="V26"/>
  <c r="V25"/>
  <c r="V24"/>
  <c r="X13"/>
  <c r="X26"/>
  <c r="X25"/>
  <c r="X24"/>
  <c r="D20" i="12"/>
  <c r="D26"/>
  <c r="D25"/>
  <c r="D24"/>
  <c r="F20"/>
  <c r="F26"/>
  <c r="F25"/>
  <c r="F24"/>
  <c r="H20"/>
  <c r="H26"/>
  <c r="H25"/>
  <c r="H24"/>
  <c r="J20"/>
  <c r="J26"/>
  <c r="J25"/>
  <c r="J24"/>
  <c r="L20"/>
  <c r="L26"/>
  <c r="L21" s="1"/>
  <c r="L25"/>
  <c r="L24"/>
  <c r="N20"/>
  <c r="N26"/>
  <c r="N25"/>
  <c r="N24"/>
  <c r="N21" s="1"/>
  <c r="P20"/>
  <c r="P26"/>
  <c r="P25"/>
  <c r="P24"/>
  <c r="R20"/>
  <c r="R26"/>
  <c r="R25"/>
  <c r="R24"/>
  <c r="T20"/>
  <c r="T26"/>
  <c r="T25"/>
  <c r="T24"/>
  <c r="V20"/>
  <c r="V26"/>
  <c r="V25"/>
  <c r="V24"/>
  <c r="X20"/>
  <c r="X26"/>
  <c r="X25"/>
  <c r="X21" s="1"/>
  <c r="X24"/>
  <c r="S4" i="14"/>
  <c r="G4"/>
  <c r="O4"/>
  <c r="W4"/>
  <c r="E5"/>
  <c r="G4" i="37"/>
  <c r="O4"/>
  <c r="E5"/>
  <c r="M5"/>
  <c r="K4" i="14"/>
  <c r="K4" i="37"/>
  <c r="S4"/>
  <c r="I5"/>
  <c r="Q5"/>
  <c r="F4" i="30"/>
  <c r="J4"/>
  <c r="N4"/>
  <c r="R4"/>
  <c r="V4"/>
  <c r="F5"/>
  <c r="J5"/>
  <c r="N5"/>
  <c r="E4" i="40"/>
  <c r="I4"/>
  <c r="M4"/>
  <c r="Q4"/>
  <c r="U4"/>
  <c r="D4" i="16"/>
  <c r="H4"/>
  <c r="E4" i="28"/>
  <c r="I4"/>
  <c r="G5"/>
  <c r="F4" i="25"/>
  <c r="J4"/>
  <c r="G4" i="12"/>
  <c r="K4"/>
  <c r="O4"/>
  <c r="S4"/>
  <c r="W4"/>
  <c r="D4" i="30"/>
  <c r="H4"/>
  <c r="L4"/>
  <c r="P4"/>
  <c r="T4"/>
  <c r="X4"/>
  <c r="D5"/>
  <c r="H5"/>
  <c r="L5"/>
  <c r="G4" i="40"/>
  <c r="K4"/>
  <c r="O4"/>
  <c r="S4"/>
  <c r="W4"/>
  <c r="F4" i="16"/>
  <c r="J4"/>
  <c r="E4" i="14"/>
  <c r="I4"/>
  <c r="M4"/>
  <c r="Q4"/>
  <c r="U4"/>
  <c r="G5"/>
  <c r="D4" i="25"/>
  <c r="H4"/>
  <c r="E4" i="12"/>
  <c r="I4"/>
  <c r="M4"/>
  <c r="Q4"/>
  <c r="U4"/>
  <c r="G20" i="30"/>
  <c r="G19"/>
  <c r="G18"/>
  <c r="G17"/>
  <c r="G16"/>
  <c r="G15"/>
  <c r="G14"/>
  <c r="G13"/>
  <c r="G12"/>
  <c r="G11"/>
  <c r="G10"/>
  <c r="G9"/>
  <c r="G8"/>
  <c r="K20"/>
  <c r="K19"/>
  <c r="K18"/>
  <c r="K17"/>
  <c r="K16"/>
  <c r="K15"/>
  <c r="K14"/>
  <c r="K13"/>
  <c r="K12"/>
  <c r="K11"/>
  <c r="K10"/>
  <c r="K9"/>
  <c r="K8"/>
  <c r="O20"/>
  <c r="O19"/>
  <c r="O18"/>
  <c r="O17"/>
  <c r="O16"/>
  <c r="O15"/>
  <c r="O14"/>
  <c r="O13"/>
  <c r="O12"/>
  <c r="O11"/>
  <c r="O10"/>
  <c r="O9"/>
  <c r="O8"/>
  <c r="S20"/>
  <c r="S19"/>
  <c r="S18"/>
  <c r="S17"/>
  <c r="S16"/>
  <c r="S15"/>
  <c r="S14"/>
  <c r="S13"/>
  <c r="S12"/>
  <c r="S11"/>
  <c r="S10"/>
  <c r="S9"/>
  <c r="S8"/>
  <c r="W20"/>
  <c r="W19"/>
  <c r="W18"/>
  <c r="W17"/>
  <c r="W16"/>
  <c r="W15"/>
  <c r="W14"/>
  <c r="W13"/>
  <c r="W12"/>
  <c r="W11"/>
  <c r="W10"/>
  <c r="W9"/>
  <c r="W8"/>
  <c r="P5"/>
  <c r="R5"/>
  <c r="T5"/>
  <c r="V5"/>
  <c r="X5"/>
  <c r="D6"/>
  <c r="F6"/>
  <c r="H6"/>
  <c r="J6"/>
  <c r="L6"/>
  <c r="N6"/>
  <c r="P6"/>
  <c r="R6"/>
  <c r="T6"/>
  <c r="V6"/>
  <c r="X6"/>
  <c r="D7"/>
  <c r="H7"/>
  <c r="L7"/>
  <c r="E20"/>
  <c r="E19"/>
  <c r="E18"/>
  <c r="E17"/>
  <c r="E16"/>
  <c r="E15"/>
  <c r="E14"/>
  <c r="E13"/>
  <c r="E12"/>
  <c r="E11"/>
  <c r="E10"/>
  <c r="E9"/>
  <c r="E8"/>
  <c r="I20"/>
  <c r="I19"/>
  <c r="I18"/>
  <c r="I17"/>
  <c r="I16"/>
  <c r="I15"/>
  <c r="I14"/>
  <c r="I13"/>
  <c r="I12"/>
  <c r="I11"/>
  <c r="I10"/>
  <c r="I9"/>
  <c r="I8"/>
  <c r="M20"/>
  <c r="M19"/>
  <c r="M18"/>
  <c r="M17"/>
  <c r="M16"/>
  <c r="M15"/>
  <c r="M14"/>
  <c r="M13"/>
  <c r="M12"/>
  <c r="M11"/>
  <c r="M10"/>
  <c r="M9"/>
  <c r="M8"/>
  <c r="Q20"/>
  <c r="Q19"/>
  <c r="Q18"/>
  <c r="Q17"/>
  <c r="Q16"/>
  <c r="Q15"/>
  <c r="Q14"/>
  <c r="Q13"/>
  <c r="Q12"/>
  <c r="Q11"/>
  <c r="Q10"/>
  <c r="Q9"/>
  <c r="Q8"/>
  <c r="U20"/>
  <c r="U19"/>
  <c r="U18"/>
  <c r="U17"/>
  <c r="U16"/>
  <c r="U15"/>
  <c r="U14"/>
  <c r="U13"/>
  <c r="U12"/>
  <c r="U11"/>
  <c r="U10"/>
  <c r="U9"/>
  <c r="U8"/>
  <c r="D20"/>
  <c r="D19"/>
  <c r="D18"/>
  <c r="D17"/>
  <c r="D16"/>
  <c r="D15"/>
  <c r="D14"/>
  <c r="D13"/>
  <c r="D12"/>
  <c r="D11"/>
  <c r="D10"/>
  <c r="D9"/>
  <c r="F20"/>
  <c r="F19"/>
  <c r="F18"/>
  <c r="F17"/>
  <c r="F16"/>
  <c r="F15"/>
  <c r="F14"/>
  <c r="F13"/>
  <c r="F12"/>
  <c r="F11"/>
  <c r="F10"/>
  <c r="F9"/>
  <c r="H20"/>
  <c r="H19"/>
  <c r="H18"/>
  <c r="H17"/>
  <c r="H16"/>
  <c r="H15"/>
  <c r="H14"/>
  <c r="H13"/>
  <c r="H12"/>
  <c r="H11"/>
  <c r="H10"/>
  <c r="H9"/>
  <c r="J20"/>
  <c r="J19"/>
  <c r="J18"/>
  <c r="J17"/>
  <c r="J16"/>
  <c r="J15"/>
  <c r="J14"/>
  <c r="J13"/>
  <c r="J12"/>
  <c r="J11"/>
  <c r="J10"/>
  <c r="J9"/>
  <c r="L20"/>
  <c r="L19"/>
  <c r="L18"/>
  <c r="L17"/>
  <c r="L16"/>
  <c r="L15"/>
  <c r="L14"/>
  <c r="L13"/>
  <c r="L12"/>
  <c r="L11"/>
  <c r="L10"/>
  <c r="L9"/>
  <c r="N20"/>
  <c r="N19"/>
  <c r="N18"/>
  <c r="N17"/>
  <c r="N16"/>
  <c r="N15"/>
  <c r="N14"/>
  <c r="N13"/>
  <c r="N12"/>
  <c r="N11"/>
  <c r="N10"/>
  <c r="N9"/>
  <c r="N8"/>
  <c r="P20"/>
  <c r="P19"/>
  <c r="P18"/>
  <c r="P17"/>
  <c r="P16"/>
  <c r="P15"/>
  <c r="P14"/>
  <c r="P13"/>
  <c r="P12"/>
  <c r="P11"/>
  <c r="P10"/>
  <c r="P9"/>
  <c r="P8"/>
  <c r="R20"/>
  <c r="R19"/>
  <c r="R18"/>
  <c r="R17"/>
  <c r="R16"/>
  <c r="R15"/>
  <c r="R14"/>
  <c r="R13"/>
  <c r="R12"/>
  <c r="R11"/>
  <c r="R10"/>
  <c r="R9"/>
  <c r="R8"/>
  <c r="T20"/>
  <c r="T19"/>
  <c r="T18"/>
  <c r="T17"/>
  <c r="T16"/>
  <c r="T15"/>
  <c r="T14"/>
  <c r="T13"/>
  <c r="T12"/>
  <c r="T11"/>
  <c r="T10"/>
  <c r="T9"/>
  <c r="T8"/>
  <c r="V20"/>
  <c r="V19"/>
  <c r="V18"/>
  <c r="V17"/>
  <c r="V16"/>
  <c r="V15"/>
  <c r="V14"/>
  <c r="V13"/>
  <c r="V12"/>
  <c r="V11"/>
  <c r="V10"/>
  <c r="V9"/>
  <c r="V8"/>
  <c r="X20"/>
  <c r="X19"/>
  <c r="X18"/>
  <c r="X17"/>
  <c r="X16"/>
  <c r="X15"/>
  <c r="X14"/>
  <c r="X13"/>
  <c r="X12"/>
  <c r="X11"/>
  <c r="X10"/>
  <c r="X9"/>
  <c r="X8"/>
  <c r="E4"/>
  <c r="G4"/>
  <c r="I4"/>
  <c r="K4"/>
  <c r="M4"/>
  <c r="O4"/>
  <c r="Q4"/>
  <c r="S4"/>
  <c r="U4"/>
  <c r="W4"/>
  <c r="E5"/>
  <c r="G5"/>
  <c r="I5"/>
  <c r="K5"/>
  <c r="M5"/>
  <c r="O5"/>
  <c r="Q5"/>
  <c r="S5"/>
  <c r="U5"/>
  <c r="W5"/>
  <c r="E6"/>
  <c r="G6"/>
  <c r="I6"/>
  <c r="K6"/>
  <c r="M6"/>
  <c r="O6"/>
  <c r="Q6"/>
  <c r="S6"/>
  <c r="U6"/>
  <c r="W6"/>
  <c r="E7"/>
  <c r="G7"/>
  <c r="I7"/>
  <c r="K7"/>
  <c r="M7"/>
  <c r="O7"/>
  <c r="Q7"/>
  <c r="S7"/>
  <c r="U7"/>
  <c r="W7"/>
  <c r="F8"/>
  <c r="J8"/>
  <c r="E20" i="28"/>
  <c r="E19"/>
  <c r="E18"/>
  <c r="E17"/>
  <c r="E16"/>
  <c r="E15"/>
  <c r="E14"/>
  <c r="E13"/>
  <c r="E12"/>
  <c r="E11"/>
  <c r="E10"/>
  <c r="E9"/>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M8"/>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D4" i="40"/>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E4" i="16"/>
  <c r="G4"/>
  <c r="I4"/>
  <c r="K4"/>
  <c r="M4"/>
  <c r="O4"/>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i="28"/>
  <c r="F4"/>
  <c r="H4"/>
  <c r="J4"/>
  <c r="L4"/>
  <c r="N4"/>
  <c r="P4"/>
  <c r="R4"/>
  <c r="T4"/>
  <c r="V4"/>
  <c r="X4"/>
  <c r="D5"/>
  <c r="F5"/>
  <c r="H5"/>
  <c r="J5"/>
  <c r="L5"/>
  <c r="N5"/>
  <c r="P5"/>
  <c r="R5"/>
  <c r="T5"/>
  <c r="V5"/>
  <c r="X5"/>
  <c r="D6"/>
  <c r="F6"/>
  <c r="H6"/>
  <c r="J6"/>
  <c r="L6"/>
  <c r="N6"/>
  <c r="P6"/>
  <c r="R6"/>
  <c r="T6"/>
  <c r="V6"/>
  <c r="X6"/>
  <c r="D7"/>
  <c r="F7"/>
  <c r="H7"/>
  <c r="J7"/>
  <c r="D20"/>
  <c r="D19"/>
  <c r="D18"/>
  <c r="D17"/>
  <c r="D16"/>
  <c r="D15"/>
  <c r="D14"/>
  <c r="D13"/>
  <c r="D12"/>
  <c r="D11"/>
  <c r="D10"/>
  <c r="D9"/>
  <c r="F20"/>
  <c r="F19"/>
  <c r="F18"/>
  <c r="F17"/>
  <c r="F16"/>
  <c r="F15"/>
  <c r="F14"/>
  <c r="F13"/>
  <c r="F12"/>
  <c r="F11"/>
  <c r="F10"/>
  <c r="F9"/>
  <c r="H20"/>
  <c r="H19"/>
  <c r="H18"/>
  <c r="H17"/>
  <c r="H16"/>
  <c r="H15"/>
  <c r="H14"/>
  <c r="H13"/>
  <c r="H12"/>
  <c r="H11"/>
  <c r="H10"/>
  <c r="H9"/>
  <c r="J20"/>
  <c r="J19"/>
  <c r="J18"/>
  <c r="J17"/>
  <c r="J16"/>
  <c r="J15"/>
  <c r="J14"/>
  <c r="J13"/>
  <c r="J12"/>
  <c r="J11"/>
  <c r="J10"/>
  <c r="J9"/>
  <c r="L20"/>
  <c r="L19"/>
  <c r="L18"/>
  <c r="L17"/>
  <c r="L16"/>
  <c r="L15"/>
  <c r="L14"/>
  <c r="L13"/>
  <c r="L12"/>
  <c r="L11"/>
  <c r="L10"/>
  <c r="L9"/>
  <c r="L8"/>
  <c r="N20"/>
  <c r="N19"/>
  <c r="N18"/>
  <c r="N17"/>
  <c r="N16"/>
  <c r="N15"/>
  <c r="N14"/>
  <c r="N13"/>
  <c r="N12"/>
  <c r="N11"/>
  <c r="N10"/>
  <c r="N9"/>
  <c r="N8"/>
  <c r="P20"/>
  <c r="P19"/>
  <c r="P18"/>
  <c r="P17"/>
  <c r="P16"/>
  <c r="P15"/>
  <c r="P14"/>
  <c r="P13"/>
  <c r="P12"/>
  <c r="P11"/>
  <c r="P10"/>
  <c r="P9"/>
  <c r="P8"/>
  <c r="R20"/>
  <c r="R19"/>
  <c r="R18"/>
  <c r="R17"/>
  <c r="R16"/>
  <c r="R15"/>
  <c r="R14"/>
  <c r="R13"/>
  <c r="R12"/>
  <c r="R11"/>
  <c r="R10"/>
  <c r="R9"/>
  <c r="R8"/>
  <c r="T20"/>
  <c r="T19"/>
  <c r="T18"/>
  <c r="T17"/>
  <c r="T16"/>
  <c r="T15"/>
  <c r="T14"/>
  <c r="T13"/>
  <c r="T12"/>
  <c r="T11"/>
  <c r="T10"/>
  <c r="T9"/>
  <c r="T8"/>
  <c r="V20"/>
  <c r="V19"/>
  <c r="V18"/>
  <c r="V17"/>
  <c r="V16"/>
  <c r="V15"/>
  <c r="V14"/>
  <c r="V13"/>
  <c r="V12"/>
  <c r="V11"/>
  <c r="V10"/>
  <c r="V9"/>
  <c r="V8"/>
  <c r="X20"/>
  <c r="X19"/>
  <c r="X18"/>
  <c r="X17"/>
  <c r="X16"/>
  <c r="X15"/>
  <c r="X14"/>
  <c r="X13"/>
  <c r="X12"/>
  <c r="X11"/>
  <c r="X10"/>
  <c r="X9"/>
  <c r="X8"/>
  <c r="E5" i="40"/>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L4" i="16"/>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K5" i="28"/>
  <c r="M5"/>
  <c r="O5"/>
  <c r="Q5"/>
  <c r="S5"/>
  <c r="U5"/>
  <c r="W5"/>
  <c r="E6"/>
  <c r="G6"/>
  <c r="I6"/>
  <c r="K6"/>
  <c r="M6"/>
  <c r="O6"/>
  <c r="Q6"/>
  <c r="S6"/>
  <c r="U6"/>
  <c r="W6"/>
  <c r="E7"/>
  <c r="G7"/>
  <c r="I7"/>
  <c r="K7"/>
  <c r="M7"/>
  <c r="O7"/>
  <c r="Q7"/>
  <c r="S7"/>
  <c r="U7"/>
  <c r="W7"/>
  <c r="E8"/>
  <c r="G8"/>
  <c r="I8"/>
  <c r="K8"/>
  <c r="E20" i="37"/>
  <c r="E19"/>
  <c r="E18"/>
  <c r="E17"/>
  <c r="E16"/>
  <c r="E15"/>
  <c r="E14"/>
  <c r="E13"/>
  <c r="E12"/>
  <c r="E11"/>
  <c r="E10"/>
  <c r="E9"/>
  <c r="E8"/>
  <c r="E7"/>
  <c r="G20"/>
  <c r="G19"/>
  <c r="G18"/>
  <c r="G17"/>
  <c r="G16"/>
  <c r="G15"/>
  <c r="G14"/>
  <c r="G13"/>
  <c r="G12"/>
  <c r="G11"/>
  <c r="G10"/>
  <c r="G9"/>
  <c r="G8"/>
  <c r="G7"/>
  <c r="I20"/>
  <c r="I19"/>
  <c r="I18"/>
  <c r="I17"/>
  <c r="I16"/>
  <c r="I15"/>
  <c r="I14"/>
  <c r="I13"/>
  <c r="I12"/>
  <c r="I11"/>
  <c r="I10"/>
  <c r="I9"/>
  <c r="I8"/>
  <c r="I7"/>
  <c r="K20"/>
  <c r="K19"/>
  <c r="K18"/>
  <c r="K17"/>
  <c r="K16"/>
  <c r="K15"/>
  <c r="K14"/>
  <c r="K13"/>
  <c r="K12"/>
  <c r="K11"/>
  <c r="K10"/>
  <c r="K9"/>
  <c r="K8"/>
  <c r="K7"/>
  <c r="M20"/>
  <c r="M19"/>
  <c r="M18"/>
  <c r="M17"/>
  <c r="M16"/>
  <c r="M15"/>
  <c r="M14"/>
  <c r="M13"/>
  <c r="M12"/>
  <c r="M11"/>
  <c r="M10"/>
  <c r="M9"/>
  <c r="M8"/>
  <c r="M7"/>
  <c r="O20"/>
  <c r="O19"/>
  <c r="O18"/>
  <c r="O17"/>
  <c r="O16"/>
  <c r="O15"/>
  <c r="O14"/>
  <c r="O13"/>
  <c r="O12"/>
  <c r="O11"/>
  <c r="O10"/>
  <c r="O9"/>
  <c r="O8"/>
  <c r="O7"/>
  <c r="Q20"/>
  <c r="Q19"/>
  <c r="Q18"/>
  <c r="Q17"/>
  <c r="Q16"/>
  <c r="Q15"/>
  <c r="Q14"/>
  <c r="Q13"/>
  <c r="Q12"/>
  <c r="Q11"/>
  <c r="Q10"/>
  <c r="Q9"/>
  <c r="Q8"/>
  <c r="Q7"/>
  <c r="S20"/>
  <c r="S19"/>
  <c r="S18"/>
  <c r="S17"/>
  <c r="S16"/>
  <c r="S15"/>
  <c r="S14"/>
  <c r="S13"/>
  <c r="S12"/>
  <c r="S11"/>
  <c r="S10"/>
  <c r="S9"/>
  <c r="S8"/>
  <c r="S7"/>
  <c r="S6"/>
  <c r="U20"/>
  <c r="U19"/>
  <c r="U18"/>
  <c r="U17"/>
  <c r="U16"/>
  <c r="U15"/>
  <c r="U14"/>
  <c r="U13"/>
  <c r="U12"/>
  <c r="U11"/>
  <c r="U10"/>
  <c r="U9"/>
  <c r="U8"/>
  <c r="U7"/>
  <c r="U6"/>
  <c r="W20"/>
  <c r="W19"/>
  <c r="W18"/>
  <c r="W17"/>
  <c r="W16"/>
  <c r="W15"/>
  <c r="W14"/>
  <c r="W13"/>
  <c r="W12"/>
  <c r="W11"/>
  <c r="W10"/>
  <c r="W9"/>
  <c r="W8"/>
  <c r="W7"/>
  <c r="W6"/>
  <c r="D4" i="1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E4" i="25"/>
  <c r="G4"/>
  <c r="I4"/>
  <c r="K4"/>
  <c r="M4"/>
  <c r="O4"/>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i="37"/>
  <c r="F4"/>
  <c r="H4"/>
  <c r="J4"/>
  <c r="L4"/>
  <c r="N4"/>
  <c r="P4"/>
  <c r="R4"/>
  <c r="T4"/>
  <c r="V4"/>
  <c r="X4"/>
  <c r="D5"/>
  <c r="F5"/>
  <c r="H5"/>
  <c r="J5"/>
  <c r="L5"/>
  <c r="N5"/>
  <c r="P5"/>
  <c r="D20"/>
  <c r="D19"/>
  <c r="D18"/>
  <c r="D17"/>
  <c r="D16"/>
  <c r="D15"/>
  <c r="D14"/>
  <c r="D13"/>
  <c r="D12"/>
  <c r="D11"/>
  <c r="D10"/>
  <c r="D9"/>
  <c r="D8"/>
  <c r="D7"/>
  <c r="F20"/>
  <c r="F19"/>
  <c r="F18"/>
  <c r="F17"/>
  <c r="F16"/>
  <c r="F15"/>
  <c r="F14"/>
  <c r="F13"/>
  <c r="F12"/>
  <c r="F11"/>
  <c r="F10"/>
  <c r="F9"/>
  <c r="F8"/>
  <c r="F7"/>
  <c r="H20"/>
  <c r="H19"/>
  <c r="H18"/>
  <c r="H17"/>
  <c r="H16"/>
  <c r="H15"/>
  <c r="H14"/>
  <c r="H13"/>
  <c r="H12"/>
  <c r="H11"/>
  <c r="H10"/>
  <c r="H9"/>
  <c r="H8"/>
  <c r="H7"/>
  <c r="J20"/>
  <c r="J19"/>
  <c r="J18"/>
  <c r="J17"/>
  <c r="J16"/>
  <c r="J15"/>
  <c r="J14"/>
  <c r="J13"/>
  <c r="J12"/>
  <c r="J11"/>
  <c r="J10"/>
  <c r="J9"/>
  <c r="J8"/>
  <c r="J7"/>
  <c r="L20"/>
  <c r="L19"/>
  <c r="L18"/>
  <c r="L17"/>
  <c r="L16"/>
  <c r="L15"/>
  <c r="L14"/>
  <c r="L13"/>
  <c r="L12"/>
  <c r="L11"/>
  <c r="L10"/>
  <c r="L9"/>
  <c r="L8"/>
  <c r="L7"/>
  <c r="N20"/>
  <c r="N19"/>
  <c r="N18"/>
  <c r="N17"/>
  <c r="N16"/>
  <c r="N15"/>
  <c r="N14"/>
  <c r="N13"/>
  <c r="N12"/>
  <c r="N11"/>
  <c r="N10"/>
  <c r="N9"/>
  <c r="N8"/>
  <c r="N7"/>
  <c r="P20"/>
  <c r="P19"/>
  <c r="P18"/>
  <c r="P17"/>
  <c r="P16"/>
  <c r="P15"/>
  <c r="P14"/>
  <c r="P13"/>
  <c r="P12"/>
  <c r="P11"/>
  <c r="P10"/>
  <c r="P9"/>
  <c r="P8"/>
  <c r="P7"/>
  <c r="R20"/>
  <c r="R19"/>
  <c r="R18"/>
  <c r="R17"/>
  <c r="R16"/>
  <c r="R15"/>
  <c r="R14"/>
  <c r="R13"/>
  <c r="R12"/>
  <c r="R11"/>
  <c r="R10"/>
  <c r="R9"/>
  <c r="R8"/>
  <c r="R7"/>
  <c r="R6"/>
  <c r="T20"/>
  <c r="T19"/>
  <c r="T18"/>
  <c r="T17"/>
  <c r="T16"/>
  <c r="T15"/>
  <c r="T14"/>
  <c r="T13"/>
  <c r="T12"/>
  <c r="T11"/>
  <c r="T10"/>
  <c r="T9"/>
  <c r="T8"/>
  <c r="T7"/>
  <c r="T6"/>
  <c r="V20"/>
  <c r="V19"/>
  <c r="V18"/>
  <c r="V17"/>
  <c r="V16"/>
  <c r="V15"/>
  <c r="V14"/>
  <c r="V13"/>
  <c r="V12"/>
  <c r="V11"/>
  <c r="V10"/>
  <c r="V9"/>
  <c r="V8"/>
  <c r="V7"/>
  <c r="V6"/>
  <c r="X20"/>
  <c r="X19"/>
  <c r="X18"/>
  <c r="X17"/>
  <c r="X16"/>
  <c r="X15"/>
  <c r="X14"/>
  <c r="X13"/>
  <c r="X12"/>
  <c r="X11"/>
  <c r="X10"/>
  <c r="X9"/>
  <c r="X8"/>
  <c r="X7"/>
  <c r="X6"/>
  <c r="I5" i="14"/>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L4" i="25"/>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U5" i="37"/>
  <c r="W5"/>
  <c r="E6"/>
  <c r="G6"/>
  <c r="I6"/>
  <c r="K6"/>
  <c r="M6"/>
  <c r="O6"/>
  <c r="Q6"/>
  <c r="E20" i="35"/>
  <c r="E19"/>
  <c r="E18"/>
  <c r="E17"/>
  <c r="E16"/>
  <c r="E15"/>
  <c r="G20"/>
  <c r="G19"/>
  <c r="G18"/>
  <c r="G17"/>
  <c r="G16"/>
  <c r="G15"/>
  <c r="G14"/>
  <c r="I20"/>
  <c r="I19"/>
  <c r="I18"/>
  <c r="I17"/>
  <c r="I16"/>
  <c r="I15"/>
  <c r="I14"/>
  <c r="K20"/>
  <c r="K19"/>
  <c r="K18"/>
  <c r="K17"/>
  <c r="K16"/>
  <c r="K15"/>
  <c r="K14"/>
  <c r="M20"/>
  <c r="M19"/>
  <c r="M18"/>
  <c r="M17"/>
  <c r="M16"/>
  <c r="M15"/>
  <c r="M14"/>
  <c r="O20"/>
  <c r="O19"/>
  <c r="O18"/>
  <c r="O17"/>
  <c r="O16"/>
  <c r="O15"/>
  <c r="O14"/>
  <c r="Q20"/>
  <c r="Q19"/>
  <c r="Q18"/>
  <c r="Q17"/>
  <c r="Q16"/>
  <c r="Q15"/>
  <c r="Q14"/>
  <c r="S20"/>
  <c r="S19"/>
  <c r="S18"/>
  <c r="S17"/>
  <c r="S16"/>
  <c r="S15"/>
  <c r="S14"/>
  <c r="U20"/>
  <c r="U19"/>
  <c r="U18"/>
  <c r="U17"/>
  <c r="U16"/>
  <c r="U15"/>
  <c r="U14"/>
  <c r="W20"/>
  <c r="W19"/>
  <c r="W18"/>
  <c r="W17"/>
  <c r="W16"/>
  <c r="W15"/>
  <c r="W14"/>
  <c r="D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J13"/>
  <c r="D20"/>
  <c r="D19"/>
  <c r="D18"/>
  <c r="D17"/>
  <c r="D16"/>
  <c r="D15"/>
  <c r="F20"/>
  <c r="F19"/>
  <c r="F18"/>
  <c r="F17"/>
  <c r="F16"/>
  <c r="F15"/>
  <c r="H20"/>
  <c r="H19"/>
  <c r="H18"/>
  <c r="H17"/>
  <c r="H16"/>
  <c r="H15"/>
  <c r="J20"/>
  <c r="J19"/>
  <c r="J18"/>
  <c r="J17"/>
  <c r="J16"/>
  <c r="J15"/>
  <c r="L20"/>
  <c r="L19"/>
  <c r="L18"/>
  <c r="L17"/>
  <c r="L16"/>
  <c r="L15"/>
  <c r="N20"/>
  <c r="N19"/>
  <c r="N18"/>
  <c r="N17"/>
  <c r="N16"/>
  <c r="N15"/>
  <c r="N14"/>
  <c r="P20"/>
  <c r="P19"/>
  <c r="P18"/>
  <c r="P17"/>
  <c r="P16"/>
  <c r="P15"/>
  <c r="P14"/>
  <c r="R20"/>
  <c r="R19"/>
  <c r="R18"/>
  <c r="R17"/>
  <c r="R16"/>
  <c r="R15"/>
  <c r="R14"/>
  <c r="T20"/>
  <c r="T19"/>
  <c r="T18"/>
  <c r="T17"/>
  <c r="T16"/>
  <c r="T15"/>
  <c r="T14"/>
  <c r="V20"/>
  <c r="V19"/>
  <c r="V18"/>
  <c r="V17"/>
  <c r="V16"/>
  <c r="V15"/>
  <c r="V14"/>
  <c r="X20"/>
  <c r="X19"/>
  <c r="X18"/>
  <c r="X17"/>
  <c r="X16"/>
  <c r="X15"/>
  <c r="X14"/>
  <c r="M4"/>
  <c r="O4"/>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H14"/>
  <c r="L14"/>
  <c r="E5" i="12"/>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D36" i="2"/>
  <c r="V21" i="28" l="1"/>
  <c r="N21" i="40"/>
  <c r="AD36" i="2"/>
  <c r="D49"/>
  <c r="E22" i="35"/>
  <c r="E22" i="25"/>
  <c r="E22" i="28"/>
  <c r="E22" i="40"/>
  <c r="E24" i="21" l="1"/>
  <c r="E26"/>
  <c r="E25"/>
  <c r="E4"/>
  <c r="E6"/>
  <c r="E8"/>
  <c r="E10"/>
  <c r="E12"/>
  <c r="E14"/>
  <c r="E16"/>
  <c r="E18"/>
  <c r="E20"/>
  <c r="E5"/>
  <c r="E7"/>
  <c r="E9"/>
  <c r="E11"/>
  <c r="E13"/>
  <c r="E15"/>
  <c r="E17"/>
  <c r="E19"/>
  <c r="E22" i="30"/>
  <c r="E22" i="16"/>
  <c r="E22" i="14"/>
  <c r="E22" i="37"/>
  <c r="E22" i="12"/>
  <c r="D21" i="2"/>
  <c r="AD21" s="1"/>
  <c r="D3" i="17"/>
  <c r="D4"/>
  <c r="D22" s="1"/>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AA4"/>
  <c r="D5"/>
  <c r="Z5" s="1"/>
  <c r="E5"/>
  <c r="F5"/>
  <c r="G5"/>
  <c r="H5"/>
  <c r="I5"/>
  <c r="J5"/>
  <c r="K5"/>
  <c r="L5"/>
  <c r="M5"/>
  <c r="N5"/>
  <c r="O5"/>
  <c r="P5"/>
  <c r="Q5"/>
  <c r="R5"/>
  <c r="S5"/>
  <c r="T5"/>
  <c r="U5"/>
  <c r="V5"/>
  <c r="W5"/>
  <c r="X5"/>
  <c r="Y5"/>
  <c r="AA5"/>
  <c r="D6"/>
  <c r="Z6" s="1"/>
  <c r="E6"/>
  <c r="F6"/>
  <c r="G6"/>
  <c r="H6"/>
  <c r="I6"/>
  <c r="J6"/>
  <c r="K6"/>
  <c r="L6"/>
  <c r="M6"/>
  <c r="N6"/>
  <c r="O6"/>
  <c r="P6"/>
  <c r="Q6"/>
  <c r="R6"/>
  <c r="S6"/>
  <c r="T6"/>
  <c r="U6"/>
  <c r="V6"/>
  <c r="W6"/>
  <c r="X6"/>
  <c r="Y6"/>
  <c r="AA6"/>
  <c r="D7"/>
  <c r="Z7" s="1"/>
  <c r="E7"/>
  <c r="F7"/>
  <c r="G7"/>
  <c r="H7"/>
  <c r="I7"/>
  <c r="J7"/>
  <c r="K7"/>
  <c r="L7"/>
  <c r="M7"/>
  <c r="N7"/>
  <c r="O7"/>
  <c r="P7"/>
  <c r="Q7"/>
  <c r="R7"/>
  <c r="S7"/>
  <c r="T7"/>
  <c r="U7"/>
  <c r="V7"/>
  <c r="W7"/>
  <c r="X7"/>
  <c r="Y7"/>
  <c r="AA7"/>
  <c r="D8"/>
  <c r="Z8" s="1"/>
  <c r="E8"/>
  <c r="F8"/>
  <c r="G8"/>
  <c r="H8"/>
  <c r="I8"/>
  <c r="J8"/>
  <c r="K8"/>
  <c r="L8"/>
  <c r="M8"/>
  <c r="N8"/>
  <c r="O8"/>
  <c r="P8"/>
  <c r="Q8"/>
  <c r="R8"/>
  <c r="S8"/>
  <c r="T8"/>
  <c r="U8"/>
  <c r="V8"/>
  <c r="W8"/>
  <c r="X8"/>
  <c r="Y8"/>
  <c r="AA8"/>
  <c r="D9"/>
  <c r="Z9" s="1"/>
  <c r="E9"/>
  <c r="F9"/>
  <c r="G9"/>
  <c r="H9"/>
  <c r="I9"/>
  <c r="J9"/>
  <c r="K9"/>
  <c r="L9"/>
  <c r="M9"/>
  <c r="N9"/>
  <c r="O9"/>
  <c r="P9"/>
  <c r="Q9"/>
  <c r="R9"/>
  <c r="S9"/>
  <c r="T9"/>
  <c r="U9"/>
  <c r="V9"/>
  <c r="W9"/>
  <c r="X9"/>
  <c r="Y9"/>
  <c r="AA9"/>
  <c r="D10"/>
  <c r="Z10" s="1"/>
  <c r="E10"/>
  <c r="F10"/>
  <c r="G10"/>
  <c r="H10"/>
  <c r="I10"/>
  <c r="J10"/>
  <c r="K10"/>
  <c r="L10"/>
  <c r="M10"/>
  <c r="N10"/>
  <c r="O10"/>
  <c r="P10"/>
  <c r="Q10"/>
  <c r="R10"/>
  <c r="S10"/>
  <c r="T10"/>
  <c r="U10"/>
  <c r="V10"/>
  <c r="W10"/>
  <c r="X10"/>
  <c r="Y10"/>
  <c r="AA10"/>
  <c r="D11"/>
  <c r="Z11" s="1"/>
  <c r="E11"/>
  <c r="F11"/>
  <c r="G11"/>
  <c r="H11"/>
  <c r="I11"/>
  <c r="J11"/>
  <c r="K11"/>
  <c r="L11"/>
  <c r="M11"/>
  <c r="N11"/>
  <c r="O11"/>
  <c r="P11"/>
  <c r="Q11"/>
  <c r="R11"/>
  <c r="S11"/>
  <c r="T11"/>
  <c r="U11"/>
  <c r="V11"/>
  <c r="W11"/>
  <c r="X11"/>
  <c r="Y11"/>
  <c r="AA11"/>
  <c r="D12"/>
  <c r="Z12" s="1"/>
  <c r="E12"/>
  <c r="F12"/>
  <c r="G12"/>
  <c r="H12"/>
  <c r="I12"/>
  <c r="J12"/>
  <c r="K12"/>
  <c r="L12"/>
  <c r="M12"/>
  <c r="N12"/>
  <c r="O12"/>
  <c r="P12"/>
  <c r="Q12"/>
  <c r="R12"/>
  <c r="S12"/>
  <c r="T12"/>
  <c r="U12"/>
  <c r="V12"/>
  <c r="W12"/>
  <c r="X12"/>
  <c r="Y12"/>
  <c r="AA12"/>
  <c r="D13"/>
  <c r="Z13" s="1"/>
  <c r="E13"/>
  <c r="F13"/>
  <c r="G13"/>
  <c r="H13"/>
  <c r="I13"/>
  <c r="J13"/>
  <c r="K13"/>
  <c r="L13"/>
  <c r="M13"/>
  <c r="N13"/>
  <c r="O13"/>
  <c r="P13"/>
  <c r="Q13"/>
  <c r="R13"/>
  <c r="S13"/>
  <c r="T13"/>
  <c r="U13"/>
  <c r="V13"/>
  <c r="W13"/>
  <c r="X13"/>
  <c r="Y13"/>
  <c r="AA13"/>
  <c r="D14"/>
  <c r="Z14" s="1"/>
  <c r="E14"/>
  <c r="F14"/>
  <c r="G14"/>
  <c r="H14"/>
  <c r="I14"/>
  <c r="J14"/>
  <c r="K14"/>
  <c r="L14"/>
  <c r="M14"/>
  <c r="N14"/>
  <c r="O14"/>
  <c r="P14"/>
  <c r="Q14"/>
  <c r="R14"/>
  <c r="S14"/>
  <c r="T14"/>
  <c r="U14"/>
  <c r="V14"/>
  <c r="W14"/>
  <c r="X14"/>
  <c r="Y14"/>
  <c r="AA14"/>
  <c r="D15"/>
  <c r="Z15" s="1"/>
  <c r="E15"/>
  <c r="F15"/>
  <c r="G15"/>
  <c r="H15"/>
  <c r="I15"/>
  <c r="J15"/>
  <c r="K15"/>
  <c r="L15"/>
  <c r="M15"/>
  <c r="N15"/>
  <c r="O15"/>
  <c r="P15"/>
  <c r="Q15"/>
  <c r="R15"/>
  <c r="S15"/>
  <c r="T15"/>
  <c r="U15"/>
  <c r="V15"/>
  <c r="W15"/>
  <c r="X15"/>
  <c r="Y15"/>
  <c r="AA15"/>
  <c r="D16"/>
  <c r="Z16" s="1"/>
  <c r="E16"/>
  <c r="F16"/>
  <c r="G16"/>
  <c r="H16"/>
  <c r="I16"/>
  <c r="J16"/>
  <c r="K16"/>
  <c r="L16"/>
  <c r="M16"/>
  <c r="N16"/>
  <c r="O16"/>
  <c r="P16"/>
  <c r="Q16"/>
  <c r="R16"/>
  <c r="S16"/>
  <c r="T16"/>
  <c r="U16"/>
  <c r="V16"/>
  <c r="W16"/>
  <c r="X16"/>
  <c r="Y16"/>
  <c r="AA16"/>
  <c r="D17"/>
  <c r="Z17" s="1"/>
  <c r="E17"/>
  <c r="F17"/>
  <c r="G17"/>
  <c r="H17"/>
  <c r="I17"/>
  <c r="J17"/>
  <c r="K17"/>
  <c r="L17"/>
  <c r="M17"/>
  <c r="N17"/>
  <c r="O17"/>
  <c r="P17"/>
  <c r="Q17"/>
  <c r="R17"/>
  <c r="S17"/>
  <c r="T17"/>
  <c r="U17"/>
  <c r="V17"/>
  <c r="W17"/>
  <c r="X17"/>
  <c r="Y17"/>
  <c r="AA17"/>
  <c r="D18"/>
  <c r="Z18" s="1"/>
  <c r="E18"/>
  <c r="F18"/>
  <c r="G18"/>
  <c r="H18"/>
  <c r="I18"/>
  <c r="J18"/>
  <c r="K18"/>
  <c r="L18"/>
  <c r="M18"/>
  <c r="N18"/>
  <c r="O18"/>
  <c r="P18"/>
  <c r="Q18"/>
  <c r="R18"/>
  <c r="S18"/>
  <c r="T18"/>
  <c r="U18"/>
  <c r="V18"/>
  <c r="W18"/>
  <c r="X18"/>
  <c r="Y18"/>
  <c r="AA18"/>
  <c r="D19"/>
  <c r="Z19" s="1"/>
  <c r="E19"/>
  <c r="F19"/>
  <c r="G19"/>
  <c r="H19"/>
  <c r="I19"/>
  <c r="J19"/>
  <c r="K19"/>
  <c r="L19"/>
  <c r="M19"/>
  <c r="N19"/>
  <c r="O19"/>
  <c r="P19"/>
  <c r="Q19"/>
  <c r="R19"/>
  <c r="S19"/>
  <c r="T19"/>
  <c r="U19"/>
  <c r="V19"/>
  <c r="W19"/>
  <c r="X19"/>
  <c r="Y19"/>
  <c r="AA19"/>
  <c r="D20"/>
  <c r="Z20" s="1"/>
  <c r="E20"/>
  <c r="F20"/>
  <c r="G20"/>
  <c r="H20"/>
  <c r="I20"/>
  <c r="J20"/>
  <c r="K20"/>
  <c r="L20"/>
  <c r="M20"/>
  <c r="N20"/>
  <c r="O20"/>
  <c r="P20"/>
  <c r="Q20"/>
  <c r="R20"/>
  <c r="S20"/>
  <c r="T20"/>
  <c r="U20"/>
  <c r="V20"/>
  <c r="W20"/>
  <c r="X20"/>
  <c r="Y20"/>
  <c r="AA20"/>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4"/>
  <c r="D4"/>
  <c r="Z4" s="1"/>
  <c r="Z22" s="1"/>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AA4"/>
  <c r="D5"/>
  <c r="Z5" s="1"/>
  <c r="E5"/>
  <c r="F5"/>
  <c r="G5"/>
  <c r="H5"/>
  <c r="I5"/>
  <c r="J5"/>
  <c r="K5"/>
  <c r="L5"/>
  <c r="M5"/>
  <c r="N5"/>
  <c r="O5"/>
  <c r="P5"/>
  <c r="Q5"/>
  <c r="R5"/>
  <c r="S5"/>
  <c r="T5"/>
  <c r="U5"/>
  <c r="V5"/>
  <c r="W5"/>
  <c r="X5"/>
  <c r="Y5"/>
  <c r="AA5"/>
  <c r="D6"/>
  <c r="Z6" s="1"/>
  <c r="E6"/>
  <c r="F6"/>
  <c r="G6"/>
  <c r="H6"/>
  <c r="I6"/>
  <c r="J6"/>
  <c r="K6"/>
  <c r="L6"/>
  <c r="M6"/>
  <c r="N6"/>
  <c r="O6"/>
  <c r="P6"/>
  <c r="Q6"/>
  <c r="R6"/>
  <c r="S6"/>
  <c r="T6"/>
  <c r="U6"/>
  <c r="V6"/>
  <c r="W6"/>
  <c r="X6"/>
  <c r="Y6"/>
  <c r="AA6"/>
  <c r="D7"/>
  <c r="Z7" s="1"/>
  <c r="E7"/>
  <c r="F7"/>
  <c r="G7"/>
  <c r="H7"/>
  <c r="I7"/>
  <c r="J7"/>
  <c r="K7"/>
  <c r="L7"/>
  <c r="M7"/>
  <c r="N7"/>
  <c r="O7"/>
  <c r="P7"/>
  <c r="Q7"/>
  <c r="R7"/>
  <c r="S7"/>
  <c r="T7"/>
  <c r="U7"/>
  <c r="V7"/>
  <c r="W7"/>
  <c r="X7"/>
  <c r="Y7"/>
  <c r="AA7"/>
  <c r="D8"/>
  <c r="Z8" s="1"/>
  <c r="E8"/>
  <c r="F8"/>
  <c r="G8"/>
  <c r="H8"/>
  <c r="I8"/>
  <c r="J8"/>
  <c r="K8"/>
  <c r="L8"/>
  <c r="M8"/>
  <c r="N8"/>
  <c r="O8"/>
  <c r="P8"/>
  <c r="Q8"/>
  <c r="R8"/>
  <c r="S8"/>
  <c r="T8"/>
  <c r="U8"/>
  <c r="V8"/>
  <c r="W8"/>
  <c r="X8"/>
  <c r="Y8"/>
  <c r="AA8"/>
  <c r="D9"/>
  <c r="Z9" s="1"/>
  <c r="E9"/>
  <c r="F9"/>
  <c r="G9"/>
  <c r="H9"/>
  <c r="I9"/>
  <c r="J9"/>
  <c r="K9"/>
  <c r="L9"/>
  <c r="M9"/>
  <c r="N9"/>
  <c r="O9"/>
  <c r="P9"/>
  <c r="Q9"/>
  <c r="R9"/>
  <c r="S9"/>
  <c r="T9"/>
  <c r="U9"/>
  <c r="V9"/>
  <c r="W9"/>
  <c r="X9"/>
  <c r="Y9"/>
  <c r="AA9"/>
  <c r="D10"/>
  <c r="Z10" s="1"/>
  <c r="E10"/>
  <c r="F10"/>
  <c r="G10"/>
  <c r="H10"/>
  <c r="I10"/>
  <c r="J10"/>
  <c r="K10"/>
  <c r="L10"/>
  <c r="M10"/>
  <c r="N10"/>
  <c r="O10"/>
  <c r="P10"/>
  <c r="Q10"/>
  <c r="R10"/>
  <c r="S10"/>
  <c r="T10"/>
  <c r="U10"/>
  <c r="V10"/>
  <c r="W10"/>
  <c r="X10"/>
  <c r="Y10"/>
  <c r="AA10"/>
  <c r="D11"/>
  <c r="Z11" s="1"/>
  <c r="E11"/>
  <c r="F11"/>
  <c r="G11"/>
  <c r="H11"/>
  <c r="I11"/>
  <c r="J11"/>
  <c r="K11"/>
  <c r="L11"/>
  <c r="M11"/>
  <c r="N11"/>
  <c r="O11"/>
  <c r="P11"/>
  <c r="Q11"/>
  <c r="R11"/>
  <c r="S11"/>
  <c r="T11"/>
  <c r="U11"/>
  <c r="V11"/>
  <c r="W11"/>
  <c r="X11"/>
  <c r="Y11"/>
  <c r="AA11"/>
  <c r="D12"/>
  <c r="Z12" s="1"/>
  <c r="E12"/>
  <c r="F12"/>
  <c r="G12"/>
  <c r="H12"/>
  <c r="I12"/>
  <c r="J12"/>
  <c r="K12"/>
  <c r="L12"/>
  <c r="M12"/>
  <c r="N12"/>
  <c r="O12"/>
  <c r="P12"/>
  <c r="Q12"/>
  <c r="R12"/>
  <c r="S12"/>
  <c r="T12"/>
  <c r="U12"/>
  <c r="V12"/>
  <c r="W12"/>
  <c r="X12"/>
  <c r="Y12"/>
  <c r="AA12"/>
  <c r="D13"/>
  <c r="Z13" s="1"/>
  <c r="E13"/>
  <c r="F13"/>
  <c r="G13"/>
  <c r="H13"/>
  <c r="I13"/>
  <c r="J13"/>
  <c r="K13"/>
  <c r="L13"/>
  <c r="M13"/>
  <c r="N13"/>
  <c r="O13"/>
  <c r="P13"/>
  <c r="Q13"/>
  <c r="R13"/>
  <c r="S13"/>
  <c r="T13"/>
  <c r="U13"/>
  <c r="V13"/>
  <c r="W13"/>
  <c r="X13"/>
  <c r="Y13"/>
  <c r="AA13"/>
  <c r="D14"/>
  <c r="Z14" s="1"/>
  <c r="E14"/>
  <c r="F14"/>
  <c r="G14"/>
  <c r="H14"/>
  <c r="I14"/>
  <c r="J14"/>
  <c r="K14"/>
  <c r="L14"/>
  <c r="M14"/>
  <c r="N14"/>
  <c r="O14"/>
  <c r="P14"/>
  <c r="Q14"/>
  <c r="R14"/>
  <c r="S14"/>
  <c r="T14"/>
  <c r="U14"/>
  <c r="V14"/>
  <c r="W14"/>
  <c r="X14"/>
  <c r="Y14"/>
  <c r="AA14"/>
  <c r="D15"/>
  <c r="Z15" s="1"/>
  <c r="E15"/>
  <c r="F15"/>
  <c r="G15"/>
  <c r="H15"/>
  <c r="I15"/>
  <c r="J15"/>
  <c r="K15"/>
  <c r="L15"/>
  <c r="M15"/>
  <c r="N15"/>
  <c r="O15"/>
  <c r="P15"/>
  <c r="Q15"/>
  <c r="R15"/>
  <c r="S15"/>
  <c r="T15"/>
  <c r="U15"/>
  <c r="V15"/>
  <c r="W15"/>
  <c r="X15"/>
  <c r="Y15"/>
  <c r="AA15"/>
  <c r="D16"/>
  <c r="Z16" s="1"/>
  <c r="E16"/>
  <c r="F16"/>
  <c r="G16"/>
  <c r="H16"/>
  <c r="I16"/>
  <c r="J16"/>
  <c r="K16"/>
  <c r="L16"/>
  <c r="M16"/>
  <c r="N16"/>
  <c r="O16"/>
  <c r="P16"/>
  <c r="Q16"/>
  <c r="R16"/>
  <c r="S16"/>
  <c r="T16"/>
  <c r="U16"/>
  <c r="V16"/>
  <c r="W16"/>
  <c r="X16"/>
  <c r="Y16"/>
  <c r="AA16"/>
  <c r="D17"/>
  <c r="Z17" s="1"/>
  <c r="E17"/>
  <c r="F17"/>
  <c r="G17"/>
  <c r="H17"/>
  <c r="I17"/>
  <c r="J17"/>
  <c r="K17"/>
  <c r="L17"/>
  <c r="M17"/>
  <c r="N17"/>
  <c r="O17"/>
  <c r="P17"/>
  <c r="Q17"/>
  <c r="R17"/>
  <c r="S17"/>
  <c r="T17"/>
  <c r="U17"/>
  <c r="V17"/>
  <c r="W17"/>
  <c r="X17"/>
  <c r="Y17"/>
  <c r="AA17"/>
  <c r="D18"/>
  <c r="Z18" s="1"/>
  <c r="E18"/>
  <c r="F18"/>
  <c r="G18"/>
  <c r="H18"/>
  <c r="I18"/>
  <c r="J18"/>
  <c r="K18"/>
  <c r="L18"/>
  <c r="M18"/>
  <c r="N18"/>
  <c r="O18"/>
  <c r="P18"/>
  <c r="Q18"/>
  <c r="R18"/>
  <c r="S18"/>
  <c r="T18"/>
  <c r="U18"/>
  <c r="V18"/>
  <c r="W18"/>
  <c r="X18"/>
  <c r="Y18"/>
  <c r="AA18"/>
  <c r="D19"/>
  <c r="Z19" s="1"/>
  <c r="E19"/>
  <c r="F19"/>
  <c r="G19"/>
  <c r="H19"/>
  <c r="I19"/>
  <c r="J19"/>
  <c r="K19"/>
  <c r="L19"/>
  <c r="M19"/>
  <c r="N19"/>
  <c r="O19"/>
  <c r="P19"/>
  <c r="Q19"/>
  <c r="R19"/>
  <c r="S19"/>
  <c r="T19"/>
  <c r="U19"/>
  <c r="V19"/>
  <c r="W19"/>
  <c r="X19"/>
  <c r="Y19"/>
  <c r="AA19"/>
  <c r="D20"/>
  <c r="Z20" s="1"/>
  <c r="E20"/>
  <c r="F20"/>
  <c r="G20"/>
  <c r="H20"/>
  <c r="I20"/>
  <c r="J20"/>
  <c r="K20"/>
  <c r="L20"/>
  <c r="M20"/>
  <c r="N20"/>
  <c r="O20"/>
  <c r="P20"/>
  <c r="Q20"/>
  <c r="R20"/>
  <c r="S20"/>
  <c r="T20"/>
  <c r="U20"/>
  <c r="V20"/>
  <c r="W20"/>
  <c r="X20"/>
  <c r="Y20"/>
  <c r="AA20"/>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15"/>
  <c r="D4"/>
  <c r="Z4" s="1"/>
  <c r="Z22" s="1"/>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AA4"/>
  <c r="D5"/>
  <c r="Z5" s="1"/>
  <c r="E5"/>
  <c r="F5"/>
  <c r="G5"/>
  <c r="H5"/>
  <c r="I5"/>
  <c r="J5"/>
  <c r="K5"/>
  <c r="L5"/>
  <c r="M5"/>
  <c r="N5"/>
  <c r="O5"/>
  <c r="P5"/>
  <c r="Q5"/>
  <c r="R5"/>
  <c r="S5"/>
  <c r="T5"/>
  <c r="U5"/>
  <c r="V5"/>
  <c r="W5"/>
  <c r="X5"/>
  <c r="Y5"/>
  <c r="AA5"/>
  <c r="D6"/>
  <c r="Z6" s="1"/>
  <c r="E6"/>
  <c r="F6"/>
  <c r="G6"/>
  <c r="H6"/>
  <c r="I6"/>
  <c r="J6"/>
  <c r="K6"/>
  <c r="L6"/>
  <c r="M6"/>
  <c r="N6"/>
  <c r="O6"/>
  <c r="P6"/>
  <c r="Q6"/>
  <c r="R6"/>
  <c r="S6"/>
  <c r="T6"/>
  <c r="U6"/>
  <c r="V6"/>
  <c r="W6"/>
  <c r="X6"/>
  <c r="Y6"/>
  <c r="AA6"/>
  <c r="D7"/>
  <c r="Z7" s="1"/>
  <c r="E7"/>
  <c r="F7"/>
  <c r="G7"/>
  <c r="H7"/>
  <c r="I7"/>
  <c r="J7"/>
  <c r="K7"/>
  <c r="L7"/>
  <c r="M7"/>
  <c r="N7"/>
  <c r="O7"/>
  <c r="P7"/>
  <c r="Q7"/>
  <c r="R7"/>
  <c r="S7"/>
  <c r="T7"/>
  <c r="U7"/>
  <c r="V7"/>
  <c r="W7"/>
  <c r="X7"/>
  <c r="Y7"/>
  <c r="AA7"/>
  <c r="D8"/>
  <c r="Z8" s="1"/>
  <c r="E8"/>
  <c r="F8"/>
  <c r="G8"/>
  <c r="H8"/>
  <c r="I8"/>
  <c r="J8"/>
  <c r="K8"/>
  <c r="L8"/>
  <c r="M8"/>
  <c r="N8"/>
  <c r="O8"/>
  <c r="P8"/>
  <c r="Q8"/>
  <c r="R8"/>
  <c r="S8"/>
  <c r="T8"/>
  <c r="U8"/>
  <c r="V8"/>
  <c r="W8"/>
  <c r="X8"/>
  <c r="Y8"/>
  <c r="AA8"/>
  <c r="D9"/>
  <c r="Z9" s="1"/>
  <c r="E9"/>
  <c r="F9"/>
  <c r="G9"/>
  <c r="H9"/>
  <c r="I9"/>
  <c r="J9"/>
  <c r="K9"/>
  <c r="L9"/>
  <c r="M9"/>
  <c r="N9"/>
  <c r="O9"/>
  <c r="P9"/>
  <c r="Q9"/>
  <c r="R9"/>
  <c r="S9"/>
  <c r="T9"/>
  <c r="U9"/>
  <c r="V9"/>
  <c r="W9"/>
  <c r="X9"/>
  <c r="Y9"/>
  <c r="AA9"/>
  <c r="D10"/>
  <c r="Z10" s="1"/>
  <c r="E10"/>
  <c r="F10"/>
  <c r="G10"/>
  <c r="H10"/>
  <c r="I10"/>
  <c r="J10"/>
  <c r="K10"/>
  <c r="L10"/>
  <c r="M10"/>
  <c r="N10"/>
  <c r="O10"/>
  <c r="P10"/>
  <c r="Q10"/>
  <c r="R10"/>
  <c r="S10"/>
  <c r="T10"/>
  <c r="U10"/>
  <c r="V10"/>
  <c r="W10"/>
  <c r="X10"/>
  <c r="Y10"/>
  <c r="AA10"/>
  <c r="D11"/>
  <c r="Z11" s="1"/>
  <c r="E11"/>
  <c r="F11"/>
  <c r="G11"/>
  <c r="H11"/>
  <c r="I11"/>
  <c r="J11"/>
  <c r="K11"/>
  <c r="L11"/>
  <c r="M11"/>
  <c r="N11"/>
  <c r="O11"/>
  <c r="P11"/>
  <c r="Q11"/>
  <c r="R11"/>
  <c r="S11"/>
  <c r="T11"/>
  <c r="U11"/>
  <c r="V11"/>
  <c r="W11"/>
  <c r="X11"/>
  <c r="Y11"/>
  <c r="AA11"/>
  <c r="D12"/>
  <c r="Z12" s="1"/>
  <c r="E12"/>
  <c r="F12"/>
  <c r="G12"/>
  <c r="H12"/>
  <c r="I12"/>
  <c r="J12"/>
  <c r="K12"/>
  <c r="L12"/>
  <c r="M12"/>
  <c r="N12"/>
  <c r="O12"/>
  <c r="P12"/>
  <c r="Q12"/>
  <c r="R12"/>
  <c r="S12"/>
  <c r="T12"/>
  <c r="U12"/>
  <c r="V12"/>
  <c r="W12"/>
  <c r="X12"/>
  <c r="Y12"/>
  <c r="AA12"/>
  <c r="D13"/>
  <c r="Z13" s="1"/>
  <c r="E13"/>
  <c r="F13"/>
  <c r="G13"/>
  <c r="H13"/>
  <c r="I13"/>
  <c r="J13"/>
  <c r="K13"/>
  <c r="L13"/>
  <c r="M13"/>
  <c r="N13"/>
  <c r="O13"/>
  <c r="P13"/>
  <c r="Q13"/>
  <c r="R13"/>
  <c r="S13"/>
  <c r="T13"/>
  <c r="U13"/>
  <c r="V13"/>
  <c r="W13"/>
  <c r="X13"/>
  <c r="Y13"/>
  <c r="AA13"/>
  <c r="D14"/>
  <c r="Z14" s="1"/>
  <c r="E14"/>
  <c r="F14"/>
  <c r="G14"/>
  <c r="H14"/>
  <c r="I14"/>
  <c r="J14"/>
  <c r="K14"/>
  <c r="L14"/>
  <c r="M14"/>
  <c r="N14"/>
  <c r="O14"/>
  <c r="P14"/>
  <c r="Q14"/>
  <c r="R14"/>
  <c r="S14"/>
  <c r="T14"/>
  <c r="U14"/>
  <c r="V14"/>
  <c r="W14"/>
  <c r="X14"/>
  <c r="Y14"/>
  <c r="AA14"/>
  <c r="D15"/>
  <c r="Z15" s="1"/>
  <c r="E15"/>
  <c r="F15"/>
  <c r="G15"/>
  <c r="H15"/>
  <c r="I15"/>
  <c r="J15"/>
  <c r="K15"/>
  <c r="L15"/>
  <c r="M15"/>
  <c r="N15"/>
  <c r="O15"/>
  <c r="P15"/>
  <c r="Q15"/>
  <c r="R15"/>
  <c r="S15"/>
  <c r="T15"/>
  <c r="U15"/>
  <c r="V15"/>
  <c r="W15"/>
  <c r="X15"/>
  <c r="Y15"/>
  <c r="AA15"/>
  <c r="D16"/>
  <c r="Z16" s="1"/>
  <c r="E16"/>
  <c r="F16"/>
  <c r="G16"/>
  <c r="H16"/>
  <c r="I16"/>
  <c r="J16"/>
  <c r="K16"/>
  <c r="L16"/>
  <c r="M16"/>
  <c r="N16"/>
  <c r="O16"/>
  <c r="P16"/>
  <c r="Q16"/>
  <c r="R16"/>
  <c r="S16"/>
  <c r="T16"/>
  <c r="U16"/>
  <c r="V16"/>
  <c r="W16"/>
  <c r="X16"/>
  <c r="Y16"/>
  <c r="AA16"/>
  <c r="D17"/>
  <c r="Z17" s="1"/>
  <c r="E17"/>
  <c r="F17"/>
  <c r="G17"/>
  <c r="H17"/>
  <c r="I17"/>
  <c r="J17"/>
  <c r="K17"/>
  <c r="L17"/>
  <c r="M17"/>
  <c r="N17"/>
  <c r="O17"/>
  <c r="P17"/>
  <c r="Q17"/>
  <c r="R17"/>
  <c r="S17"/>
  <c r="T17"/>
  <c r="U17"/>
  <c r="V17"/>
  <c r="W17"/>
  <c r="X17"/>
  <c r="Y17"/>
  <c r="AA17"/>
  <c r="D18"/>
  <c r="Z18" s="1"/>
  <c r="E18"/>
  <c r="F18"/>
  <c r="G18"/>
  <c r="H18"/>
  <c r="I18"/>
  <c r="J18"/>
  <c r="K18"/>
  <c r="L18"/>
  <c r="M18"/>
  <c r="N18"/>
  <c r="O18"/>
  <c r="P18"/>
  <c r="Q18"/>
  <c r="R18"/>
  <c r="S18"/>
  <c r="T18"/>
  <c r="U18"/>
  <c r="V18"/>
  <c r="W18"/>
  <c r="X18"/>
  <c r="Y18"/>
  <c r="AA18"/>
  <c r="D19"/>
  <c r="Z19" s="1"/>
  <c r="E19"/>
  <c r="F19"/>
  <c r="G19"/>
  <c r="H19"/>
  <c r="I19"/>
  <c r="J19"/>
  <c r="K19"/>
  <c r="L19"/>
  <c r="M19"/>
  <c r="N19"/>
  <c r="O19"/>
  <c r="P19"/>
  <c r="Q19"/>
  <c r="R19"/>
  <c r="S19"/>
  <c r="T19"/>
  <c r="U19"/>
  <c r="V19"/>
  <c r="W19"/>
  <c r="X19"/>
  <c r="Y19"/>
  <c r="AA19"/>
  <c r="D20"/>
  <c r="Z20" s="1"/>
  <c r="E20"/>
  <c r="F20"/>
  <c r="G20"/>
  <c r="H20"/>
  <c r="I20"/>
  <c r="J20"/>
  <c r="K20"/>
  <c r="L20"/>
  <c r="M20"/>
  <c r="N20"/>
  <c r="O20"/>
  <c r="P20"/>
  <c r="Q20"/>
  <c r="R20"/>
  <c r="S20"/>
  <c r="T20"/>
  <c r="U20"/>
  <c r="V20"/>
  <c r="W20"/>
  <c r="X20"/>
  <c r="Y20"/>
  <c r="AA20"/>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2"/>
  <c r="D4"/>
  <c r="D22" s="1"/>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AA4"/>
  <c r="D5"/>
  <c r="Z5" s="1"/>
  <c r="E5"/>
  <c r="F5"/>
  <c r="G5"/>
  <c r="H5"/>
  <c r="I5"/>
  <c r="J5"/>
  <c r="K5"/>
  <c r="L5"/>
  <c r="M5"/>
  <c r="N5"/>
  <c r="O5"/>
  <c r="P5"/>
  <c r="Q5"/>
  <c r="R5"/>
  <c r="S5"/>
  <c r="T5"/>
  <c r="U5"/>
  <c r="V5"/>
  <c r="W5"/>
  <c r="X5"/>
  <c r="Y5"/>
  <c r="AA5"/>
  <c r="D6"/>
  <c r="Z6" s="1"/>
  <c r="E6"/>
  <c r="F6"/>
  <c r="G6"/>
  <c r="H6"/>
  <c r="I6"/>
  <c r="J6"/>
  <c r="K6"/>
  <c r="L6"/>
  <c r="M6"/>
  <c r="N6"/>
  <c r="O6"/>
  <c r="P6"/>
  <c r="Q6"/>
  <c r="R6"/>
  <c r="S6"/>
  <c r="T6"/>
  <c r="U6"/>
  <c r="V6"/>
  <c r="W6"/>
  <c r="X6"/>
  <c r="Y6"/>
  <c r="AA6"/>
  <c r="D7"/>
  <c r="Z7" s="1"/>
  <c r="E7"/>
  <c r="F7"/>
  <c r="G7"/>
  <c r="H7"/>
  <c r="I7"/>
  <c r="J7"/>
  <c r="K7"/>
  <c r="L7"/>
  <c r="M7"/>
  <c r="N7"/>
  <c r="O7"/>
  <c r="P7"/>
  <c r="Q7"/>
  <c r="R7"/>
  <c r="S7"/>
  <c r="T7"/>
  <c r="U7"/>
  <c r="V7"/>
  <c r="W7"/>
  <c r="X7"/>
  <c r="Y7"/>
  <c r="AA7"/>
  <c r="D8"/>
  <c r="Z8" s="1"/>
  <c r="E8"/>
  <c r="F8"/>
  <c r="G8"/>
  <c r="H8"/>
  <c r="I8"/>
  <c r="J8"/>
  <c r="K8"/>
  <c r="L8"/>
  <c r="M8"/>
  <c r="N8"/>
  <c r="O8"/>
  <c r="P8"/>
  <c r="Q8"/>
  <c r="R8"/>
  <c r="S8"/>
  <c r="T8"/>
  <c r="U8"/>
  <c r="V8"/>
  <c r="W8"/>
  <c r="X8"/>
  <c r="Y8"/>
  <c r="AA8"/>
  <c r="D9"/>
  <c r="Z9" s="1"/>
  <c r="E9"/>
  <c r="F9"/>
  <c r="G9"/>
  <c r="H9"/>
  <c r="I9"/>
  <c r="J9"/>
  <c r="K9"/>
  <c r="L9"/>
  <c r="M9"/>
  <c r="N9"/>
  <c r="O9"/>
  <c r="P9"/>
  <c r="Q9"/>
  <c r="R9"/>
  <c r="S9"/>
  <c r="T9"/>
  <c r="U9"/>
  <c r="V9"/>
  <c r="W9"/>
  <c r="X9"/>
  <c r="Y9"/>
  <c r="AA9"/>
  <c r="D10"/>
  <c r="Z10" s="1"/>
  <c r="E10"/>
  <c r="F10"/>
  <c r="G10"/>
  <c r="H10"/>
  <c r="I10"/>
  <c r="J10"/>
  <c r="K10"/>
  <c r="L10"/>
  <c r="M10"/>
  <c r="N10"/>
  <c r="O10"/>
  <c r="P10"/>
  <c r="Q10"/>
  <c r="R10"/>
  <c r="S10"/>
  <c r="T10"/>
  <c r="U10"/>
  <c r="V10"/>
  <c r="W10"/>
  <c r="X10"/>
  <c r="Y10"/>
  <c r="AA10"/>
  <c r="D11"/>
  <c r="Z11" s="1"/>
  <c r="E11"/>
  <c r="F11"/>
  <c r="G11"/>
  <c r="H11"/>
  <c r="I11"/>
  <c r="J11"/>
  <c r="K11"/>
  <c r="L11"/>
  <c r="M11"/>
  <c r="N11"/>
  <c r="O11"/>
  <c r="P11"/>
  <c r="Q11"/>
  <c r="R11"/>
  <c r="S11"/>
  <c r="T11"/>
  <c r="U11"/>
  <c r="V11"/>
  <c r="W11"/>
  <c r="X11"/>
  <c r="Y11"/>
  <c r="AA11"/>
  <c r="D12"/>
  <c r="Z12" s="1"/>
  <c r="E12"/>
  <c r="F12"/>
  <c r="G12"/>
  <c r="H12"/>
  <c r="I12"/>
  <c r="J12"/>
  <c r="K12"/>
  <c r="L12"/>
  <c r="M12"/>
  <c r="N12"/>
  <c r="O12"/>
  <c r="P12"/>
  <c r="Q12"/>
  <c r="R12"/>
  <c r="S12"/>
  <c r="T12"/>
  <c r="U12"/>
  <c r="V12"/>
  <c r="W12"/>
  <c r="X12"/>
  <c r="Y12"/>
  <c r="AA12"/>
  <c r="D13"/>
  <c r="Z13" s="1"/>
  <c r="E13"/>
  <c r="F13"/>
  <c r="G13"/>
  <c r="H13"/>
  <c r="I13"/>
  <c r="J13"/>
  <c r="K13"/>
  <c r="L13"/>
  <c r="M13"/>
  <c r="N13"/>
  <c r="O13"/>
  <c r="P13"/>
  <c r="Q13"/>
  <c r="R13"/>
  <c r="S13"/>
  <c r="T13"/>
  <c r="U13"/>
  <c r="V13"/>
  <c r="W13"/>
  <c r="X13"/>
  <c r="Y13"/>
  <c r="AA13"/>
  <c r="D14"/>
  <c r="Z14" s="1"/>
  <c r="E14"/>
  <c r="F14"/>
  <c r="G14"/>
  <c r="H14"/>
  <c r="I14"/>
  <c r="J14"/>
  <c r="K14"/>
  <c r="L14"/>
  <c r="M14"/>
  <c r="N14"/>
  <c r="O14"/>
  <c r="P14"/>
  <c r="Q14"/>
  <c r="R14"/>
  <c r="S14"/>
  <c r="T14"/>
  <c r="U14"/>
  <c r="V14"/>
  <c r="W14"/>
  <c r="X14"/>
  <c r="Y14"/>
  <c r="AA14"/>
  <c r="D15"/>
  <c r="Z15" s="1"/>
  <c r="E15"/>
  <c r="F15"/>
  <c r="G15"/>
  <c r="H15"/>
  <c r="I15"/>
  <c r="J15"/>
  <c r="K15"/>
  <c r="L15"/>
  <c r="M15"/>
  <c r="N15"/>
  <c r="O15"/>
  <c r="P15"/>
  <c r="Q15"/>
  <c r="R15"/>
  <c r="S15"/>
  <c r="T15"/>
  <c r="U15"/>
  <c r="V15"/>
  <c r="W15"/>
  <c r="X15"/>
  <c r="Y15"/>
  <c r="AA15"/>
  <c r="D16"/>
  <c r="Z16" s="1"/>
  <c r="E16"/>
  <c r="F16"/>
  <c r="G16"/>
  <c r="H16"/>
  <c r="I16"/>
  <c r="J16"/>
  <c r="K16"/>
  <c r="L16"/>
  <c r="M16"/>
  <c r="N16"/>
  <c r="O16"/>
  <c r="P16"/>
  <c r="Q16"/>
  <c r="R16"/>
  <c r="S16"/>
  <c r="T16"/>
  <c r="U16"/>
  <c r="V16"/>
  <c r="W16"/>
  <c r="X16"/>
  <c r="Y16"/>
  <c r="AA16"/>
  <c r="D17"/>
  <c r="Z17" s="1"/>
  <c r="E17"/>
  <c r="F17"/>
  <c r="G17"/>
  <c r="H17"/>
  <c r="I17"/>
  <c r="J17"/>
  <c r="K17"/>
  <c r="L17"/>
  <c r="M17"/>
  <c r="N17"/>
  <c r="O17"/>
  <c r="P17"/>
  <c r="Q17"/>
  <c r="R17"/>
  <c r="S17"/>
  <c r="T17"/>
  <c r="U17"/>
  <c r="V17"/>
  <c r="W17"/>
  <c r="X17"/>
  <c r="Y17"/>
  <c r="AA17"/>
  <c r="D18"/>
  <c r="Z18" s="1"/>
  <c r="E18"/>
  <c r="F18"/>
  <c r="G18"/>
  <c r="H18"/>
  <c r="I18"/>
  <c r="J18"/>
  <c r="K18"/>
  <c r="L18"/>
  <c r="M18"/>
  <c r="N18"/>
  <c r="O18"/>
  <c r="P18"/>
  <c r="Q18"/>
  <c r="R18"/>
  <c r="S18"/>
  <c r="T18"/>
  <c r="U18"/>
  <c r="V18"/>
  <c r="W18"/>
  <c r="X18"/>
  <c r="Y18"/>
  <c r="AA18"/>
  <c r="D19"/>
  <c r="Z19" s="1"/>
  <c r="E19"/>
  <c r="F19"/>
  <c r="G19"/>
  <c r="H19"/>
  <c r="I19"/>
  <c r="J19"/>
  <c r="K19"/>
  <c r="L19"/>
  <c r="M19"/>
  <c r="N19"/>
  <c r="O19"/>
  <c r="P19"/>
  <c r="Q19"/>
  <c r="R19"/>
  <c r="S19"/>
  <c r="T19"/>
  <c r="U19"/>
  <c r="V19"/>
  <c r="W19"/>
  <c r="X19"/>
  <c r="Y19"/>
  <c r="AA19"/>
  <c r="D20"/>
  <c r="Z20" s="1"/>
  <c r="E20"/>
  <c r="F20"/>
  <c r="G20"/>
  <c r="H20"/>
  <c r="I20"/>
  <c r="J20"/>
  <c r="K20"/>
  <c r="L20"/>
  <c r="M20"/>
  <c r="N20"/>
  <c r="O20"/>
  <c r="P20"/>
  <c r="Q20"/>
  <c r="R20"/>
  <c r="S20"/>
  <c r="T20"/>
  <c r="U20"/>
  <c r="V20"/>
  <c r="W20"/>
  <c r="X20"/>
  <c r="Y20"/>
  <c r="AA20"/>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3"/>
  <c r="D4"/>
  <c r="D22" s="1"/>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AA4"/>
  <c r="D5"/>
  <c r="Z5" s="1"/>
  <c r="E5"/>
  <c r="F5"/>
  <c r="G5"/>
  <c r="H5"/>
  <c r="I5"/>
  <c r="J5"/>
  <c r="K5"/>
  <c r="L5"/>
  <c r="M5"/>
  <c r="N5"/>
  <c r="O5"/>
  <c r="P5"/>
  <c r="Q5"/>
  <c r="R5"/>
  <c r="S5"/>
  <c r="T5"/>
  <c r="U5"/>
  <c r="V5"/>
  <c r="W5"/>
  <c r="X5"/>
  <c r="Y5"/>
  <c r="AA5"/>
  <c r="D6"/>
  <c r="Z6" s="1"/>
  <c r="E6"/>
  <c r="F6"/>
  <c r="G6"/>
  <c r="H6"/>
  <c r="I6"/>
  <c r="J6"/>
  <c r="K6"/>
  <c r="L6"/>
  <c r="M6"/>
  <c r="N6"/>
  <c r="O6"/>
  <c r="P6"/>
  <c r="Q6"/>
  <c r="R6"/>
  <c r="S6"/>
  <c r="T6"/>
  <c r="U6"/>
  <c r="V6"/>
  <c r="W6"/>
  <c r="X6"/>
  <c r="Y6"/>
  <c r="AA6"/>
  <c r="D7"/>
  <c r="Z7" s="1"/>
  <c r="E7"/>
  <c r="F7"/>
  <c r="G7"/>
  <c r="H7"/>
  <c r="I7"/>
  <c r="J7"/>
  <c r="K7"/>
  <c r="L7"/>
  <c r="M7"/>
  <c r="N7"/>
  <c r="O7"/>
  <c r="P7"/>
  <c r="Q7"/>
  <c r="R7"/>
  <c r="S7"/>
  <c r="T7"/>
  <c r="U7"/>
  <c r="V7"/>
  <c r="W7"/>
  <c r="X7"/>
  <c r="Y7"/>
  <c r="AA7"/>
  <c r="D8"/>
  <c r="Z8" s="1"/>
  <c r="E8"/>
  <c r="F8"/>
  <c r="G8"/>
  <c r="H8"/>
  <c r="I8"/>
  <c r="J8"/>
  <c r="K8"/>
  <c r="L8"/>
  <c r="M8"/>
  <c r="N8"/>
  <c r="O8"/>
  <c r="P8"/>
  <c r="Q8"/>
  <c r="R8"/>
  <c r="S8"/>
  <c r="T8"/>
  <c r="U8"/>
  <c r="V8"/>
  <c r="W8"/>
  <c r="X8"/>
  <c r="Y8"/>
  <c r="AA8"/>
  <c r="D9"/>
  <c r="Z9" s="1"/>
  <c r="E9"/>
  <c r="F9"/>
  <c r="G9"/>
  <c r="H9"/>
  <c r="I9"/>
  <c r="J9"/>
  <c r="K9"/>
  <c r="L9"/>
  <c r="M9"/>
  <c r="N9"/>
  <c r="O9"/>
  <c r="P9"/>
  <c r="Q9"/>
  <c r="R9"/>
  <c r="S9"/>
  <c r="T9"/>
  <c r="U9"/>
  <c r="V9"/>
  <c r="W9"/>
  <c r="X9"/>
  <c r="Y9"/>
  <c r="AA9"/>
  <c r="D10"/>
  <c r="Z10" s="1"/>
  <c r="E10"/>
  <c r="F10"/>
  <c r="G10"/>
  <c r="H10"/>
  <c r="I10"/>
  <c r="J10"/>
  <c r="K10"/>
  <c r="L10"/>
  <c r="M10"/>
  <c r="N10"/>
  <c r="O10"/>
  <c r="P10"/>
  <c r="Q10"/>
  <c r="R10"/>
  <c r="S10"/>
  <c r="T10"/>
  <c r="U10"/>
  <c r="V10"/>
  <c r="W10"/>
  <c r="X10"/>
  <c r="Y10"/>
  <c r="AA10"/>
  <c r="D11"/>
  <c r="Z11" s="1"/>
  <c r="E11"/>
  <c r="F11"/>
  <c r="G11"/>
  <c r="H11"/>
  <c r="I11"/>
  <c r="J11"/>
  <c r="K11"/>
  <c r="L11"/>
  <c r="M11"/>
  <c r="N11"/>
  <c r="O11"/>
  <c r="P11"/>
  <c r="Q11"/>
  <c r="R11"/>
  <c r="S11"/>
  <c r="T11"/>
  <c r="U11"/>
  <c r="V11"/>
  <c r="W11"/>
  <c r="X11"/>
  <c r="Y11"/>
  <c r="AA11"/>
  <c r="D12"/>
  <c r="Z12" s="1"/>
  <c r="E12"/>
  <c r="F12"/>
  <c r="G12"/>
  <c r="H12"/>
  <c r="I12"/>
  <c r="J12"/>
  <c r="K12"/>
  <c r="L12"/>
  <c r="M12"/>
  <c r="N12"/>
  <c r="O12"/>
  <c r="P12"/>
  <c r="Q12"/>
  <c r="R12"/>
  <c r="S12"/>
  <c r="T12"/>
  <c r="U12"/>
  <c r="V12"/>
  <c r="W12"/>
  <c r="X12"/>
  <c r="Y12"/>
  <c r="AA12"/>
  <c r="D13"/>
  <c r="Z13" s="1"/>
  <c r="E13"/>
  <c r="F13"/>
  <c r="G13"/>
  <c r="H13"/>
  <c r="I13"/>
  <c r="J13"/>
  <c r="K13"/>
  <c r="L13"/>
  <c r="M13"/>
  <c r="N13"/>
  <c r="O13"/>
  <c r="P13"/>
  <c r="Q13"/>
  <c r="R13"/>
  <c r="S13"/>
  <c r="T13"/>
  <c r="U13"/>
  <c r="V13"/>
  <c r="W13"/>
  <c r="X13"/>
  <c r="Y13"/>
  <c r="AA13"/>
  <c r="D14"/>
  <c r="Z14" s="1"/>
  <c r="E14"/>
  <c r="F14"/>
  <c r="G14"/>
  <c r="H14"/>
  <c r="I14"/>
  <c r="J14"/>
  <c r="K14"/>
  <c r="L14"/>
  <c r="M14"/>
  <c r="N14"/>
  <c r="O14"/>
  <c r="P14"/>
  <c r="Q14"/>
  <c r="R14"/>
  <c r="S14"/>
  <c r="T14"/>
  <c r="U14"/>
  <c r="V14"/>
  <c r="W14"/>
  <c r="X14"/>
  <c r="Y14"/>
  <c r="AA14"/>
  <c r="D15"/>
  <c r="Z15" s="1"/>
  <c r="E15"/>
  <c r="F15"/>
  <c r="G15"/>
  <c r="H15"/>
  <c r="I15"/>
  <c r="J15"/>
  <c r="K15"/>
  <c r="L15"/>
  <c r="M15"/>
  <c r="N15"/>
  <c r="O15"/>
  <c r="P15"/>
  <c r="Q15"/>
  <c r="R15"/>
  <c r="S15"/>
  <c r="T15"/>
  <c r="U15"/>
  <c r="V15"/>
  <c r="W15"/>
  <c r="X15"/>
  <c r="Y15"/>
  <c r="AA15"/>
  <c r="D16"/>
  <c r="Z16" s="1"/>
  <c r="E16"/>
  <c r="F16"/>
  <c r="G16"/>
  <c r="H16"/>
  <c r="I16"/>
  <c r="J16"/>
  <c r="K16"/>
  <c r="L16"/>
  <c r="M16"/>
  <c r="N16"/>
  <c r="O16"/>
  <c r="P16"/>
  <c r="Q16"/>
  <c r="R16"/>
  <c r="S16"/>
  <c r="T16"/>
  <c r="U16"/>
  <c r="V16"/>
  <c r="W16"/>
  <c r="X16"/>
  <c r="Y16"/>
  <c r="AA16"/>
  <c r="D17"/>
  <c r="Z17" s="1"/>
  <c r="E17"/>
  <c r="F17"/>
  <c r="G17"/>
  <c r="H17"/>
  <c r="I17"/>
  <c r="J17"/>
  <c r="K17"/>
  <c r="L17"/>
  <c r="M17"/>
  <c r="N17"/>
  <c r="O17"/>
  <c r="P17"/>
  <c r="Q17"/>
  <c r="R17"/>
  <c r="S17"/>
  <c r="T17"/>
  <c r="U17"/>
  <c r="V17"/>
  <c r="W17"/>
  <c r="X17"/>
  <c r="Y17"/>
  <c r="AA17"/>
  <c r="D18"/>
  <c r="Z18" s="1"/>
  <c r="E18"/>
  <c r="F18"/>
  <c r="G18"/>
  <c r="H18"/>
  <c r="I18"/>
  <c r="J18"/>
  <c r="K18"/>
  <c r="L18"/>
  <c r="M18"/>
  <c r="N18"/>
  <c r="O18"/>
  <c r="P18"/>
  <c r="Q18"/>
  <c r="R18"/>
  <c r="S18"/>
  <c r="T18"/>
  <c r="U18"/>
  <c r="V18"/>
  <c r="W18"/>
  <c r="X18"/>
  <c r="Y18"/>
  <c r="AA18"/>
  <c r="D19"/>
  <c r="Z19" s="1"/>
  <c r="E19"/>
  <c r="F19"/>
  <c r="G19"/>
  <c r="H19"/>
  <c r="I19"/>
  <c r="J19"/>
  <c r="K19"/>
  <c r="L19"/>
  <c r="M19"/>
  <c r="N19"/>
  <c r="O19"/>
  <c r="P19"/>
  <c r="Q19"/>
  <c r="R19"/>
  <c r="S19"/>
  <c r="T19"/>
  <c r="U19"/>
  <c r="V19"/>
  <c r="W19"/>
  <c r="X19"/>
  <c r="Y19"/>
  <c r="AA19"/>
  <c r="D20"/>
  <c r="Z20" s="1"/>
  <c r="E20"/>
  <c r="F20"/>
  <c r="G20"/>
  <c r="H20"/>
  <c r="I20"/>
  <c r="J20"/>
  <c r="K20"/>
  <c r="L20"/>
  <c r="M20"/>
  <c r="N20"/>
  <c r="O20"/>
  <c r="P20"/>
  <c r="Q20"/>
  <c r="R20"/>
  <c r="S20"/>
  <c r="T20"/>
  <c r="U20"/>
  <c r="V20"/>
  <c r="W20"/>
  <c r="X20"/>
  <c r="Y20"/>
  <c r="AA20"/>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6"/>
  <c r="D4"/>
  <c r="D22" s="1"/>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AA4"/>
  <c r="D5"/>
  <c r="Z5" s="1"/>
  <c r="E5"/>
  <c r="F5"/>
  <c r="G5"/>
  <c r="H5"/>
  <c r="I5"/>
  <c r="J5"/>
  <c r="K5"/>
  <c r="L5"/>
  <c r="M5"/>
  <c r="N5"/>
  <c r="O5"/>
  <c r="P5"/>
  <c r="Q5"/>
  <c r="R5"/>
  <c r="S5"/>
  <c r="T5"/>
  <c r="U5"/>
  <c r="V5"/>
  <c r="W5"/>
  <c r="X5"/>
  <c r="Y5"/>
  <c r="AA5"/>
  <c r="D6"/>
  <c r="Z6" s="1"/>
  <c r="E6"/>
  <c r="F6"/>
  <c r="G6"/>
  <c r="H6"/>
  <c r="I6"/>
  <c r="J6"/>
  <c r="K6"/>
  <c r="L6"/>
  <c r="M6"/>
  <c r="N6"/>
  <c r="O6"/>
  <c r="P6"/>
  <c r="Q6"/>
  <c r="R6"/>
  <c r="S6"/>
  <c r="T6"/>
  <c r="U6"/>
  <c r="V6"/>
  <c r="W6"/>
  <c r="X6"/>
  <c r="Y6"/>
  <c r="AA6"/>
  <c r="D7"/>
  <c r="Z7" s="1"/>
  <c r="E7"/>
  <c r="F7"/>
  <c r="G7"/>
  <c r="H7"/>
  <c r="I7"/>
  <c r="J7"/>
  <c r="K7"/>
  <c r="L7"/>
  <c r="M7"/>
  <c r="N7"/>
  <c r="O7"/>
  <c r="P7"/>
  <c r="Q7"/>
  <c r="R7"/>
  <c r="S7"/>
  <c r="T7"/>
  <c r="U7"/>
  <c r="V7"/>
  <c r="W7"/>
  <c r="X7"/>
  <c r="Y7"/>
  <c r="AA7"/>
  <c r="D8"/>
  <c r="Z8" s="1"/>
  <c r="E8"/>
  <c r="F8"/>
  <c r="G8"/>
  <c r="H8"/>
  <c r="I8"/>
  <c r="J8"/>
  <c r="K8"/>
  <c r="L8"/>
  <c r="M8"/>
  <c r="N8"/>
  <c r="O8"/>
  <c r="P8"/>
  <c r="Q8"/>
  <c r="R8"/>
  <c r="S8"/>
  <c r="T8"/>
  <c r="U8"/>
  <c r="V8"/>
  <c r="W8"/>
  <c r="X8"/>
  <c r="Y8"/>
  <c r="AA8"/>
  <c r="D9"/>
  <c r="Z9" s="1"/>
  <c r="E9"/>
  <c r="F9"/>
  <c r="G9"/>
  <c r="H9"/>
  <c r="I9"/>
  <c r="J9"/>
  <c r="K9"/>
  <c r="L9"/>
  <c r="M9"/>
  <c r="N9"/>
  <c r="O9"/>
  <c r="P9"/>
  <c r="Q9"/>
  <c r="R9"/>
  <c r="S9"/>
  <c r="T9"/>
  <c r="U9"/>
  <c r="V9"/>
  <c r="W9"/>
  <c r="X9"/>
  <c r="Y9"/>
  <c r="AA9"/>
  <c r="D10"/>
  <c r="Z10" s="1"/>
  <c r="E10"/>
  <c r="F10"/>
  <c r="G10"/>
  <c r="H10"/>
  <c r="I10"/>
  <c r="J10"/>
  <c r="K10"/>
  <c r="L10"/>
  <c r="M10"/>
  <c r="N10"/>
  <c r="O10"/>
  <c r="P10"/>
  <c r="Q10"/>
  <c r="R10"/>
  <c r="S10"/>
  <c r="T10"/>
  <c r="U10"/>
  <c r="V10"/>
  <c r="W10"/>
  <c r="X10"/>
  <c r="Y10"/>
  <c r="AA10"/>
  <c r="D11"/>
  <c r="Z11" s="1"/>
  <c r="E11"/>
  <c r="F11"/>
  <c r="G11"/>
  <c r="H11"/>
  <c r="I11"/>
  <c r="J11"/>
  <c r="K11"/>
  <c r="L11"/>
  <c r="M11"/>
  <c r="N11"/>
  <c r="O11"/>
  <c r="P11"/>
  <c r="Q11"/>
  <c r="R11"/>
  <c r="S11"/>
  <c r="T11"/>
  <c r="U11"/>
  <c r="V11"/>
  <c r="W11"/>
  <c r="X11"/>
  <c r="Y11"/>
  <c r="AA11"/>
  <c r="D12"/>
  <c r="Z12" s="1"/>
  <c r="E12"/>
  <c r="F12"/>
  <c r="G12"/>
  <c r="H12"/>
  <c r="I12"/>
  <c r="J12"/>
  <c r="K12"/>
  <c r="L12"/>
  <c r="M12"/>
  <c r="N12"/>
  <c r="O12"/>
  <c r="P12"/>
  <c r="Q12"/>
  <c r="R12"/>
  <c r="S12"/>
  <c r="T12"/>
  <c r="U12"/>
  <c r="V12"/>
  <c r="W12"/>
  <c r="X12"/>
  <c r="Y12"/>
  <c r="AA12"/>
  <c r="D13"/>
  <c r="Z13" s="1"/>
  <c r="E13"/>
  <c r="F13"/>
  <c r="G13"/>
  <c r="H13"/>
  <c r="I13"/>
  <c r="J13"/>
  <c r="K13"/>
  <c r="L13"/>
  <c r="M13"/>
  <c r="N13"/>
  <c r="O13"/>
  <c r="P13"/>
  <c r="Q13"/>
  <c r="R13"/>
  <c r="S13"/>
  <c r="T13"/>
  <c r="U13"/>
  <c r="V13"/>
  <c r="W13"/>
  <c r="X13"/>
  <c r="Y13"/>
  <c r="AA13"/>
  <c r="D14"/>
  <c r="Z14" s="1"/>
  <c r="E14"/>
  <c r="F14"/>
  <c r="G14"/>
  <c r="H14"/>
  <c r="I14"/>
  <c r="J14"/>
  <c r="K14"/>
  <c r="L14"/>
  <c r="M14"/>
  <c r="N14"/>
  <c r="O14"/>
  <c r="P14"/>
  <c r="Q14"/>
  <c r="R14"/>
  <c r="S14"/>
  <c r="T14"/>
  <c r="U14"/>
  <c r="V14"/>
  <c r="W14"/>
  <c r="X14"/>
  <c r="Y14"/>
  <c r="AA14"/>
  <c r="D15"/>
  <c r="Z15" s="1"/>
  <c r="E15"/>
  <c r="F15"/>
  <c r="G15"/>
  <c r="H15"/>
  <c r="I15"/>
  <c r="J15"/>
  <c r="K15"/>
  <c r="L15"/>
  <c r="M15"/>
  <c r="N15"/>
  <c r="O15"/>
  <c r="P15"/>
  <c r="Q15"/>
  <c r="R15"/>
  <c r="S15"/>
  <c r="T15"/>
  <c r="U15"/>
  <c r="V15"/>
  <c r="W15"/>
  <c r="X15"/>
  <c r="Y15"/>
  <c r="AA15"/>
  <c r="D16"/>
  <c r="Z16" s="1"/>
  <c r="E16"/>
  <c r="F16"/>
  <c r="G16"/>
  <c r="H16"/>
  <c r="I16"/>
  <c r="J16"/>
  <c r="K16"/>
  <c r="L16"/>
  <c r="M16"/>
  <c r="N16"/>
  <c r="O16"/>
  <c r="P16"/>
  <c r="Q16"/>
  <c r="R16"/>
  <c r="S16"/>
  <c r="T16"/>
  <c r="U16"/>
  <c r="V16"/>
  <c r="W16"/>
  <c r="X16"/>
  <c r="Y16"/>
  <c r="AA16"/>
  <c r="D17"/>
  <c r="Z17" s="1"/>
  <c r="E17"/>
  <c r="F17"/>
  <c r="G17"/>
  <c r="H17"/>
  <c r="I17"/>
  <c r="J17"/>
  <c r="K17"/>
  <c r="L17"/>
  <c r="M17"/>
  <c r="N17"/>
  <c r="O17"/>
  <c r="P17"/>
  <c r="Q17"/>
  <c r="R17"/>
  <c r="S17"/>
  <c r="T17"/>
  <c r="U17"/>
  <c r="V17"/>
  <c r="W17"/>
  <c r="X17"/>
  <c r="Y17"/>
  <c r="AA17"/>
  <c r="D18"/>
  <c r="Z18" s="1"/>
  <c r="E18"/>
  <c r="F18"/>
  <c r="G18"/>
  <c r="H18"/>
  <c r="I18"/>
  <c r="J18"/>
  <c r="K18"/>
  <c r="L18"/>
  <c r="M18"/>
  <c r="N18"/>
  <c r="O18"/>
  <c r="P18"/>
  <c r="Q18"/>
  <c r="R18"/>
  <c r="S18"/>
  <c r="T18"/>
  <c r="U18"/>
  <c r="V18"/>
  <c r="W18"/>
  <c r="X18"/>
  <c r="Y18"/>
  <c r="AA18"/>
  <c r="D19"/>
  <c r="Z19" s="1"/>
  <c r="E19"/>
  <c r="F19"/>
  <c r="G19"/>
  <c r="H19"/>
  <c r="I19"/>
  <c r="J19"/>
  <c r="K19"/>
  <c r="L19"/>
  <c r="M19"/>
  <c r="N19"/>
  <c r="O19"/>
  <c r="P19"/>
  <c r="Q19"/>
  <c r="R19"/>
  <c r="S19"/>
  <c r="T19"/>
  <c r="U19"/>
  <c r="V19"/>
  <c r="W19"/>
  <c r="X19"/>
  <c r="Y19"/>
  <c r="AA19"/>
  <c r="D20"/>
  <c r="Z20" s="1"/>
  <c r="E20"/>
  <c r="F20"/>
  <c r="G20"/>
  <c r="H20"/>
  <c r="I20"/>
  <c r="J20"/>
  <c r="K20"/>
  <c r="L20"/>
  <c r="M20"/>
  <c r="N20"/>
  <c r="O20"/>
  <c r="P20"/>
  <c r="Q20"/>
  <c r="R20"/>
  <c r="S20"/>
  <c r="T20"/>
  <c r="U20"/>
  <c r="V20"/>
  <c r="W20"/>
  <c r="X20"/>
  <c r="Y20"/>
  <c r="AA20"/>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AA4" i="25"/>
  <c r="AA5"/>
  <c r="AA6"/>
  <c r="AA7"/>
  <c r="AA8"/>
  <c r="AA9"/>
  <c r="AA10"/>
  <c r="AA11"/>
  <c r="AA12"/>
  <c r="AA13"/>
  <c r="AA14"/>
  <c r="AA15"/>
  <c r="AA16"/>
  <c r="AA17"/>
  <c r="AA18"/>
  <c r="AA19"/>
  <c r="AA20"/>
  <c r="AA4" i="40"/>
  <c r="AA5"/>
  <c r="AA6"/>
  <c r="AA7"/>
  <c r="AA8"/>
  <c r="AA9"/>
  <c r="AA10"/>
  <c r="AA11"/>
  <c r="AA12"/>
  <c r="AA13"/>
  <c r="AA14"/>
  <c r="AA15"/>
  <c r="AA16"/>
  <c r="AA17"/>
  <c r="AA18"/>
  <c r="AA19"/>
  <c r="AA20"/>
  <c r="AA4" i="16"/>
  <c r="AA5"/>
  <c r="AA6"/>
  <c r="AA7"/>
  <c r="AA8"/>
  <c r="AA9"/>
  <c r="AA10"/>
  <c r="AA11"/>
  <c r="AA12"/>
  <c r="AA13"/>
  <c r="AA14"/>
  <c r="AA15"/>
  <c r="AA16"/>
  <c r="AA17"/>
  <c r="AA18"/>
  <c r="AA19"/>
  <c r="AA20"/>
  <c r="AA4" i="12"/>
  <c r="AA5"/>
  <c r="AA6"/>
  <c r="AA7"/>
  <c r="AA8"/>
  <c r="AA9"/>
  <c r="AA10"/>
  <c r="AA11"/>
  <c r="AA12"/>
  <c r="AA13"/>
  <c r="AA14"/>
  <c r="AA15"/>
  <c r="AA16"/>
  <c r="AA17"/>
  <c r="AA18"/>
  <c r="AA19"/>
  <c r="AA20"/>
  <c r="AE21"/>
  <c r="AE22"/>
  <c r="Z21"/>
  <c r="AA4" i="28"/>
  <c r="AA5"/>
  <c r="AA6"/>
  <c r="AA7"/>
  <c r="AA8"/>
  <c r="AA9"/>
  <c r="AA10"/>
  <c r="AA11"/>
  <c r="AA12"/>
  <c r="AA13"/>
  <c r="AA14"/>
  <c r="AA15"/>
  <c r="AA16"/>
  <c r="AA17"/>
  <c r="AA18"/>
  <c r="AA19"/>
  <c r="AA20"/>
  <c r="AA4" i="35"/>
  <c r="AA5"/>
  <c r="AA6"/>
  <c r="AA7"/>
  <c r="AA8"/>
  <c r="AA9"/>
  <c r="AA10"/>
  <c r="AA11"/>
  <c r="AA12"/>
  <c r="AA13"/>
  <c r="AA14"/>
  <c r="AA15"/>
  <c r="AA16"/>
  <c r="AA17"/>
  <c r="AA18"/>
  <c r="AA19"/>
  <c r="AA20"/>
  <c r="AA4" i="14"/>
  <c r="AA5"/>
  <c r="AA6"/>
  <c r="AA7"/>
  <c r="AA8"/>
  <c r="AA9"/>
  <c r="AA10"/>
  <c r="AA11"/>
  <c r="AA12"/>
  <c r="AA13"/>
  <c r="AA14"/>
  <c r="AA15"/>
  <c r="AA16"/>
  <c r="AA17"/>
  <c r="AA18"/>
  <c r="AA19"/>
  <c r="AA20"/>
  <c r="Z21"/>
  <c r="AA4" i="30"/>
  <c r="AA5"/>
  <c r="AA6"/>
  <c r="AA7"/>
  <c r="AA8"/>
  <c r="AA9"/>
  <c r="AA10"/>
  <c r="AA11"/>
  <c r="AA12"/>
  <c r="AA13"/>
  <c r="AA14"/>
  <c r="AA15"/>
  <c r="AA16"/>
  <c r="AA17"/>
  <c r="AA18"/>
  <c r="AA19"/>
  <c r="AA20"/>
  <c r="Z21"/>
  <c r="AA4" i="37"/>
  <c r="AA5"/>
  <c r="AA6"/>
  <c r="AA7"/>
  <c r="AA8"/>
  <c r="AA9"/>
  <c r="AA10"/>
  <c r="AA11"/>
  <c r="AA12"/>
  <c r="AA13"/>
  <c r="AA14"/>
  <c r="AA15"/>
  <c r="AA16"/>
  <c r="AA17"/>
  <c r="AA18"/>
  <c r="AA19"/>
  <c r="AA20"/>
  <c r="AA4" i="21"/>
  <c r="AA5"/>
  <c r="AA6"/>
  <c r="AA7"/>
  <c r="AA8"/>
  <c r="AA9"/>
  <c r="AA10"/>
  <c r="AA11"/>
  <c r="AA12"/>
  <c r="AA13"/>
  <c r="AA14"/>
  <c r="AA15"/>
  <c r="AA16"/>
  <c r="AA17"/>
  <c r="AA18"/>
  <c r="AA19"/>
  <c r="AA20"/>
  <c r="Z46" i="10"/>
  <c r="Z32"/>
  <c r="Z26" i="45"/>
  <c r="Z15" i="10"/>
  <c r="Z27"/>
  <c r="Z38"/>
  <c r="Z21" i="25"/>
  <c r="Z9" i="10"/>
  <c r="Z26"/>
  <c r="Z30"/>
  <c r="Z13"/>
  <c r="Z17"/>
  <c r="N9" i="19" s="1"/>
  <c r="Z37" i="10"/>
  <c r="Z2"/>
  <c r="Z25"/>
  <c r="A1" i="9"/>
  <c r="C1"/>
  <c r="E1"/>
  <c r="G1"/>
  <c r="I1"/>
  <c r="K1"/>
  <c r="M1"/>
  <c r="Q1"/>
  <c r="S1"/>
  <c r="U1"/>
  <c r="A2"/>
  <c r="C2"/>
  <c r="E2"/>
  <c r="G2"/>
  <c r="I2"/>
  <c r="K2"/>
  <c r="M2"/>
  <c r="Q2"/>
  <c r="S2"/>
  <c r="U2"/>
  <c r="A3"/>
  <c r="C3"/>
  <c r="E3"/>
  <c r="G3"/>
  <c r="I3"/>
  <c r="K3"/>
  <c r="M3"/>
  <c r="Q3"/>
  <c r="S3"/>
  <c r="A4"/>
  <c r="C4"/>
  <c r="E4"/>
  <c r="G4"/>
  <c r="I4"/>
  <c r="K4"/>
  <c r="M4"/>
  <c r="Q4"/>
  <c r="S4"/>
  <c r="U4"/>
  <c r="A5"/>
  <c r="C5"/>
  <c r="E5"/>
  <c r="G5"/>
  <c r="I5"/>
  <c r="K5"/>
  <c r="M5"/>
  <c r="Q5"/>
  <c r="S5"/>
  <c r="U5"/>
  <c r="A6"/>
  <c r="C6"/>
  <c r="E6"/>
  <c r="G6"/>
  <c r="I6"/>
  <c r="K6"/>
  <c r="M6"/>
  <c r="Q6"/>
  <c r="S6"/>
  <c r="U6"/>
  <c r="A7"/>
  <c r="C7"/>
  <c r="E7"/>
  <c r="F7" s="1"/>
  <c r="G7"/>
  <c r="H7" s="1"/>
  <c r="I7"/>
  <c r="K7"/>
  <c r="M7"/>
  <c r="Q7"/>
  <c r="S7"/>
  <c r="U7"/>
  <c r="A8"/>
  <c r="C8"/>
  <c r="E8"/>
  <c r="G8"/>
  <c r="I8"/>
  <c r="K8"/>
  <c r="M8"/>
  <c r="Q8"/>
  <c r="S8"/>
  <c r="U8"/>
  <c r="A9"/>
  <c r="C9"/>
  <c r="E9"/>
  <c r="G9"/>
  <c r="I9"/>
  <c r="K9"/>
  <c r="M9"/>
  <c r="Q9"/>
  <c r="S9"/>
  <c r="U9"/>
  <c r="A10"/>
  <c r="C10"/>
  <c r="E10"/>
  <c r="G10"/>
  <c r="I10"/>
  <c r="K10"/>
  <c r="M10"/>
  <c r="Q10"/>
  <c r="S10"/>
  <c r="U10"/>
  <c r="V10" s="1"/>
  <c r="A11"/>
  <c r="C11"/>
  <c r="E11"/>
  <c r="G11"/>
  <c r="I11"/>
  <c r="K11"/>
  <c r="M11"/>
  <c r="Q11"/>
  <c r="S11"/>
  <c r="U11"/>
  <c r="A12"/>
  <c r="C12"/>
  <c r="E12"/>
  <c r="G12"/>
  <c r="I12"/>
  <c r="K12"/>
  <c r="M12"/>
  <c r="Q12"/>
  <c r="S12"/>
  <c r="U12"/>
  <c r="A13"/>
  <c r="C13"/>
  <c r="E13"/>
  <c r="G13"/>
  <c r="I13"/>
  <c r="K13"/>
  <c r="M13"/>
  <c r="Q13"/>
  <c r="S13"/>
  <c r="U13"/>
  <c r="A14"/>
  <c r="C14"/>
  <c r="E14"/>
  <c r="G14"/>
  <c r="I14"/>
  <c r="K14"/>
  <c r="M14"/>
  <c r="N14" s="1"/>
  <c r="Q14"/>
  <c r="S14"/>
  <c r="T14" s="1"/>
  <c r="U14"/>
  <c r="A15"/>
  <c r="C15"/>
  <c r="E15"/>
  <c r="G15"/>
  <c r="I15"/>
  <c r="K15"/>
  <c r="M15"/>
  <c r="Q15"/>
  <c r="S15"/>
  <c r="U15"/>
  <c r="V15" s="1"/>
  <c r="A16"/>
  <c r="B16" s="1"/>
  <c r="C16"/>
  <c r="E16"/>
  <c r="G16"/>
  <c r="I16"/>
  <c r="K16"/>
  <c r="M16"/>
  <c r="Q16"/>
  <c r="S16"/>
  <c r="U16"/>
  <c r="A17"/>
  <c r="C17"/>
  <c r="E17"/>
  <c r="G17"/>
  <c r="I17"/>
  <c r="K17"/>
  <c r="M17"/>
  <c r="Q17"/>
  <c r="S17"/>
  <c r="U17"/>
  <c r="A18"/>
  <c r="C18"/>
  <c r="E18"/>
  <c r="F18" s="1"/>
  <c r="G18"/>
  <c r="I18"/>
  <c r="K18"/>
  <c r="M18"/>
  <c r="Q18"/>
  <c r="S18"/>
  <c r="U18"/>
  <c r="A19"/>
  <c r="C19"/>
  <c r="E19"/>
  <c r="G19"/>
  <c r="I19"/>
  <c r="J19" s="1"/>
  <c r="K19"/>
  <c r="M19"/>
  <c r="Q19"/>
  <c r="S19"/>
  <c r="T19" s="1"/>
  <c r="U19"/>
  <c r="A20"/>
  <c r="C20"/>
  <c r="E20"/>
  <c r="G20"/>
  <c r="I20"/>
  <c r="K20"/>
  <c r="M20"/>
  <c r="Q20"/>
  <c r="S20"/>
  <c r="V20"/>
  <c r="A21"/>
  <c r="C21"/>
  <c r="E21"/>
  <c r="G21"/>
  <c r="I21"/>
  <c r="K21"/>
  <c r="M21"/>
  <c r="Q21"/>
  <c r="S21"/>
  <c r="A22"/>
  <c r="C22"/>
  <c r="E22"/>
  <c r="G22"/>
  <c r="I22"/>
  <c r="K22"/>
  <c r="M22"/>
  <c r="Q22"/>
  <c r="S22"/>
  <c r="A23"/>
  <c r="C23"/>
  <c r="E23"/>
  <c r="G23"/>
  <c r="I23"/>
  <c r="K23"/>
  <c r="M23"/>
  <c r="Q23"/>
  <c r="S23"/>
  <c r="A24"/>
  <c r="B24" s="1"/>
  <c r="C24"/>
  <c r="E24"/>
  <c r="G24"/>
  <c r="I24"/>
  <c r="J24" s="1"/>
  <c r="K24"/>
  <c r="M24"/>
  <c r="Q24"/>
  <c r="S24"/>
  <c r="A25"/>
  <c r="C25"/>
  <c r="E25"/>
  <c r="G25"/>
  <c r="I25"/>
  <c r="K25"/>
  <c r="M25"/>
  <c r="Q25"/>
  <c r="R25" s="1"/>
  <c r="S25"/>
  <c r="A26"/>
  <c r="C26"/>
  <c r="E26"/>
  <c r="F26" s="1"/>
  <c r="G26"/>
  <c r="I26"/>
  <c r="K26"/>
  <c r="L26" s="1"/>
  <c r="M26"/>
  <c r="Q26"/>
  <c r="S26"/>
  <c r="C21" i="2"/>
  <c r="AC21" s="1"/>
  <c r="E21"/>
  <c r="AE21" s="1"/>
  <c r="AD15"/>
  <c r="AD16"/>
  <c r="AD17"/>
  <c r="AD18"/>
  <c r="AB48"/>
  <c r="Z11" i="10"/>
  <c r="Z20"/>
  <c r="N17" i="19" s="1"/>
  <c r="T22" i="25"/>
  <c r="Z8" i="10"/>
  <c r="H4" i="9"/>
  <c r="Z21" i="40"/>
  <c r="M22" i="16"/>
  <c r="E3" i="17"/>
  <c r="E3" i="15"/>
  <c r="E3" i="33"/>
  <c r="E3" i="34"/>
  <c r="E3" i="32"/>
  <c r="E3" i="36"/>
  <c r="Z45" i="10"/>
  <c r="F3" i="34"/>
  <c r="F3" i="32"/>
  <c r="F3" i="36"/>
  <c r="F3" i="17"/>
  <c r="F3" i="15"/>
  <c r="F3" i="33"/>
  <c r="F21" i="2"/>
  <c r="AF21" s="1"/>
  <c r="G3" i="17"/>
  <c r="G3" i="15"/>
  <c r="G3" i="33"/>
  <c r="G3" i="34"/>
  <c r="G3" i="32"/>
  <c r="G3" i="36"/>
  <c r="X3" i="34"/>
  <c r="X3" i="32"/>
  <c r="X3" i="36"/>
  <c r="X3" i="17"/>
  <c r="X3" i="15"/>
  <c r="X3" i="33"/>
  <c r="F9" i="9"/>
  <c r="F36" i="2"/>
  <c r="F49" s="1"/>
  <c r="T22" i="16"/>
  <c r="W22" i="40"/>
  <c r="S22" i="12"/>
  <c r="T22"/>
  <c r="U22" i="16"/>
  <c r="U22" i="40"/>
  <c r="U22" i="25"/>
  <c r="Z39" i="10"/>
  <c r="W22" i="25"/>
  <c r="X22"/>
  <c r="X22" i="40"/>
  <c r="U22" i="35"/>
  <c r="V22" i="28"/>
  <c r="V22" i="40"/>
  <c r="S22" i="16"/>
  <c r="C36" i="2"/>
  <c r="AC36" s="1"/>
  <c r="S22" i="28"/>
  <c r="V22" i="30"/>
  <c r="X21" i="2"/>
  <c r="AX21" s="1"/>
  <c r="X36"/>
  <c r="AX36" s="1"/>
  <c r="Z29" i="10"/>
  <c r="Z33"/>
  <c r="Z28"/>
  <c r="I22" i="16"/>
  <c r="P22"/>
  <c r="Q22" i="12"/>
  <c r="Z21" i="28"/>
  <c r="H22" i="25"/>
  <c r="L22" i="12"/>
  <c r="O22" i="25"/>
  <c r="P22" i="28"/>
  <c r="R22" i="14"/>
  <c r="Z16" i="10"/>
  <c r="F22" i="28"/>
  <c r="M22" i="14"/>
  <c r="Z14" i="10"/>
  <c r="Z7"/>
  <c r="D22" i="25"/>
  <c r="W22" i="12"/>
  <c r="Q22" i="35"/>
  <c r="F22" i="30"/>
  <c r="W22" i="28"/>
  <c r="V22" i="16"/>
  <c r="V22" i="25"/>
  <c r="J22" i="35"/>
  <c r="X22" i="28"/>
  <c r="W22" i="16"/>
  <c r="X22" i="37"/>
  <c r="Z21"/>
  <c r="M22" i="30"/>
  <c r="F22" i="37"/>
  <c r="Q22" i="28"/>
  <c r="M22" i="40"/>
  <c r="L22" i="25"/>
  <c r="G21" i="2"/>
  <c r="AG21" s="1"/>
  <c r="G36"/>
  <c r="AG36" s="1"/>
  <c r="K22" i="12"/>
  <c r="C18" i="19"/>
  <c r="J23"/>
  <c r="C21"/>
  <c r="D20"/>
  <c r="B3"/>
  <c r="F5"/>
  <c r="K20"/>
  <c r="B10"/>
  <c r="C4"/>
  <c r="F21"/>
  <c r="D21"/>
  <c r="D11"/>
  <c r="J3"/>
  <c r="I11"/>
  <c r="C20"/>
  <c r="H3"/>
  <c r="G5"/>
  <c r="L6"/>
  <c r="L12"/>
  <c r="H4"/>
  <c r="H11"/>
  <c r="B4" i="2"/>
  <c r="F20" i="19"/>
  <c r="L8"/>
  <c r="D15"/>
  <c r="K8"/>
  <c r="H25"/>
  <c r="B3" i="2"/>
  <c r="G11" i="19"/>
  <c r="B20"/>
  <c r="C5"/>
  <c r="K15"/>
  <c r="F12"/>
  <c r="D4" i="2"/>
  <c r="C11" i="19"/>
  <c r="F18"/>
  <c r="K12"/>
  <c r="D5"/>
  <c r="J15"/>
  <c r="C3"/>
  <c r="H6"/>
  <c r="C13"/>
  <c r="C8"/>
  <c r="D12"/>
  <c r="L11"/>
  <c r="G4"/>
  <c r="I12"/>
  <c r="D3"/>
  <c r="G26"/>
  <c r="H26"/>
  <c r="L18"/>
  <c r="J4"/>
  <c r="J26"/>
  <c r="L15"/>
  <c r="I5"/>
  <c r="F26"/>
  <c r="J13"/>
  <c r="G18"/>
  <c r="F6"/>
  <c r="F3"/>
  <c r="C10"/>
  <c r="G3"/>
  <c r="B18"/>
  <c r="F8"/>
  <c r="F13"/>
  <c r="D4"/>
  <c r="G13"/>
  <c r="J5"/>
  <c r="I4"/>
  <c r="D8"/>
  <c r="I31"/>
  <c r="C15"/>
  <c r="I3"/>
  <c r="I8"/>
  <c r="F25"/>
  <c r="L5"/>
  <c r="B4"/>
  <c r="J8"/>
  <c r="G16"/>
  <c r="D6"/>
  <c r="H5"/>
  <c r="G24"/>
  <c r="L4"/>
  <c r="D22" i="15" l="1"/>
  <c r="Z4" i="17"/>
  <c r="Z22" s="1"/>
  <c r="D22" i="34"/>
  <c r="Z4" i="36"/>
  <c r="Z22" s="1"/>
  <c r="Z4" i="32"/>
  <c r="Z22" s="1"/>
  <c r="Z4" i="33"/>
  <c r="Z22" s="1"/>
  <c r="N11" i="19"/>
  <c r="N15"/>
  <c r="N13"/>
  <c r="N34"/>
  <c r="N8"/>
  <c r="N25"/>
  <c r="N12"/>
  <c r="N2"/>
  <c r="N14"/>
  <c r="D25" i="21"/>
  <c r="D24"/>
  <c r="D26"/>
  <c r="H25"/>
  <c r="H24"/>
  <c r="H26"/>
  <c r="G24"/>
  <c r="G26"/>
  <c r="G25"/>
  <c r="F25"/>
  <c r="F24"/>
  <c r="F26"/>
  <c r="N7" i="19"/>
  <c r="P14" i="9"/>
  <c r="Z24" i="12"/>
  <c r="P15" i="9"/>
  <c r="X49" i="2"/>
  <c r="Z10" i="10"/>
  <c r="N5" i="19" s="1"/>
  <c r="P4" i="9"/>
  <c r="Z34" i="10"/>
  <c r="N20" i="19" s="1"/>
  <c r="P6" i="9"/>
  <c r="Z4" i="10"/>
  <c r="P19" i="9"/>
  <c r="Z47" i="10"/>
  <c r="P12" i="9"/>
  <c r="Z41" i="10"/>
  <c r="P16" i="9"/>
  <c r="Z24" i="14"/>
  <c r="P10" i="9"/>
  <c r="Z40" i="10"/>
  <c r="N26" i="19" s="1"/>
  <c r="P17" i="9"/>
  <c r="Z3" i="10"/>
  <c r="N32" i="19" s="1"/>
  <c r="P13" i="9"/>
  <c r="P24"/>
  <c r="L8"/>
  <c r="P8"/>
  <c r="B7"/>
  <c r="F11"/>
  <c r="T4"/>
  <c r="J10"/>
  <c r="J5"/>
  <c r="L14"/>
  <c r="Z18" i="10"/>
  <c r="L6" i="9"/>
  <c r="L24"/>
  <c r="V16"/>
  <c r="V25"/>
  <c r="H25"/>
  <c r="D24"/>
  <c r="L18"/>
  <c r="L15"/>
  <c r="L10"/>
  <c r="V8"/>
  <c r="L7"/>
  <c r="V5"/>
  <c r="L5"/>
  <c r="V6"/>
  <c r="D6"/>
  <c r="D16"/>
  <c r="Z19" i="10"/>
  <c r="J12" i="9"/>
  <c r="Z22" i="10"/>
  <c r="J25" i="9"/>
  <c r="B25"/>
  <c r="F24"/>
  <c r="T20"/>
  <c r="F20"/>
  <c r="F19"/>
  <c r="T18"/>
  <c r="J17"/>
  <c r="T15"/>
  <c r="B14"/>
  <c r="T13"/>
  <c r="N13"/>
  <c r="T12"/>
  <c r="B12"/>
  <c r="T11"/>
  <c r="T10"/>
  <c r="N10"/>
  <c r="T8"/>
  <c r="J7"/>
  <c r="F6"/>
  <c r="B6"/>
  <c r="T5"/>
  <c r="Z6" i="10"/>
  <c r="N5" i="9"/>
  <c r="Z48" i="10"/>
  <c r="T26" i="9"/>
  <c r="J26"/>
  <c r="N25"/>
  <c r="N24"/>
  <c r="T17"/>
  <c r="N17"/>
  <c r="F14"/>
  <c r="F10"/>
  <c r="F17"/>
  <c r="F13"/>
  <c r="B26"/>
  <c r="T25"/>
  <c r="F25"/>
  <c r="F16"/>
  <c r="J13"/>
  <c r="T6"/>
  <c r="V7"/>
  <c r="H19"/>
  <c r="Z36" i="10"/>
  <c r="N37" i="19" s="1"/>
  <c r="H6" i="9"/>
  <c r="H13"/>
  <c r="V4"/>
  <c r="B20"/>
  <c r="T9"/>
  <c r="T7"/>
  <c r="N7"/>
  <c r="Z25" i="40"/>
  <c r="Z25" i="14"/>
  <c r="Z25" i="37"/>
  <c r="Z25" i="12"/>
  <c r="Z24" i="16"/>
  <c r="Z24" i="37"/>
  <c r="Z26" i="35"/>
  <c r="Z5" i="10"/>
  <c r="N3" i="19" s="1"/>
  <c r="Z24" i="45"/>
  <c r="Z21" i="10"/>
  <c r="N16" i="19" s="1"/>
  <c r="Z25" i="45"/>
  <c r="N26" i="9"/>
  <c r="T24"/>
  <c r="T16"/>
  <c r="F12"/>
  <c r="F4"/>
  <c r="D5"/>
  <c r="R24"/>
  <c r="V12"/>
  <c r="L25"/>
  <c r="L4"/>
  <c r="F5"/>
  <c r="V26"/>
  <c r="R26"/>
  <c r="H26"/>
  <c r="D26"/>
  <c r="D25"/>
  <c r="V24"/>
  <c r="H24"/>
  <c r="L20"/>
  <c r="V19"/>
  <c r="L19"/>
  <c r="V18"/>
  <c r="V17"/>
  <c r="L17"/>
  <c r="V14"/>
  <c r="V13"/>
  <c r="L13"/>
  <c r="L12"/>
  <c r="V11"/>
  <c r="L11"/>
  <c r="V9"/>
  <c r="L9"/>
  <c r="Z25" i="16"/>
  <c r="Z25" i="25"/>
  <c r="Z25" i="35"/>
  <c r="Z25" i="30"/>
  <c r="Z24" i="40"/>
  <c r="Z24" i="28"/>
  <c r="Z24" i="25"/>
  <c r="Z24" i="30"/>
  <c r="Z26" i="12"/>
  <c r="Z25" i="28"/>
  <c r="L16" i="9"/>
  <c r="F15"/>
  <c r="F8"/>
  <c r="Z26" i="14"/>
  <c r="Z26" i="40"/>
  <c r="Z26" i="16"/>
  <c r="Z26" i="28"/>
  <c r="Z26" i="25"/>
  <c r="Z26" i="37"/>
  <c r="Z24" i="35"/>
  <c r="Z26" i="30"/>
  <c r="E22" i="21"/>
  <c r="AD14" i="2"/>
  <c r="D6" i="21"/>
  <c r="D8"/>
  <c r="D10"/>
  <c r="D12"/>
  <c r="D14"/>
  <c r="D16"/>
  <c r="D18"/>
  <c r="D20"/>
  <c r="D5"/>
  <c r="D9"/>
  <c r="D15"/>
  <c r="D19"/>
  <c r="D7"/>
  <c r="D11"/>
  <c r="D13"/>
  <c r="D17"/>
  <c r="D4"/>
  <c r="H5"/>
  <c r="H7"/>
  <c r="H9"/>
  <c r="H11"/>
  <c r="H13"/>
  <c r="H15"/>
  <c r="H17"/>
  <c r="H19"/>
  <c r="H4"/>
  <c r="H6"/>
  <c r="H8"/>
  <c r="H10"/>
  <c r="H12"/>
  <c r="H14"/>
  <c r="H16"/>
  <c r="H18"/>
  <c r="H20"/>
  <c r="G4"/>
  <c r="G6"/>
  <c r="G8"/>
  <c r="G10"/>
  <c r="G12"/>
  <c r="G14"/>
  <c r="G16"/>
  <c r="G18"/>
  <c r="G20"/>
  <c r="G5"/>
  <c r="G7"/>
  <c r="G9"/>
  <c r="G11"/>
  <c r="G13"/>
  <c r="G15"/>
  <c r="G17"/>
  <c r="G19"/>
  <c r="F5"/>
  <c r="F7"/>
  <c r="F9"/>
  <c r="F11"/>
  <c r="F13"/>
  <c r="F15"/>
  <c r="F17"/>
  <c r="F19"/>
  <c r="F4"/>
  <c r="F6"/>
  <c r="F8"/>
  <c r="F10"/>
  <c r="F12"/>
  <c r="F14"/>
  <c r="F16"/>
  <c r="F18"/>
  <c r="F20"/>
  <c r="J22" i="14"/>
  <c r="H22" i="12"/>
  <c r="N22" i="25"/>
  <c r="K22" i="40"/>
  <c r="O22" i="35"/>
  <c r="N22" i="14"/>
  <c r="N22" i="40"/>
  <c r="R8" i="9"/>
  <c r="Z35" i="10"/>
  <c r="R15" i="9"/>
  <c r="R11"/>
  <c r="N20"/>
  <c r="N19"/>
  <c r="B19"/>
  <c r="N18"/>
  <c r="B18"/>
  <c r="B17"/>
  <c r="N16"/>
  <c r="N15"/>
  <c r="B15"/>
  <c r="B13"/>
  <c r="N12"/>
  <c r="N11"/>
  <c r="B11"/>
  <c r="B10"/>
  <c r="N9"/>
  <c r="B9"/>
  <c r="N8"/>
  <c r="B8"/>
  <c r="N6"/>
  <c r="B5"/>
  <c r="N4"/>
  <c r="B4"/>
  <c r="R14"/>
  <c r="J20"/>
  <c r="J18"/>
  <c r="J16"/>
  <c r="J15"/>
  <c r="J14"/>
  <c r="J11"/>
  <c r="J9"/>
  <c r="J8"/>
  <c r="J6"/>
  <c r="J4"/>
  <c r="Z14" i="40"/>
  <c r="Z10"/>
  <c r="Z8"/>
  <c r="Z15" i="16"/>
  <c r="Z13"/>
  <c r="Z11"/>
  <c r="Z7"/>
  <c r="Z5"/>
  <c r="Z16" i="28"/>
  <c r="Z10"/>
  <c r="Z8"/>
  <c r="Z15" i="14"/>
  <c r="Z18" i="25"/>
  <c r="Z16"/>
  <c r="Z12"/>
  <c r="Z10"/>
  <c r="Z11" i="37"/>
  <c r="Z18" i="30"/>
  <c r="D14" i="9"/>
  <c r="Z13" i="12"/>
  <c r="Z8" i="25"/>
  <c r="Z16" i="30"/>
  <c r="H22" i="40"/>
  <c r="Z16"/>
  <c r="D13" i="9"/>
  <c r="D4"/>
  <c r="Z19" i="16"/>
  <c r="R4" i="9"/>
  <c r="R20"/>
  <c r="H20"/>
  <c r="D20"/>
  <c r="R19"/>
  <c r="D19"/>
  <c r="R18"/>
  <c r="H18"/>
  <c r="D18"/>
  <c r="R17"/>
  <c r="H17"/>
  <c r="D17"/>
  <c r="R16"/>
  <c r="H16"/>
  <c r="H15"/>
  <c r="D15"/>
  <c r="H14"/>
  <c r="R13"/>
  <c r="R12"/>
  <c r="H12"/>
  <c r="D12"/>
  <c r="H11"/>
  <c r="D11"/>
  <c r="R10"/>
  <c r="H10"/>
  <c r="D10"/>
  <c r="R9"/>
  <c r="H9"/>
  <c r="D9"/>
  <c r="H8"/>
  <c r="D8"/>
  <c r="R7"/>
  <c r="D7"/>
  <c r="R6"/>
  <c r="R5"/>
  <c r="H5"/>
  <c r="Z19" i="40"/>
  <c r="Z13"/>
  <c r="Z11"/>
  <c r="Z5"/>
  <c r="Z14" i="16"/>
  <c r="Z10"/>
  <c r="Z17" i="28"/>
  <c r="Z7"/>
  <c r="Z5"/>
  <c r="Z19" i="25"/>
  <c r="Z7"/>
  <c r="Z10" i="37"/>
  <c r="Z19" i="35"/>
  <c r="Z5"/>
  <c r="Z18" i="12"/>
  <c r="Z16"/>
  <c r="Z14"/>
  <c r="Z10"/>
  <c r="Z8"/>
  <c r="Z6"/>
  <c r="Z7" i="30"/>
  <c r="Z20" i="40"/>
  <c r="Z20" i="25"/>
  <c r="O22" i="40"/>
  <c r="Z9" i="35"/>
  <c r="Z15" i="28"/>
  <c r="R22"/>
  <c r="D22" i="30"/>
  <c r="I22"/>
  <c r="O22"/>
  <c r="Z13" i="25"/>
  <c r="F22" i="40"/>
  <c r="G22" i="37"/>
  <c r="Z17" i="16"/>
  <c r="G22" i="28"/>
  <c r="Z18"/>
  <c r="J22" i="12"/>
  <c r="Z15" i="40"/>
  <c r="M22" i="37"/>
  <c r="Z7"/>
  <c r="U22"/>
  <c r="K22" i="35"/>
  <c r="J22" i="37"/>
  <c r="R22" i="16"/>
  <c r="O22" i="12"/>
  <c r="Z9"/>
  <c r="J22" i="40"/>
  <c r="J22" i="28"/>
  <c r="Z8" i="14"/>
  <c r="Z5" i="30"/>
  <c r="Z9"/>
  <c r="Z6" i="37"/>
  <c r="Q22" i="16"/>
  <c r="J22"/>
  <c r="N22"/>
  <c r="Q22" i="40"/>
  <c r="Z11" i="25"/>
  <c r="L22" i="35"/>
  <c r="R22" i="25"/>
  <c r="Z6" i="28"/>
  <c r="D22" i="16"/>
  <c r="I22" i="25"/>
  <c r="P22" i="35"/>
  <c r="Z14" i="30"/>
  <c r="Z13" i="35"/>
  <c r="Z11" i="12"/>
  <c r="G22" i="14"/>
  <c r="I22" i="37"/>
  <c r="R22" i="12"/>
  <c r="F22"/>
  <c r="H22" i="16"/>
  <c r="F22" i="14"/>
  <c r="M22" i="28"/>
  <c r="Z14" i="37"/>
  <c r="Y22"/>
  <c r="Z10" i="35"/>
  <c r="F22"/>
  <c r="N22" i="12"/>
  <c r="D22" i="35"/>
  <c r="J22" i="30"/>
  <c r="Z19" i="37"/>
  <c r="Z4" i="25"/>
  <c r="G22" i="40"/>
  <c r="Z9" i="16"/>
  <c r="M22" i="12"/>
  <c r="I22" i="40"/>
  <c r="H22" i="28"/>
  <c r="Z18" i="37"/>
  <c r="Z16"/>
  <c r="Z8"/>
  <c r="Z5"/>
  <c r="V22"/>
  <c r="T22"/>
  <c r="R22"/>
  <c r="O22"/>
  <c r="L22"/>
  <c r="Z12" i="30"/>
  <c r="X22"/>
  <c r="T22"/>
  <c r="R22"/>
  <c r="L22"/>
  <c r="Z19" i="14"/>
  <c r="Z17"/>
  <c r="Z14"/>
  <c r="Z13"/>
  <c r="Z12"/>
  <c r="Z10"/>
  <c r="Z7"/>
  <c r="Z5"/>
  <c r="X22"/>
  <c r="V22"/>
  <c r="T22"/>
  <c r="Q22"/>
  <c r="L22"/>
  <c r="Z18" i="35"/>
  <c r="Z12"/>
  <c r="Z7"/>
  <c r="Z6"/>
  <c r="W22"/>
  <c r="S22"/>
  <c r="N22"/>
  <c r="Z13" i="28"/>
  <c r="T22"/>
  <c r="O22"/>
  <c r="K22"/>
  <c r="Z19" i="12"/>
  <c r="Z17"/>
  <c r="Z15"/>
  <c r="X22"/>
  <c r="V22"/>
  <c r="Z18" i="16"/>
  <c r="Z12"/>
  <c r="Z8"/>
  <c r="Z6"/>
  <c r="X22"/>
  <c r="O22"/>
  <c r="K22"/>
  <c r="G22"/>
  <c r="Z17" i="40"/>
  <c r="Z9"/>
  <c r="Z7"/>
  <c r="S22"/>
  <c r="Z17" i="25"/>
  <c r="Z14"/>
  <c r="Z5"/>
  <c r="N22" i="28"/>
  <c r="G22" i="35"/>
  <c r="M22"/>
  <c r="Z16"/>
  <c r="Z6" i="14"/>
  <c r="Z9"/>
  <c r="G22" i="30"/>
  <c r="K22"/>
  <c r="Z10"/>
  <c r="Z17"/>
  <c r="H22" i="37"/>
  <c r="P22"/>
  <c r="F22" i="25"/>
  <c r="H22" i="35"/>
  <c r="J22" i="25"/>
  <c r="M22"/>
  <c r="I22" i="35"/>
  <c r="H22" i="14"/>
  <c r="P22"/>
  <c r="H22" i="30"/>
  <c r="P22"/>
  <c r="D22" i="37"/>
  <c r="K22"/>
  <c r="F22" i="16"/>
  <c r="Z18" i="40"/>
  <c r="Z11" i="28"/>
  <c r="Z5" i="12"/>
  <c r="D22" i="40"/>
  <c r="G22" i="25"/>
  <c r="K22"/>
  <c r="P22" i="40"/>
  <c r="Z4" i="14"/>
  <c r="D22" i="12"/>
  <c r="I22" i="14"/>
  <c r="I22" i="12"/>
  <c r="P22"/>
  <c r="G22"/>
  <c r="P22" i="25"/>
  <c r="Z17" i="37"/>
  <c r="Z15"/>
  <c r="Z13"/>
  <c r="Z12"/>
  <c r="Z9"/>
  <c r="W22"/>
  <c r="S22"/>
  <c r="Q22"/>
  <c r="N22"/>
  <c r="Z19" i="30"/>
  <c r="Z15"/>
  <c r="Z13"/>
  <c r="Z11"/>
  <c r="Z8"/>
  <c r="Z6"/>
  <c r="W22"/>
  <c r="U22"/>
  <c r="S22"/>
  <c r="Q22"/>
  <c r="N22"/>
  <c r="Z18" i="14"/>
  <c r="Z16"/>
  <c r="Z11"/>
  <c r="W22"/>
  <c r="U22"/>
  <c r="S22"/>
  <c r="O22"/>
  <c r="K22"/>
  <c r="Z17" i="35"/>
  <c r="Z15"/>
  <c r="Z14"/>
  <c r="Z11"/>
  <c r="Z8"/>
  <c r="X22"/>
  <c r="V22"/>
  <c r="T22"/>
  <c r="R22"/>
  <c r="Z19" i="28"/>
  <c r="Z14"/>
  <c r="Z12"/>
  <c r="Z9"/>
  <c r="U22"/>
  <c r="L22"/>
  <c r="I22"/>
  <c r="D22"/>
  <c r="Z12" i="12"/>
  <c r="Z7"/>
  <c r="U22"/>
  <c r="Z16" i="16"/>
  <c r="L22"/>
  <c r="Z4"/>
  <c r="Z12" i="40"/>
  <c r="Z6"/>
  <c r="T22"/>
  <c r="R22"/>
  <c r="L22"/>
  <c r="Z15" i="25"/>
  <c r="Z9"/>
  <c r="Z6"/>
  <c r="S22"/>
  <c r="Q22"/>
  <c r="H3" i="34"/>
  <c r="H3" i="36"/>
  <c r="H3" i="17"/>
  <c r="H3" i="33"/>
  <c r="H3" i="32"/>
  <c r="H3" i="15"/>
  <c r="C49" i="2"/>
  <c r="G49"/>
  <c r="AF36"/>
  <c r="E36"/>
  <c r="Z20" i="37"/>
  <c r="D22" i="14"/>
  <c r="Z20" i="35"/>
  <c r="Z20" i="28"/>
  <c r="Z4" i="12"/>
  <c r="Z20" i="14"/>
  <c r="Z20" i="12"/>
  <c r="Z4" i="35"/>
  <c r="Z4" i="30"/>
  <c r="Z20" i="16"/>
  <c r="Z20" i="30"/>
  <c r="Z4" i="37"/>
  <c r="Z4" i="40"/>
  <c r="B23" i="2"/>
  <c r="B22"/>
  <c r="Q5"/>
  <c r="J12"/>
  <c r="R11"/>
  <c r="U10"/>
  <c r="G12"/>
  <c r="W4"/>
  <c r="H7"/>
  <c r="F7"/>
  <c r="I9"/>
  <c r="M6"/>
  <c r="M7"/>
  <c r="T5"/>
  <c r="T4"/>
  <c r="D8"/>
  <c r="N11"/>
  <c r="H11"/>
  <c r="V6"/>
  <c r="B10"/>
  <c r="L10"/>
  <c r="D7"/>
  <c r="O5"/>
  <c r="V11"/>
  <c r="E6"/>
  <c r="C4"/>
  <c r="M9"/>
  <c r="R12"/>
  <c r="P9"/>
  <c r="D13"/>
  <c r="K11"/>
  <c r="R10"/>
  <c r="D5"/>
  <c r="O10"/>
  <c r="M12"/>
  <c r="W11"/>
  <c r="P11"/>
  <c r="Q12"/>
  <c r="F4"/>
  <c r="L5"/>
  <c r="H5"/>
  <c r="C9"/>
  <c r="L7"/>
  <c r="P10"/>
  <c r="D10"/>
  <c r="C7"/>
  <c r="H12"/>
  <c r="S12"/>
  <c r="G9"/>
  <c r="C11"/>
  <c r="K5"/>
  <c r="C10"/>
  <c r="C12"/>
  <c r="D6"/>
  <c r="I5"/>
  <c r="L9"/>
  <c r="T9"/>
  <c r="I12"/>
  <c r="F5"/>
  <c r="H9"/>
  <c r="F6"/>
  <c r="U5"/>
  <c r="S11"/>
  <c r="N7"/>
  <c r="R5"/>
  <c r="F9"/>
  <c r="B6"/>
  <c r="G4"/>
  <c r="Q9"/>
  <c r="E9"/>
  <c r="B9"/>
  <c r="N12"/>
  <c r="P4"/>
  <c r="S5"/>
  <c r="G6"/>
  <c r="G11"/>
  <c r="E5"/>
  <c r="P12"/>
  <c r="J7"/>
  <c r="H10"/>
  <c r="K12"/>
  <c r="F12"/>
  <c r="P7"/>
  <c r="J10"/>
  <c r="K6"/>
  <c r="G5"/>
  <c r="M11"/>
  <c r="D3"/>
  <c r="T7"/>
  <c r="I10"/>
  <c r="B12"/>
  <c r="S10"/>
  <c r="S4"/>
  <c r="N6"/>
  <c r="S9"/>
  <c r="N5"/>
  <c r="O11"/>
  <c r="N9"/>
  <c r="O4"/>
  <c r="W6"/>
  <c r="E4"/>
  <c r="N10"/>
  <c r="I4"/>
  <c r="K4"/>
  <c r="R6"/>
  <c r="U4"/>
  <c r="K7"/>
  <c r="L4"/>
  <c r="J4"/>
  <c r="P5"/>
  <c r="L6"/>
  <c r="M4"/>
  <c r="E11"/>
  <c r="V12"/>
  <c r="N4"/>
  <c r="M10"/>
  <c r="V5"/>
  <c r="T11"/>
  <c r="G10"/>
  <c r="B7"/>
  <c r="O6"/>
  <c r="R4"/>
  <c r="Q4"/>
  <c r="V9"/>
  <c r="W12"/>
  <c r="W5"/>
  <c r="Q7"/>
  <c r="C5"/>
  <c r="M5"/>
  <c r="U7"/>
  <c r="Q11"/>
  <c r="F11"/>
  <c r="L12"/>
  <c r="U12"/>
  <c r="I6"/>
  <c r="U9"/>
  <c r="I11"/>
  <c r="W9"/>
  <c r="D12"/>
  <c r="D11"/>
  <c r="D9"/>
  <c r="T6"/>
  <c r="L11"/>
  <c r="E12"/>
  <c r="S7"/>
  <c r="O9"/>
  <c r="C6"/>
  <c r="Q10"/>
  <c r="W10"/>
  <c r="S6"/>
  <c r="R7"/>
  <c r="Q6"/>
  <c r="U11"/>
  <c r="W7"/>
  <c r="J5"/>
  <c r="F10"/>
  <c r="H6"/>
  <c r="R9"/>
  <c r="J6"/>
  <c r="T10"/>
  <c r="G7"/>
  <c r="B5"/>
  <c r="I7"/>
  <c r="J11"/>
  <c r="U6"/>
  <c r="V4"/>
  <c r="H4"/>
  <c r="E7"/>
  <c r="O12"/>
  <c r="K10"/>
  <c r="J9"/>
  <c r="V7"/>
  <c r="V10"/>
  <c r="E10"/>
  <c r="T12"/>
  <c r="B8"/>
  <c r="O7"/>
  <c r="P6"/>
  <c r="K9"/>
  <c r="M9" i="19" l="1"/>
  <c r="N4"/>
  <c r="N6"/>
  <c r="N39"/>
  <c r="N40"/>
  <c r="N27"/>
  <c r="N29"/>
  <c r="N19"/>
  <c r="AB35" i="10"/>
  <c r="AB2"/>
  <c r="N30" i="19"/>
  <c r="AB5" i="10"/>
  <c r="N38" i="19"/>
  <c r="AB6" i="10"/>
  <c r="AB14"/>
  <c r="AB24"/>
  <c r="AB3"/>
  <c r="AB4"/>
  <c r="AB10"/>
  <c r="AB13"/>
  <c r="AB8"/>
  <c r="AB9"/>
  <c r="AB15"/>
  <c r="AB12"/>
  <c r="AB11"/>
  <c r="AB7"/>
  <c r="AB36"/>
  <c r="AB22"/>
  <c r="AB19"/>
  <c r="AB40"/>
  <c r="AB41"/>
  <c r="AB47"/>
  <c r="AB34"/>
  <c r="AB46"/>
  <c r="AB26"/>
  <c r="AB25"/>
  <c r="AB45"/>
  <c r="AB38"/>
  <c r="AB17"/>
  <c r="AB33"/>
  <c r="AB28"/>
  <c r="AB44"/>
  <c r="AB31"/>
  <c r="AB23"/>
  <c r="AB21"/>
  <c r="AB48"/>
  <c r="AB18"/>
  <c r="AB27"/>
  <c r="AB37"/>
  <c r="AB20"/>
  <c r="AB32"/>
  <c r="AB30"/>
  <c r="AB39"/>
  <c r="AB29"/>
  <c r="AB42"/>
  <c r="AB43"/>
  <c r="AB16"/>
  <c r="N10" i="19"/>
  <c r="N31"/>
  <c r="N36"/>
  <c r="N35"/>
  <c r="N33"/>
  <c r="N41"/>
  <c r="N45"/>
  <c r="N24"/>
  <c r="N22"/>
  <c r="N18"/>
  <c r="N23"/>
  <c r="N28"/>
  <c r="N21"/>
  <c r="I24" i="21"/>
  <c r="I26"/>
  <c r="I25"/>
  <c r="N44" i="19"/>
  <c r="N43"/>
  <c r="N42"/>
  <c r="P22" i="9"/>
  <c r="M38" i="19"/>
  <c r="M2"/>
  <c r="M17"/>
  <c r="M33"/>
  <c r="M43"/>
  <c r="M13"/>
  <c r="M32"/>
  <c r="M10"/>
  <c r="M26"/>
  <c r="M6"/>
  <c r="M21"/>
  <c r="M30"/>
  <c r="M45"/>
  <c r="M16"/>
  <c r="M28"/>
  <c r="M23"/>
  <c r="M29"/>
  <c r="M12"/>
  <c r="M22"/>
  <c r="M25"/>
  <c r="M5"/>
  <c r="M4"/>
  <c r="M18"/>
  <c r="M20"/>
  <c r="M15"/>
  <c r="M37"/>
  <c r="M39"/>
  <c r="M19"/>
  <c r="M11"/>
  <c r="M35"/>
  <c r="M8"/>
  <c r="M34"/>
  <c r="M3"/>
  <c r="M42"/>
  <c r="M24"/>
  <c r="M41"/>
  <c r="M40"/>
  <c r="M14"/>
  <c r="M27"/>
  <c r="M36"/>
  <c r="M31"/>
  <c r="M7"/>
  <c r="M44"/>
  <c r="C29" i="2"/>
  <c r="D29" s="1"/>
  <c r="E29" s="1"/>
  <c r="F29" s="1"/>
  <c r="G29" s="1"/>
  <c r="H29" s="1"/>
  <c r="I29" s="1"/>
  <c r="J29" s="1"/>
  <c r="K29" s="1"/>
  <c r="L29" s="1"/>
  <c r="M29" s="1"/>
  <c r="N29" s="1"/>
  <c r="O29" s="1"/>
  <c r="P29" s="1"/>
  <c r="Q29" s="1"/>
  <c r="R29" s="1"/>
  <c r="S29" s="1"/>
  <c r="T29" s="1"/>
  <c r="U29" s="1"/>
  <c r="V29" s="1"/>
  <c r="W29" s="1"/>
  <c r="C24"/>
  <c r="D24" s="1"/>
  <c r="E24" s="1"/>
  <c r="F24" s="1"/>
  <c r="G24" s="1"/>
  <c r="H24" s="1"/>
  <c r="I24" s="1"/>
  <c r="J24" s="1"/>
  <c r="K24" s="1"/>
  <c r="L24" s="1"/>
  <c r="M24" s="1"/>
  <c r="N24" s="1"/>
  <c r="O24" s="1"/>
  <c r="P24" s="1"/>
  <c r="Q24" s="1"/>
  <c r="R24" s="1"/>
  <c r="S24" s="1"/>
  <c r="T24" s="1"/>
  <c r="U24" s="1"/>
  <c r="V24" s="1"/>
  <c r="W24" s="1"/>
  <c r="C30"/>
  <c r="D30" s="1"/>
  <c r="E30" s="1"/>
  <c r="F30" s="1"/>
  <c r="G30" s="1"/>
  <c r="H30" s="1"/>
  <c r="I30" s="1"/>
  <c r="J30" s="1"/>
  <c r="K30" s="1"/>
  <c r="L30" s="1"/>
  <c r="M30" s="1"/>
  <c r="N30" s="1"/>
  <c r="O30" s="1"/>
  <c r="P30" s="1"/>
  <c r="Q30" s="1"/>
  <c r="R30" s="1"/>
  <c r="S30" s="1"/>
  <c r="T30" s="1"/>
  <c r="U30" s="1"/>
  <c r="V30" s="1"/>
  <c r="W30" s="1"/>
  <c r="C25"/>
  <c r="D25" s="1"/>
  <c r="E25" s="1"/>
  <c r="F25" s="1"/>
  <c r="G25" s="1"/>
  <c r="H25" s="1"/>
  <c r="I25" s="1"/>
  <c r="J25" s="1"/>
  <c r="K25" s="1"/>
  <c r="L25" s="1"/>
  <c r="M25" s="1"/>
  <c r="N25" s="1"/>
  <c r="O25" s="1"/>
  <c r="P25" s="1"/>
  <c r="Q25" s="1"/>
  <c r="R25" s="1"/>
  <c r="S25" s="1"/>
  <c r="T25" s="1"/>
  <c r="U25" s="1"/>
  <c r="V25" s="1"/>
  <c r="W25" s="1"/>
  <c r="C31"/>
  <c r="D31" s="1"/>
  <c r="E31" s="1"/>
  <c r="F31" s="1"/>
  <c r="G31" s="1"/>
  <c r="H31" s="1"/>
  <c r="I31" s="1"/>
  <c r="J31" s="1"/>
  <c r="K31" s="1"/>
  <c r="L31" s="1"/>
  <c r="M31" s="1"/>
  <c r="N31" s="1"/>
  <c r="O31" s="1"/>
  <c r="P31" s="1"/>
  <c r="Q31" s="1"/>
  <c r="R31" s="1"/>
  <c r="S31" s="1"/>
  <c r="T31" s="1"/>
  <c r="U31" s="1"/>
  <c r="V31" s="1"/>
  <c r="W31" s="1"/>
  <c r="C26"/>
  <c r="D26" s="1"/>
  <c r="E26" s="1"/>
  <c r="F26" s="1"/>
  <c r="G26" s="1"/>
  <c r="H26" s="1"/>
  <c r="I26" s="1"/>
  <c r="J26" s="1"/>
  <c r="K26" s="1"/>
  <c r="L26" s="1"/>
  <c r="M26" s="1"/>
  <c r="N26" s="1"/>
  <c r="O26" s="1"/>
  <c r="P26" s="1"/>
  <c r="Q26" s="1"/>
  <c r="R26" s="1"/>
  <c r="S26" s="1"/>
  <c r="T26" s="1"/>
  <c r="U26" s="1"/>
  <c r="V26" s="1"/>
  <c r="W26" s="1"/>
  <c r="C28"/>
  <c r="D28" s="1"/>
  <c r="E28" s="1"/>
  <c r="F28" s="1"/>
  <c r="G28" s="1"/>
  <c r="H28" s="1"/>
  <c r="I28" s="1"/>
  <c r="J28" s="1"/>
  <c r="K28" s="1"/>
  <c r="L28" s="1"/>
  <c r="M28" s="1"/>
  <c r="N28" s="1"/>
  <c r="O28" s="1"/>
  <c r="P28" s="1"/>
  <c r="Q28" s="1"/>
  <c r="R28" s="1"/>
  <c r="S28" s="1"/>
  <c r="T28" s="1"/>
  <c r="U28" s="1"/>
  <c r="V28" s="1"/>
  <c r="W28" s="1"/>
  <c r="B29"/>
  <c r="B44" s="1"/>
  <c r="B31"/>
  <c r="B46" s="1"/>
  <c r="AB46" s="1"/>
  <c r="L22" i="9"/>
  <c r="N22"/>
  <c r="V22"/>
  <c r="T22"/>
  <c r="F22"/>
  <c r="J22"/>
  <c r="AA33" i="10"/>
  <c r="AA35"/>
  <c r="AA37"/>
  <c r="AA39"/>
  <c r="AA41"/>
  <c r="AA43"/>
  <c r="AA45"/>
  <c r="AA47"/>
  <c r="AA48"/>
  <c r="AA32"/>
  <c r="AA34"/>
  <c r="AA36"/>
  <c r="AA38"/>
  <c r="AA40"/>
  <c r="AA42"/>
  <c r="AA44"/>
  <c r="AA46"/>
  <c r="F22" i="21"/>
  <c r="G22"/>
  <c r="AA21" i="10"/>
  <c r="H22" i="9"/>
  <c r="B22"/>
  <c r="AA8" i="10"/>
  <c r="AA2"/>
  <c r="AA4"/>
  <c r="AA16"/>
  <c r="AA30"/>
  <c r="AA24"/>
  <c r="D22" i="21"/>
  <c r="I4"/>
  <c r="I6"/>
  <c r="I8"/>
  <c r="I10"/>
  <c r="I12"/>
  <c r="I14"/>
  <c r="I16"/>
  <c r="I18"/>
  <c r="I20"/>
  <c r="I5"/>
  <c r="I7"/>
  <c r="I9"/>
  <c r="I11"/>
  <c r="I13"/>
  <c r="I15"/>
  <c r="I17"/>
  <c r="I19"/>
  <c r="R22" i="9"/>
  <c r="H22" i="21"/>
  <c r="AA9" i="10"/>
  <c r="AA28"/>
  <c r="AA31"/>
  <c r="AA29"/>
  <c r="AA14"/>
  <c r="AA23"/>
  <c r="AA7"/>
  <c r="D22" i="9"/>
  <c r="AB30" i="2"/>
  <c r="B24"/>
  <c r="B39" s="1"/>
  <c r="AB39" s="1"/>
  <c r="B27"/>
  <c r="AB47"/>
  <c r="B25"/>
  <c r="B26"/>
  <c r="B28"/>
  <c r="AA15" i="10"/>
  <c r="AA5"/>
  <c r="AA12"/>
  <c r="AA22"/>
  <c r="AA18"/>
  <c r="AA26"/>
  <c r="AA6"/>
  <c r="AA3"/>
  <c r="AA25"/>
  <c r="AA13"/>
  <c r="AA27"/>
  <c r="AA17"/>
  <c r="AA20"/>
  <c r="AA19"/>
  <c r="AA11"/>
  <c r="AA10"/>
  <c r="C23" i="2"/>
  <c r="D23" s="1"/>
  <c r="E23" s="1"/>
  <c r="F23" s="1"/>
  <c r="G23" s="1"/>
  <c r="H23" s="1"/>
  <c r="I23" s="1"/>
  <c r="J23" s="1"/>
  <c r="K23" s="1"/>
  <c r="L23" s="1"/>
  <c r="M23" s="1"/>
  <c r="N23" s="1"/>
  <c r="O23" s="1"/>
  <c r="P23" s="1"/>
  <c r="Q23" s="1"/>
  <c r="R23" s="1"/>
  <c r="S23" s="1"/>
  <c r="T23" s="1"/>
  <c r="U23" s="1"/>
  <c r="V23" s="1"/>
  <c r="W23" s="1"/>
  <c r="Z22" i="37"/>
  <c r="Y22" i="30"/>
  <c r="Y22" i="25"/>
  <c r="Y22" i="40"/>
  <c r="Y22" i="21"/>
  <c r="Y22" i="16"/>
  <c r="Y22" i="35"/>
  <c r="Y22" i="28"/>
  <c r="Z4"/>
  <c r="Z22" s="1"/>
  <c r="Y22" i="12"/>
  <c r="Y22" i="14"/>
  <c r="Z22" i="40"/>
  <c r="Z22" i="30"/>
  <c r="Z22" i="12"/>
  <c r="Z22" i="16"/>
  <c r="Z22" i="35"/>
  <c r="Z22" i="25"/>
  <c r="Z22" i="14"/>
  <c r="H36" i="2"/>
  <c r="H21"/>
  <c r="AH21" s="1"/>
  <c r="I3" i="15"/>
  <c r="I3" i="34"/>
  <c r="I3" i="36"/>
  <c r="I3" i="17"/>
  <c r="I3" i="33"/>
  <c r="I3" i="32"/>
  <c r="AE36" i="2"/>
  <c r="E49"/>
  <c r="B37"/>
  <c r="AB37" s="1"/>
  <c r="AB22"/>
  <c r="AB23"/>
  <c r="B38"/>
  <c r="AB38" s="1"/>
  <c r="H37" i="19"/>
  <c r="E28"/>
  <c r="G7"/>
  <c r="I18"/>
  <c r="C34"/>
  <c r="D28"/>
  <c r="F31"/>
  <c r="H31"/>
  <c r="J20"/>
  <c r="F33"/>
  <c r="C37"/>
  <c r="B29"/>
  <c r="L3"/>
  <c r="K4"/>
  <c r="L20"/>
  <c r="E12"/>
  <c r="I15"/>
  <c r="I7"/>
  <c r="G22"/>
  <c r="B34"/>
  <c r="G8" i="2"/>
  <c r="G21" i="19"/>
  <c r="D33"/>
  <c r="H18"/>
  <c r="F7"/>
  <c r="J30"/>
  <c r="K5"/>
  <c r="D7"/>
  <c r="J40"/>
  <c r="K36"/>
  <c r="L9"/>
  <c r="D18"/>
  <c r="F15"/>
  <c r="L33"/>
  <c r="G23"/>
  <c r="G35"/>
  <c r="D39"/>
  <c r="G15"/>
  <c r="C26"/>
  <c r="B36"/>
  <c r="G38"/>
  <c r="K26"/>
  <c r="E7"/>
  <c r="L28"/>
  <c r="K31"/>
  <c r="E11"/>
  <c r="H20"/>
  <c r="H21"/>
  <c r="E8" i="2"/>
  <c r="G37" i="19"/>
  <c r="J24"/>
  <c r="I28"/>
  <c r="I32"/>
  <c r="E32"/>
  <c r="L25"/>
  <c r="H35"/>
  <c r="B25"/>
  <c r="C28"/>
  <c r="F8" i="2"/>
  <c r="K25" i="19"/>
  <c r="E18"/>
  <c r="I35"/>
  <c r="I34"/>
  <c r="J33"/>
  <c r="B31"/>
  <c r="I6"/>
  <c r="K34"/>
  <c r="K13"/>
  <c r="I25"/>
  <c r="G40"/>
  <c r="E30"/>
  <c r="G41"/>
  <c r="G32"/>
  <c r="B43"/>
  <c r="E33"/>
  <c r="C8" i="2"/>
  <c r="J38" i="19"/>
  <c r="G30"/>
  <c r="J7"/>
  <c r="C27" i="2" l="1"/>
  <c r="D27" s="1"/>
  <c r="E27" s="1"/>
  <c r="F27" s="1"/>
  <c r="G27" s="1"/>
  <c r="AD48" i="10"/>
  <c r="AD47"/>
  <c r="AD45"/>
  <c r="AD43"/>
  <c r="AD41"/>
  <c r="AD39"/>
  <c r="AD37"/>
  <c r="AD35"/>
  <c r="AD33"/>
  <c r="AD31"/>
  <c r="AD29"/>
  <c r="AD27"/>
  <c r="AD25"/>
  <c r="AD23"/>
  <c r="AD19"/>
  <c r="AD46"/>
  <c r="AD44"/>
  <c r="AD42"/>
  <c r="AD40"/>
  <c r="AD38"/>
  <c r="AD36"/>
  <c r="AD34"/>
  <c r="AD32"/>
  <c r="AD30"/>
  <c r="AD28"/>
  <c r="AD26"/>
  <c r="AD24"/>
  <c r="AD22"/>
  <c r="AD20"/>
  <c r="AD21"/>
  <c r="J25" i="21"/>
  <c r="J21" s="1"/>
  <c r="J24"/>
  <c r="J26"/>
  <c r="AB29" i="2"/>
  <c r="B41"/>
  <c r="AB41" s="1"/>
  <c r="AB44"/>
  <c r="B43"/>
  <c r="AB43" s="1"/>
  <c r="AB27"/>
  <c r="B42"/>
  <c r="AB42" s="1"/>
  <c r="B40"/>
  <c r="AB40" s="1"/>
  <c r="AE21" i="10"/>
  <c r="AD2"/>
  <c r="AD3"/>
  <c r="AD5"/>
  <c r="AD7"/>
  <c r="AD9"/>
  <c r="AD11"/>
  <c r="AD15"/>
  <c r="AD17"/>
  <c r="AD4"/>
  <c r="AD6"/>
  <c r="AD8"/>
  <c r="AD10"/>
  <c r="AD12"/>
  <c r="AD14"/>
  <c r="AD16"/>
  <c r="AD18"/>
  <c r="AD13"/>
  <c r="AE22"/>
  <c r="AE9"/>
  <c r="AE6"/>
  <c r="AE17"/>
  <c r="AE29"/>
  <c r="AE14"/>
  <c r="AE26"/>
  <c r="AE41"/>
  <c r="AE43"/>
  <c r="AE36"/>
  <c r="AE33"/>
  <c r="AE38"/>
  <c r="AE44"/>
  <c r="AE40"/>
  <c r="AE37"/>
  <c r="AE48"/>
  <c r="AE13"/>
  <c r="AE5"/>
  <c r="AE25"/>
  <c r="AE18"/>
  <c r="AE10"/>
  <c r="AE30"/>
  <c r="AE39"/>
  <c r="AE47"/>
  <c r="AE32"/>
  <c r="AE34"/>
  <c r="AE46"/>
  <c r="AE42"/>
  <c r="AE45"/>
  <c r="AE35"/>
  <c r="AE2"/>
  <c r="AE15"/>
  <c r="AE11"/>
  <c r="AE7"/>
  <c r="AE3"/>
  <c r="AE31"/>
  <c r="AE27"/>
  <c r="AE23"/>
  <c r="AE19"/>
  <c r="AE16"/>
  <c r="AE12"/>
  <c r="AE8"/>
  <c r="AE4"/>
  <c r="AE28"/>
  <c r="AE24"/>
  <c r="AE20"/>
  <c r="AB28" i="2"/>
  <c r="AB32"/>
  <c r="AB26"/>
  <c r="AB24"/>
  <c r="J5" i="21"/>
  <c r="J7"/>
  <c r="J9"/>
  <c r="J11"/>
  <c r="J13"/>
  <c r="J15"/>
  <c r="J17"/>
  <c r="J19"/>
  <c r="J4"/>
  <c r="J6"/>
  <c r="J8"/>
  <c r="J10"/>
  <c r="J12"/>
  <c r="J14"/>
  <c r="J16"/>
  <c r="J18"/>
  <c r="J20"/>
  <c r="I22"/>
  <c r="AB45" i="2"/>
  <c r="AB31"/>
  <c r="AB25"/>
  <c r="J3" i="36"/>
  <c r="J3" i="17"/>
  <c r="J3" i="32"/>
  <c r="J3" i="15"/>
  <c r="J3" i="34"/>
  <c r="J3" i="33"/>
  <c r="H49" i="2"/>
  <c r="AH36"/>
  <c r="I21"/>
  <c r="AI21" s="1"/>
  <c r="I36"/>
  <c r="H8"/>
  <c r="H27" l="1"/>
  <c r="K24" i="21"/>
  <c r="K26"/>
  <c r="K25"/>
  <c r="AF18" i="10"/>
  <c r="K4" i="21"/>
  <c r="K6"/>
  <c r="K8"/>
  <c r="K10"/>
  <c r="K12"/>
  <c r="K14"/>
  <c r="K16"/>
  <c r="K18"/>
  <c r="K20"/>
  <c r="K5"/>
  <c r="K7"/>
  <c r="K9"/>
  <c r="K11"/>
  <c r="K13"/>
  <c r="K15"/>
  <c r="K17"/>
  <c r="K19"/>
  <c r="J22"/>
  <c r="K3" i="36"/>
  <c r="K3" i="33"/>
  <c r="K3" i="17"/>
  <c r="K3" i="15"/>
  <c r="K3" i="34"/>
  <c r="K3" i="32"/>
  <c r="J36" i="2"/>
  <c r="J21"/>
  <c r="AJ21" s="1"/>
  <c r="I49"/>
  <c r="AI36"/>
  <c r="I8"/>
  <c r="I27" l="1"/>
  <c r="L25" i="21"/>
  <c r="L24"/>
  <c r="L26"/>
  <c r="L5"/>
  <c r="L7"/>
  <c r="L9"/>
  <c r="L11"/>
  <c r="L13"/>
  <c r="L15"/>
  <c r="L17"/>
  <c r="L19"/>
  <c r="L4"/>
  <c r="L6"/>
  <c r="L8"/>
  <c r="L10"/>
  <c r="L12"/>
  <c r="L14"/>
  <c r="L16"/>
  <c r="L18"/>
  <c r="L20"/>
  <c r="K22"/>
  <c r="AJ36" i="2"/>
  <c r="J49"/>
  <c r="L3" i="36"/>
  <c r="L3" i="33"/>
  <c r="L3" i="32"/>
  <c r="L3" i="34"/>
  <c r="L3" i="17"/>
  <c r="L3" i="15"/>
  <c r="K36" i="2"/>
  <c r="K21"/>
  <c r="AK21" s="1"/>
  <c r="J8"/>
  <c r="J27" l="1"/>
  <c r="M24" i="21"/>
  <c r="M26"/>
  <c r="M25"/>
  <c r="M4"/>
  <c r="M6"/>
  <c r="M8"/>
  <c r="M10"/>
  <c r="M12"/>
  <c r="M14"/>
  <c r="M16"/>
  <c r="M18"/>
  <c r="M20"/>
  <c r="M5"/>
  <c r="M7"/>
  <c r="M9"/>
  <c r="M11"/>
  <c r="M13"/>
  <c r="M15"/>
  <c r="M17"/>
  <c r="M19"/>
  <c r="L22"/>
  <c r="AK36" i="2"/>
  <c r="K49"/>
  <c r="M3" i="17"/>
  <c r="M3" i="34"/>
  <c r="M3" i="33"/>
  <c r="M3" i="32"/>
  <c r="M3" i="15"/>
  <c r="M3" i="36"/>
  <c r="L36" i="2"/>
  <c r="L21"/>
  <c r="AL21" s="1"/>
  <c r="K8"/>
  <c r="K27" l="1"/>
  <c r="N25" i="21"/>
  <c r="N24"/>
  <c r="N21" s="1"/>
  <c r="N26"/>
  <c r="M22"/>
  <c r="N5"/>
  <c r="N7"/>
  <c r="N9"/>
  <c r="N11"/>
  <c r="N13"/>
  <c r="N15"/>
  <c r="N17"/>
  <c r="N19"/>
  <c r="N4"/>
  <c r="N6"/>
  <c r="N8"/>
  <c r="N10"/>
  <c r="N12"/>
  <c r="N14"/>
  <c r="N16"/>
  <c r="N18"/>
  <c r="N20"/>
  <c r="L49" i="2"/>
  <c r="AL36"/>
  <c r="N3" i="36"/>
  <c r="N3" i="34"/>
  <c r="N3" i="32"/>
  <c r="N3" i="15"/>
  <c r="N3" i="33"/>
  <c r="N3" i="17"/>
  <c r="M36" i="2"/>
  <c r="M21"/>
  <c r="AM21" s="1"/>
  <c r="L8"/>
  <c r="L27" l="1"/>
  <c r="O24" i="21"/>
  <c r="O26"/>
  <c r="O25"/>
  <c r="O4"/>
  <c r="O6"/>
  <c r="O8"/>
  <c r="O10"/>
  <c r="O12"/>
  <c r="O14"/>
  <c r="O16"/>
  <c r="O18"/>
  <c r="O20"/>
  <c r="O5"/>
  <c r="O7"/>
  <c r="O9"/>
  <c r="O11"/>
  <c r="O13"/>
  <c r="O15"/>
  <c r="O17"/>
  <c r="O19"/>
  <c r="N22"/>
  <c r="M49" i="2"/>
  <c r="AM36"/>
  <c r="O3" i="33"/>
  <c r="O3" i="32"/>
  <c r="O3" i="15"/>
  <c r="O3" i="17"/>
  <c r="O3" i="36"/>
  <c r="O3" i="34"/>
  <c r="N36" i="2"/>
  <c r="N21"/>
  <c r="AN21" s="1"/>
  <c r="M8"/>
  <c r="M27" l="1"/>
  <c r="P25" i="21"/>
  <c r="P24"/>
  <c r="P26"/>
  <c r="P5"/>
  <c r="P7"/>
  <c r="P9"/>
  <c r="P11"/>
  <c r="P13"/>
  <c r="P15"/>
  <c r="P17"/>
  <c r="P19"/>
  <c r="P4"/>
  <c r="P6"/>
  <c r="P8"/>
  <c r="P10"/>
  <c r="P12"/>
  <c r="P14"/>
  <c r="P16"/>
  <c r="P18"/>
  <c r="P20"/>
  <c r="O22"/>
  <c r="AN36" i="2"/>
  <c r="N49"/>
  <c r="O21"/>
  <c r="AO21" s="1"/>
  <c r="O36"/>
  <c r="P3" i="34"/>
  <c r="P3" i="17"/>
  <c r="P3" i="15"/>
  <c r="P3" i="36"/>
  <c r="P3" i="33"/>
  <c r="P3" i="32"/>
  <c r="Q24" i="21" l="1"/>
  <c r="Q26"/>
  <c r="Q25"/>
  <c r="Q4"/>
  <c r="Q6"/>
  <c r="Q8"/>
  <c r="Q10"/>
  <c r="Q12"/>
  <c r="Q14"/>
  <c r="Q16"/>
  <c r="Q18"/>
  <c r="Q20"/>
  <c r="Q5"/>
  <c r="Q7"/>
  <c r="Q9"/>
  <c r="Q11"/>
  <c r="Q13"/>
  <c r="Q15"/>
  <c r="Q17"/>
  <c r="Q19"/>
  <c r="P22"/>
  <c r="P21" i="2"/>
  <c r="AP21" s="1"/>
  <c r="P36"/>
  <c r="Q3" i="17"/>
  <c r="Q3" i="36"/>
  <c r="Q3" i="34"/>
  <c r="Q3" i="33"/>
  <c r="Q3" i="32"/>
  <c r="Q3" i="15"/>
  <c r="O49" i="2"/>
  <c r="AO36"/>
  <c r="R25" i="21" l="1"/>
  <c r="R24"/>
  <c r="R26"/>
  <c r="R5"/>
  <c r="R7"/>
  <c r="R9"/>
  <c r="R11"/>
  <c r="R13"/>
  <c r="R15"/>
  <c r="R17"/>
  <c r="R19"/>
  <c r="R4"/>
  <c r="R6"/>
  <c r="R8"/>
  <c r="R10"/>
  <c r="R12"/>
  <c r="R14"/>
  <c r="R16"/>
  <c r="R18"/>
  <c r="R20"/>
  <c r="Q22"/>
  <c r="R3" i="34"/>
  <c r="R3" i="17"/>
  <c r="R3" i="15"/>
  <c r="R3" i="36"/>
  <c r="R3" i="33"/>
  <c r="R3" i="32"/>
  <c r="Q21" i="2"/>
  <c r="AQ21" s="1"/>
  <c r="Q36"/>
  <c r="P49"/>
  <c r="AP36"/>
  <c r="S24" i="21" l="1"/>
  <c r="S26"/>
  <c r="S25"/>
  <c r="R22"/>
  <c r="S4"/>
  <c r="S6"/>
  <c r="S8"/>
  <c r="S10"/>
  <c r="S12"/>
  <c r="S14"/>
  <c r="S16"/>
  <c r="S18"/>
  <c r="S20"/>
  <c r="S5"/>
  <c r="S7"/>
  <c r="S9"/>
  <c r="S11"/>
  <c r="S13"/>
  <c r="S15"/>
  <c r="S17"/>
  <c r="S19"/>
  <c r="S3" i="15"/>
  <c r="S3" i="34"/>
  <c r="S3" i="32"/>
  <c r="S3" i="36"/>
  <c r="S3" i="33"/>
  <c r="S3" i="17"/>
  <c r="Q49" i="2"/>
  <c r="AQ36"/>
  <c r="R21"/>
  <c r="AR21" s="1"/>
  <c r="R36"/>
  <c r="H42" i="19"/>
  <c r="E43"/>
  <c r="D43"/>
  <c r="D31"/>
  <c r="L37"/>
  <c r="I21"/>
  <c r="G33"/>
  <c r="M13" i="2"/>
  <c r="O8"/>
  <c r="H30" i="19"/>
  <c r="H15"/>
  <c r="F24"/>
  <c r="X9" i="2"/>
  <c r="G39" i="19"/>
  <c r="H29"/>
  <c r="L45"/>
  <c r="I22"/>
  <c r="K7"/>
  <c r="D16"/>
  <c r="K11"/>
  <c r="E16"/>
  <c r="K19"/>
  <c r="K30"/>
  <c r="X7" i="2"/>
  <c r="C14" i="19"/>
  <c r="L40"/>
  <c r="J32"/>
  <c r="J42"/>
  <c r="B7"/>
  <c r="F27"/>
  <c r="B45"/>
  <c r="E19"/>
  <c r="E13" i="2"/>
  <c r="H45" i="19"/>
  <c r="J16"/>
  <c r="F44"/>
  <c r="D17"/>
  <c r="I3" i="2"/>
  <c r="G27" i="19"/>
  <c r="H34"/>
  <c r="H39"/>
  <c r="L44"/>
  <c r="E39"/>
  <c r="L21"/>
  <c r="E26"/>
  <c r="I10"/>
  <c r="B32"/>
  <c r="G28"/>
  <c r="C23"/>
  <c r="H14"/>
  <c r="E34"/>
  <c r="H10"/>
  <c r="L7"/>
  <c r="I19"/>
  <c r="B37"/>
  <c r="K17"/>
  <c r="L38"/>
  <c r="K6"/>
  <c r="G20"/>
  <c r="H12"/>
  <c r="C39"/>
  <c r="D19"/>
  <c r="E41"/>
  <c r="I30"/>
  <c r="I14"/>
  <c r="E3" i="2"/>
  <c r="H41" i="19"/>
  <c r="C42"/>
  <c r="B16"/>
  <c r="F14"/>
  <c r="B21"/>
  <c r="H40"/>
  <c r="J14"/>
  <c r="E37"/>
  <c r="D30"/>
  <c r="B11"/>
  <c r="C12"/>
  <c r="O3" i="2"/>
  <c r="X4"/>
  <c r="B35" i="19"/>
  <c r="C29"/>
  <c r="J12"/>
  <c r="H44"/>
  <c r="H43"/>
  <c r="C22"/>
  <c r="D45"/>
  <c r="B15"/>
  <c r="K42"/>
  <c r="C36"/>
  <c r="J22"/>
  <c r="L16"/>
  <c r="J21"/>
  <c r="H22"/>
  <c r="F45"/>
  <c r="F37"/>
  <c r="K45"/>
  <c r="H38"/>
  <c r="I23"/>
  <c r="I17"/>
  <c r="G12"/>
  <c r="L19"/>
  <c r="D23"/>
  <c r="B17"/>
  <c r="I38"/>
  <c r="E14"/>
  <c r="G14"/>
  <c r="G45"/>
  <c r="F36"/>
  <c r="K18"/>
  <c r="L43"/>
  <c r="L30"/>
  <c r="N3" i="2"/>
  <c r="J43" i="19"/>
  <c r="K40"/>
  <c r="C33"/>
  <c r="H24"/>
  <c r="C19"/>
  <c r="F30"/>
  <c r="I13"/>
  <c r="C24"/>
  <c r="F42"/>
  <c r="D22"/>
  <c r="G31"/>
  <c r="E40"/>
  <c r="H13"/>
  <c r="C3" i="2"/>
  <c r="G13"/>
  <c r="I27" i="19"/>
  <c r="C25"/>
  <c r="D32"/>
  <c r="P8" i="2"/>
  <c r="L24" i="19"/>
  <c r="K16"/>
  <c r="E45"/>
  <c r="B6"/>
  <c r="B33"/>
  <c r="K22"/>
  <c r="B38"/>
  <c r="B5"/>
  <c r="B22"/>
  <c r="E44"/>
  <c r="K14"/>
  <c r="K41"/>
  <c r="G42"/>
  <c r="K3"/>
  <c r="H7"/>
  <c r="I41"/>
  <c r="C43"/>
  <c r="H33"/>
  <c r="I37"/>
  <c r="G44"/>
  <c r="H32"/>
  <c r="K35"/>
  <c r="E13"/>
  <c r="G25"/>
  <c r="K37"/>
  <c r="K38"/>
  <c r="P3" i="2"/>
  <c r="K43" i="19"/>
  <c r="I44"/>
  <c r="D13"/>
  <c r="E24"/>
  <c r="J31"/>
  <c r="Q13" i="2"/>
  <c r="H17" i="19"/>
  <c r="L31"/>
  <c r="F17"/>
  <c r="D36"/>
  <c r="I26"/>
  <c r="J45"/>
  <c r="N13" i="2"/>
  <c r="J36" i="19"/>
  <c r="B14"/>
  <c r="I13" i="2"/>
  <c r="B27" i="19"/>
  <c r="B40"/>
  <c r="C44"/>
  <c r="L39"/>
  <c r="C45"/>
  <c r="K28"/>
  <c r="C38"/>
  <c r="I43"/>
  <c r="D29"/>
  <c r="M3" i="2"/>
  <c r="D42" i="19"/>
  <c r="F10"/>
  <c r="J35"/>
  <c r="J18"/>
  <c r="D14"/>
  <c r="E17"/>
  <c r="I16"/>
  <c r="C40"/>
  <c r="I42"/>
  <c r="C7"/>
  <c r="K29"/>
  <c r="I45"/>
  <c r="H3" i="2"/>
  <c r="B42" i="19"/>
  <c r="K39"/>
  <c r="D40"/>
  <c r="C35"/>
  <c r="L17"/>
  <c r="G19"/>
  <c r="K21"/>
  <c r="F40"/>
  <c r="D41"/>
  <c r="E29"/>
  <c r="B26"/>
  <c r="E42"/>
  <c r="O13" i="2"/>
  <c r="J17" i="19"/>
  <c r="G29"/>
  <c r="P13" i="2"/>
  <c r="H19" i="19"/>
  <c r="K23"/>
  <c r="C6"/>
  <c r="C16"/>
  <c r="L32"/>
  <c r="X6" i="2"/>
  <c r="H36" i="19"/>
  <c r="F34"/>
  <c r="D35"/>
  <c r="J11"/>
  <c r="C41"/>
  <c r="X12" i="2"/>
  <c r="D38" i="19"/>
  <c r="B2"/>
  <c r="J34"/>
  <c r="G34"/>
  <c r="G8"/>
  <c r="D10"/>
  <c r="H8"/>
  <c r="I39"/>
  <c r="C31"/>
  <c r="E35"/>
  <c r="J41"/>
  <c r="J10"/>
  <c r="K24"/>
  <c r="X8" i="2"/>
  <c r="F22" i="19"/>
  <c r="L29"/>
  <c r="D26"/>
  <c r="F39"/>
  <c r="E36"/>
  <c r="L10"/>
  <c r="E22"/>
  <c r="F23"/>
  <c r="E23"/>
  <c r="F43"/>
  <c r="F41"/>
  <c r="J37"/>
  <c r="J6"/>
  <c r="X13" i="2"/>
  <c r="F32" i="19"/>
  <c r="L34"/>
  <c r="B19"/>
  <c r="I20"/>
  <c r="H16"/>
  <c r="K10"/>
  <c r="J28"/>
  <c r="K27"/>
  <c r="H27"/>
  <c r="L23"/>
  <c r="X10" i="2"/>
  <c r="L41" i="19"/>
  <c r="C32"/>
  <c r="B8"/>
  <c r="K3" i="2"/>
  <c r="H23" i="19"/>
  <c r="H13" i="2"/>
  <c r="L27" i="19"/>
  <c r="I36"/>
  <c r="K32"/>
  <c r="K44"/>
  <c r="G17"/>
  <c r="D34"/>
  <c r="B23"/>
  <c r="N8" i="2"/>
  <c r="G36" i="19"/>
  <c r="D24"/>
  <c r="G6"/>
  <c r="L3" i="2"/>
  <c r="C30" i="19"/>
  <c r="B28"/>
  <c r="F19"/>
  <c r="L14"/>
  <c r="F38"/>
  <c r="C13" i="2"/>
  <c r="K33" i="19"/>
  <c r="L35"/>
  <c r="I29"/>
  <c r="F11"/>
  <c r="E38"/>
  <c r="G3" i="2"/>
  <c r="L13" i="19"/>
  <c r="J3" i="2"/>
  <c r="B13" i="19"/>
  <c r="F3" i="2"/>
  <c r="E31" i="19"/>
  <c r="B44"/>
  <c r="J44"/>
  <c r="I33"/>
  <c r="C27"/>
  <c r="X3" i="2"/>
  <c r="J13"/>
  <c r="F4" i="19"/>
  <c r="K13" i="2"/>
  <c r="B24" i="19"/>
  <c r="B39"/>
  <c r="E27"/>
  <c r="J29"/>
  <c r="D27"/>
  <c r="L36"/>
  <c r="X5" i="2"/>
  <c r="J25" i="19"/>
  <c r="F13" i="2"/>
  <c r="J39" i="19"/>
  <c r="L22"/>
  <c r="G43"/>
  <c r="G10"/>
  <c r="F16"/>
  <c r="I24"/>
  <c r="F35"/>
  <c r="C17"/>
  <c r="I40"/>
  <c r="F29"/>
  <c r="X11" i="2"/>
  <c r="J19" i="19"/>
  <c r="J27"/>
  <c r="D25"/>
  <c r="D37"/>
  <c r="B30"/>
  <c r="Q8" i="2"/>
  <c r="B12" i="19"/>
  <c r="L13" i="2"/>
  <c r="D44" i="19"/>
  <c r="L26"/>
  <c r="L42"/>
  <c r="Q3" i="2"/>
  <c r="X30" l="1"/>
  <c r="Y11"/>
  <c r="E47" i="19"/>
  <c r="E52"/>
  <c r="E46" s="1"/>
  <c r="X24" i="2"/>
  <c r="Y5"/>
  <c r="H47" i="19"/>
  <c r="H52"/>
  <c r="H46" s="1"/>
  <c r="K47"/>
  <c r="K52"/>
  <c r="K46" s="1"/>
  <c r="F52"/>
  <c r="F46" s="1"/>
  <c r="F47"/>
  <c r="C22" i="2"/>
  <c r="D22" s="1"/>
  <c r="E22" s="1"/>
  <c r="F22" s="1"/>
  <c r="G22" s="1"/>
  <c r="H22" s="1"/>
  <c r="C32"/>
  <c r="D32" s="1"/>
  <c r="E32" s="1"/>
  <c r="F32" s="1"/>
  <c r="G32" s="1"/>
  <c r="H32" s="1"/>
  <c r="I32" s="1"/>
  <c r="J32" s="1"/>
  <c r="K32" s="1"/>
  <c r="L32" s="1"/>
  <c r="M32" s="1"/>
  <c r="N32" s="1"/>
  <c r="O32" s="1"/>
  <c r="P32" s="1"/>
  <c r="Q32" s="1"/>
  <c r="G47" i="19"/>
  <c r="G52"/>
  <c r="G46" s="1"/>
  <c r="N27" i="2"/>
  <c r="O27" s="1"/>
  <c r="P27" s="1"/>
  <c r="Q27" s="1"/>
  <c r="Y10"/>
  <c r="X29"/>
  <c r="J52" i="19"/>
  <c r="J46" s="1"/>
  <c r="J47"/>
  <c r="X23" i="2"/>
  <c r="Y4"/>
  <c r="D47" i="19"/>
  <c r="D52"/>
  <c r="D46" s="1"/>
  <c r="B47"/>
  <c r="B52"/>
  <c r="B46" s="1"/>
  <c r="Y12" i="2"/>
  <c r="X31"/>
  <c r="X25"/>
  <c r="Y6"/>
  <c r="L52" i="19"/>
  <c r="L46" s="1"/>
  <c r="L47"/>
  <c r="C52"/>
  <c r="C46" s="1"/>
  <c r="C47"/>
  <c r="I52"/>
  <c r="I46" s="1"/>
  <c r="I47"/>
  <c r="I22" i="2"/>
  <c r="J22" s="1"/>
  <c r="K22" s="1"/>
  <c r="L22" s="1"/>
  <c r="M22" s="1"/>
  <c r="N22" s="1"/>
  <c r="O22" s="1"/>
  <c r="Y7"/>
  <c r="X26"/>
  <c r="X28"/>
  <c r="Y9"/>
  <c r="T25" i="21"/>
  <c r="T24"/>
  <c r="T26"/>
  <c r="T5"/>
  <c r="T7"/>
  <c r="T9"/>
  <c r="T11"/>
  <c r="T13"/>
  <c r="T15"/>
  <c r="T17"/>
  <c r="T19"/>
  <c r="T4"/>
  <c r="T6"/>
  <c r="T8"/>
  <c r="T10"/>
  <c r="T12"/>
  <c r="T14"/>
  <c r="T16"/>
  <c r="T18"/>
  <c r="T20"/>
  <c r="S22"/>
  <c r="S36" i="2"/>
  <c r="S21"/>
  <c r="AS21" s="1"/>
  <c r="AR36"/>
  <c r="R49"/>
  <c r="T3" i="34"/>
  <c r="T3" i="17"/>
  <c r="T3" i="15"/>
  <c r="T3" i="36"/>
  <c r="T3" i="33"/>
  <c r="T3" i="32"/>
  <c r="R8" i="2"/>
  <c r="R13"/>
  <c r="R3"/>
  <c r="AI33" l="1"/>
  <c r="AI29" s="1"/>
  <c r="AH33"/>
  <c r="AH22" s="1"/>
  <c r="I48" i="19"/>
  <c r="I49" s="1"/>
  <c r="AC10" i="2" s="1"/>
  <c r="C44" s="1"/>
  <c r="AG33"/>
  <c r="AG22" s="1"/>
  <c r="AK33"/>
  <c r="AK24" s="1"/>
  <c r="AM33"/>
  <c r="AM31" s="1"/>
  <c r="B48" i="19"/>
  <c r="B49" s="1"/>
  <c r="AC3" i="2" s="1"/>
  <c r="E37" s="1"/>
  <c r="G48" i="19"/>
  <c r="G49" s="1"/>
  <c r="AC8" i="2" s="1"/>
  <c r="N42" s="1"/>
  <c r="E48" i="19"/>
  <c r="E49" s="1"/>
  <c r="AC6" i="2" s="1"/>
  <c r="V40" s="1"/>
  <c r="L48" i="19"/>
  <c r="L49" s="1"/>
  <c r="AC13" i="2" s="1"/>
  <c r="M47" s="1"/>
  <c r="J48" i="19"/>
  <c r="J49" s="1"/>
  <c r="AC11" i="2" s="1"/>
  <c r="L45" s="1"/>
  <c r="AL33"/>
  <c r="AL22" s="1"/>
  <c r="AJ33"/>
  <c r="AJ29" s="1"/>
  <c r="AN33"/>
  <c r="AN32" s="1"/>
  <c r="AC33"/>
  <c r="AC25" s="1"/>
  <c r="H48" i="19"/>
  <c r="H49" s="1"/>
  <c r="AC9" i="2" s="1"/>
  <c r="O43" s="1"/>
  <c r="D48" i="19"/>
  <c r="D49" s="1"/>
  <c r="AC5" i="2" s="1"/>
  <c r="L39" s="1"/>
  <c r="AD33"/>
  <c r="AD25" s="1"/>
  <c r="AE33"/>
  <c r="AE31" s="1"/>
  <c r="AF33"/>
  <c r="AF27" s="1"/>
  <c r="K48" i="19"/>
  <c r="K49" s="1"/>
  <c r="AC12" i="2" s="1"/>
  <c r="V46" s="1"/>
  <c r="C48" i="19"/>
  <c r="C49" s="1"/>
  <c r="AC4" i="2" s="1"/>
  <c r="M38" s="1"/>
  <c r="F48" i="19"/>
  <c r="F49" s="1"/>
  <c r="AC7" i="2" s="1"/>
  <c r="Q41" s="1"/>
  <c r="AG30"/>
  <c r="D44"/>
  <c r="AF32"/>
  <c r="V44"/>
  <c r="E47"/>
  <c r="C46"/>
  <c r="T44"/>
  <c r="M46"/>
  <c r="R44"/>
  <c r="W44"/>
  <c r="K44"/>
  <c r="L37"/>
  <c r="C37"/>
  <c r="J44"/>
  <c r="X44"/>
  <c r="K46"/>
  <c r="T45"/>
  <c r="AE29"/>
  <c r="O37"/>
  <c r="I40"/>
  <c r="N39"/>
  <c r="K45"/>
  <c r="G44"/>
  <c r="L44"/>
  <c r="Y44"/>
  <c r="H46"/>
  <c r="I44"/>
  <c r="O44"/>
  <c r="U45"/>
  <c r="Q45"/>
  <c r="W46"/>
  <c r="AE26"/>
  <c r="AH26"/>
  <c r="P42"/>
  <c r="U40"/>
  <c r="G40"/>
  <c r="C39"/>
  <c r="S39"/>
  <c r="C47"/>
  <c r="E46"/>
  <c r="I37"/>
  <c r="J42"/>
  <c r="K40"/>
  <c r="F40"/>
  <c r="M40"/>
  <c r="F42"/>
  <c r="S40"/>
  <c r="AD5"/>
  <c r="T39"/>
  <c r="G37"/>
  <c r="G47"/>
  <c r="H37"/>
  <c r="D43"/>
  <c r="AC23"/>
  <c r="AC28"/>
  <c r="AG24"/>
  <c r="AG23"/>
  <c r="AK23"/>
  <c r="R27"/>
  <c r="U24" i="21"/>
  <c r="U26"/>
  <c r="U25"/>
  <c r="AL25" i="2"/>
  <c r="AO33"/>
  <c r="AO31" s="1"/>
  <c r="AJ26"/>
  <c r="AL28"/>
  <c r="AI31"/>
  <c r="AI23"/>
  <c r="AM23"/>
  <c r="AI25"/>
  <c r="AI24"/>
  <c r="AK29"/>
  <c r="AM27"/>
  <c r="AI32"/>
  <c r="AI26"/>
  <c r="AK32"/>
  <c r="AM29"/>
  <c r="AM22"/>
  <c r="AJ27"/>
  <c r="P22"/>
  <c r="AP33" s="1"/>
  <c r="R32"/>
  <c r="U4" i="21"/>
  <c r="U6"/>
  <c r="U8"/>
  <c r="U10"/>
  <c r="U12"/>
  <c r="U14"/>
  <c r="U16"/>
  <c r="U18"/>
  <c r="U20"/>
  <c r="U5"/>
  <c r="U7"/>
  <c r="U9"/>
  <c r="U11"/>
  <c r="U13"/>
  <c r="U15"/>
  <c r="U17"/>
  <c r="U19"/>
  <c r="T22"/>
  <c r="S49" i="2"/>
  <c r="AS36"/>
  <c r="T36"/>
  <c r="T21"/>
  <c r="AT21" s="1"/>
  <c r="U3" i="17"/>
  <c r="U3" i="36"/>
  <c r="U3" i="34"/>
  <c r="U3" i="33"/>
  <c r="U3" i="32"/>
  <c r="U3" i="15"/>
  <c r="S13" i="2"/>
  <c r="S8"/>
  <c r="S3"/>
  <c r="X41" l="1"/>
  <c r="AJ23"/>
  <c r="AK30"/>
  <c r="AI27"/>
  <c r="AI28"/>
  <c r="AK31"/>
  <c r="AI30"/>
  <c r="AI22"/>
  <c r="AJ32"/>
  <c r="AC27"/>
  <c r="AC24"/>
  <c r="AC30"/>
  <c r="N37"/>
  <c r="J39"/>
  <c r="R39"/>
  <c r="W39"/>
  <c r="H40"/>
  <c r="Q40"/>
  <c r="G46"/>
  <c r="F39"/>
  <c r="H39"/>
  <c r="T40"/>
  <c r="AE32"/>
  <c r="P44"/>
  <c r="J41"/>
  <c r="P45"/>
  <c r="J45"/>
  <c r="N44"/>
  <c r="F46"/>
  <c r="T46"/>
  <c r="P46"/>
  <c r="F44"/>
  <c r="S44"/>
  <c r="E44"/>
  <c r="C45"/>
  <c r="L40"/>
  <c r="J37"/>
  <c r="AE23"/>
  <c r="L46"/>
  <c r="X45"/>
  <c r="D46"/>
  <c r="M44"/>
  <c r="AD10"/>
  <c r="W40"/>
  <c r="AD3"/>
  <c r="Q44"/>
  <c r="N45"/>
  <c r="AE22"/>
  <c r="H44"/>
  <c r="U44"/>
  <c r="R47"/>
  <c r="AN27"/>
  <c r="AM28"/>
  <c r="AM26"/>
  <c r="AG32"/>
  <c r="Y47"/>
  <c r="K42"/>
  <c r="AG25"/>
  <c r="AH23"/>
  <c r="AH27"/>
  <c r="AN29"/>
  <c r="AL27"/>
  <c r="AN31"/>
  <c r="AG26"/>
  <c r="AG28"/>
  <c r="AG29"/>
  <c r="AG27"/>
  <c r="AG31"/>
  <c r="M43"/>
  <c r="F47"/>
  <c r="I42"/>
  <c r="U43"/>
  <c r="AH28"/>
  <c r="AH29"/>
  <c r="AH32"/>
  <c r="AH31"/>
  <c r="AD23"/>
  <c r="G43"/>
  <c r="D47"/>
  <c r="Q43"/>
  <c r="AD22"/>
  <c r="AF28"/>
  <c r="H43"/>
  <c r="C42"/>
  <c r="AH24"/>
  <c r="AH30"/>
  <c r="K43"/>
  <c r="N47"/>
  <c r="AH25"/>
  <c r="O42"/>
  <c r="N38"/>
  <c r="O41"/>
  <c r="R41"/>
  <c r="N41"/>
  <c r="V41"/>
  <c r="I46"/>
  <c r="C41"/>
  <c r="M41"/>
  <c r="U39"/>
  <c r="D39"/>
  <c r="Y45"/>
  <c r="P41"/>
  <c r="Y41"/>
  <c r="AJ28"/>
  <c r="AJ31"/>
  <c r="AJ22"/>
  <c r="AK28"/>
  <c r="AK27"/>
  <c r="AK22"/>
  <c r="AK25"/>
  <c r="AK26"/>
  <c r="AJ25"/>
  <c r="AJ24"/>
  <c r="AJ30"/>
  <c r="AC31"/>
  <c r="AC32"/>
  <c r="AC29"/>
  <c r="AC22"/>
  <c r="V39"/>
  <c r="D37"/>
  <c r="Y37"/>
  <c r="F37"/>
  <c r="Y39"/>
  <c r="G39"/>
  <c r="X39"/>
  <c r="Q39"/>
  <c r="M39"/>
  <c r="P40"/>
  <c r="X40"/>
  <c r="Y40"/>
  <c r="AD6"/>
  <c r="C40"/>
  <c r="M37"/>
  <c r="AC26"/>
  <c r="O46"/>
  <c r="J46"/>
  <c r="D40"/>
  <c r="E39"/>
  <c r="O39"/>
  <c r="O40"/>
  <c r="N40"/>
  <c r="R40"/>
  <c r="K37"/>
  <c r="AE28"/>
  <c r="AE27"/>
  <c r="AE30"/>
  <c r="Y46"/>
  <c r="H45"/>
  <c r="I45"/>
  <c r="O45"/>
  <c r="AD11"/>
  <c r="F45"/>
  <c r="I41"/>
  <c r="H41"/>
  <c r="S46"/>
  <c r="F41"/>
  <c r="G41"/>
  <c r="S41"/>
  <c r="K41"/>
  <c r="U46"/>
  <c r="D41"/>
  <c r="E45"/>
  <c r="W41"/>
  <c r="P39"/>
  <c r="K39"/>
  <c r="J40"/>
  <c r="AE25"/>
  <c r="AE24"/>
  <c r="AD12"/>
  <c r="M45"/>
  <c r="V45"/>
  <c r="Q46"/>
  <c r="AD7"/>
  <c r="N46"/>
  <c r="U41"/>
  <c r="G45"/>
  <c r="I39"/>
  <c r="E40"/>
  <c r="X46"/>
  <c r="D45"/>
  <c r="W45"/>
  <c r="L41"/>
  <c r="E41"/>
  <c r="R46"/>
  <c r="R45"/>
  <c r="S45"/>
  <c r="AN25"/>
  <c r="AL23"/>
  <c r="AM24"/>
  <c r="AM25"/>
  <c r="AM32"/>
  <c r="AM30"/>
  <c r="AN23"/>
  <c r="AN24"/>
  <c r="AL29"/>
  <c r="AD27"/>
  <c r="E43"/>
  <c r="N43"/>
  <c r="C43"/>
  <c r="AD13"/>
  <c r="J47"/>
  <c r="O47"/>
  <c r="H42"/>
  <c r="G42"/>
  <c r="D42"/>
  <c r="J43"/>
  <c r="AD29"/>
  <c r="W43"/>
  <c r="P47"/>
  <c r="H47"/>
  <c r="L42"/>
  <c r="G38"/>
  <c r="V38"/>
  <c r="K47"/>
  <c r="M42"/>
  <c r="Q47"/>
  <c r="AD8"/>
  <c r="AF23"/>
  <c r="W38"/>
  <c r="S38"/>
  <c r="AD28"/>
  <c r="I47"/>
  <c r="Q42"/>
  <c r="AF26"/>
  <c r="Y38"/>
  <c r="K38"/>
  <c r="L38"/>
  <c r="L47"/>
  <c r="AF24"/>
  <c r="E42"/>
  <c r="Y42"/>
  <c r="T41"/>
  <c r="AN28"/>
  <c r="AN26"/>
  <c r="AL24"/>
  <c r="AL30"/>
  <c r="AL26"/>
  <c r="AN22"/>
  <c r="AL32"/>
  <c r="AN30"/>
  <c r="AL31"/>
  <c r="AD30"/>
  <c r="L43"/>
  <c r="V43"/>
  <c r="T43"/>
  <c r="R43"/>
  <c r="I43"/>
  <c r="X43"/>
  <c r="AD9"/>
  <c r="Y43"/>
  <c r="AD24"/>
  <c r="AD26"/>
  <c r="F43"/>
  <c r="S43"/>
  <c r="AF31"/>
  <c r="AF29"/>
  <c r="AF30"/>
  <c r="U38"/>
  <c r="AD4"/>
  <c r="T38"/>
  <c r="I38"/>
  <c r="P38"/>
  <c r="E38"/>
  <c r="C38"/>
  <c r="F38"/>
  <c r="D38"/>
  <c r="J38"/>
  <c r="AD32"/>
  <c r="AD31"/>
  <c r="P43"/>
  <c r="O38"/>
  <c r="R38"/>
  <c r="X38"/>
  <c r="AF25"/>
  <c r="AF22"/>
  <c r="H38"/>
  <c r="Q38"/>
  <c r="AO29"/>
  <c r="S27"/>
  <c r="R42"/>
  <c r="V25" i="21"/>
  <c r="V24"/>
  <c r="V26"/>
  <c r="V21" s="1"/>
  <c r="Z21" s="1"/>
  <c r="AO32" i="2"/>
  <c r="AO25"/>
  <c r="AO27"/>
  <c r="AO28"/>
  <c r="AO22"/>
  <c r="AO26"/>
  <c r="AO30"/>
  <c r="AO23"/>
  <c r="AO24"/>
  <c r="P37"/>
  <c r="Q22"/>
  <c r="AQ33" s="1"/>
  <c r="AQ31" s="1"/>
  <c r="AP28"/>
  <c r="AP32"/>
  <c r="AP27"/>
  <c r="AP29"/>
  <c r="AP24"/>
  <c r="AP23"/>
  <c r="AP22"/>
  <c r="AP30"/>
  <c r="AP25"/>
  <c r="AP31"/>
  <c r="AP26"/>
  <c r="S32"/>
  <c r="S47" s="1"/>
  <c r="V5" i="21"/>
  <c r="V7"/>
  <c r="V9"/>
  <c r="V11"/>
  <c r="V13"/>
  <c r="V15"/>
  <c r="V17"/>
  <c r="V19"/>
  <c r="V4"/>
  <c r="V6"/>
  <c r="V8"/>
  <c r="V10"/>
  <c r="V12"/>
  <c r="V14"/>
  <c r="V16"/>
  <c r="V18"/>
  <c r="V20"/>
  <c r="U22"/>
  <c r="V3" i="34"/>
  <c r="V3" i="33"/>
  <c r="V3" i="32"/>
  <c r="V3" i="15"/>
  <c r="V3" i="17"/>
  <c r="V3" i="36"/>
  <c r="AT36" i="2"/>
  <c r="T49"/>
  <c r="U21"/>
  <c r="AU21" s="1"/>
  <c r="U36"/>
  <c r="T3"/>
  <c r="T13"/>
  <c r="T8"/>
  <c r="AC48" l="1"/>
  <c r="AC47" s="1"/>
  <c r="AK48"/>
  <c r="AK39" s="1"/>
  <c r="AF48"/>
  <c r="AF37" s="1"/>
  <c r="AG48"/>
  <c r="AG37" s="1"/>
  <c r="AH48"/>
  <c r="AH41" s="1"/>
  <c r="AD48"/>
  <c r="AD44" s="1"/>
  <c r="AN48"/>
  <c r="AN37" s="1"/>
  <c r="AM48"/>
  <c r="AM41" s="1"/>
  <c r="AO48"/>
  <c r="AO45" s="1"/>
  <c r="AJ48"/>
  <c r="AJ38" s="1"/>
  <c r="AP48"/>
  <c r="AP41" s="1"/>
  <c r="AE48"/>
  <c r="AE44" s="1"/>
  <c r="AI48"/>
  <c r="AI37" s="1"/>
  <c r="AL48"/>
  <c r="AL46" s="1"/>
  <c r="AC43"/>
  <c r="AC37"/>
  <c r="AC46"/>
  <c r="T27"/>
  <c r="S42"/>
  <c r="W24" i="21"/>
  <c r="W26"/>
  <c r="W25"/>
  <c r="Q37" i="2"/>
  <c r="AQ48" s="1"/>
  <c r="R22"/>
  <c r="AR33" s="1"/>
  <c r="AQ29"/>
  <c r="AQ24"/>
  <c r="AQ23"/>
  <c r="AQ28"/>
  <c r="AQ22"/>
  <c r="AQ26"/>
  <c r="AQ30"/>
  <c r="AQ32"/>
  <c r="AQ27"/>
  <c r="AQ25"/>
  <c r="T32"/>
  <c r="T47" s="1"/>
  <c r="V22" i="21"/>
  <c r="W4"/>
  <c r="W6"/>
  <c r="W8"/>
  <c r="W10"/>
  <c r="W12"/>
  <c r="W14"/>
  <c r="W16"/>
  <c r="W18"/>
  <c r="W20"/>
  <c r="W5"/>
  <c r="W7"/>
  <c r="W9"/>
  <c r="W11"/>
  <c r="W13"/>
  <c r="W15"/>
  <c r="W17"/>
  <c r="W19"/>
  <c r="W3" i="33"/>
  <c r="W3" i="32"/>
  <c r="W3" i="15"/>
  <c r="W3" i="17"/>
  <c r="W3" i="34"/>
  <c r="W3" i="36"/>
  <c r="U49" i="2"/>
  <c r="AU36"/>
  <c r="V36"/>
  <c r="V21"/>
  <c r="AV21" s="1"/>
  <c r="AP45"/>
  <c r="U3"/>
  <c r="U8"/>
  <c r="U13"/>
  <c r="AK40" l="1"/>
  <c r="AK38"/>
  <c r="AK46"/>
  <c r="AK41"/>
  <c r="AK44"/>
  <c r="AF41"/>
  <c r="AC44"/>
  <c r="AC38"/>
  <c r="AF39"/>
  <c r="AK42"/>
  <c r="AK47"/>
  <c r="AK37"/>
  <c r="AK45"/>
  <c r="AK43"/>
  <c r="AP46"/>
  <c r="AP39"/>
  <c r="AF40"/>
  <c r="AC41"/>
  <c r="AC42"/>
  <c r="AC45"/>
  <c r="AC40"/>
  <c r="AC39"/>
  <c r="AF46"/>
  <c r="AF38"/>
  <c r="AF45"/>
  <c r="AO42"/>
  <c r="AD38"/>
  <c r="AG39"/>
  <c r="AG41"/>
  <c r="AD37"/>
  <c r="AD42"/>
  <c r="AG46"/>
  <c r="AG38"/>
  <c r="AE38"/>
  <c r="AE40"/>
  <c r="AD39"/>
  <c r="AP42"/>
  <c r="AP44"/>
  <c r="AF47"/>
  <c r="AF42"/>
  <c r="AF43"/>
  <c r="AO37"/>
  <c r="AF44"/>
  <c r="AD46"/>
  <c r="AD41"/>
  <c r="AD40"/>
  <c r="AM47"/>
  <c r="AG40"/>
  <c r="AG47"/>
  <c r="AG42"/>
  <c r="AG44"/>
  <c r="AG45"/>
  <c r="AM43"/>
  <c r="AG43"/>
  <c r="AD45"/>
  <c r="AL44"/>
  <c r="AE46"/>
  <c r="AD43"/>
  <c r="AD47"/>
  <c r="AN46"/>
  <c r="AH39"/>
  <c r="AN44"/>
  <c r="AN45"/>
  <c r="AH37"/>
  <c r="AI47"/>
  <c r="AH40"/>
  <c r="AO40"/>
  <c r="AI44"/>
  <c r="AN41"/>
  <c r="AN38"/>
  <c r="AN40"/>
  <c r="AH45"/>
  <c r="AH43"/>
  <c r="AH47"/>
  <c r="AH46"/>
  <c r="AO43"/>
  <c r="AI46"/>
  <c r="AO41"/>
  <c r="AI39"/>
  <c r="AI43"/>
  <c r="AN47"/>
  <c r="AH38"/>
  <c r="AN39"/>
  <c r="AH42"/>
  <c r="AH44"/>
  <c r="AN42"/>
  <c r="AO39"/>
  <c r="AO46"/>
  <c r="AI41"/>
  <c r="AI42"/>
  <c r="AO47"/>
  <c r="AO44"/>
  <c r="AO38"/>
  <c r="AN43"/>
  <c r="AJ37"/>
  <c r="AM39"/>
  <c r="AM40"/>
  <c r="AM42"/>
  <c r="AL41"/>
  <c r="AE47"/>
  <c r="AJ40"/>
  <c r="AM44"/>
  <c r="AM38"/>
  <c r="AM45"/>
  <c r="AJ42"/>
  <c r="AM37"/>
  <c r="AJ39"/>
  <c r="AJ47"/>
  <c r="AM46"/>
  <c r="AE43"/>
  <c r="AL42"/>
  <c r="AJ45"/>
  <c r="AJ41"/>
  <c r="AJ46"/>
  <c r="AJ44"/>
  <c r="AJ43"/>
  <c r="AE41"/>
  <c r="AE45"/>
  <c r="AL40"/>
  <c r="AL45"/>
  <c r="AP43"/>
  <c r="AP47"/>
  <c r="AP40"/>
  <c r="AP38"/>
  <c r="AP37"/>
  <c r="AI45"/>
  <c r="AI40"/>
  <c r="AI38"/>
  <c r="AE37"/>
  <c r="AL47"/>
  <c r="AL37"/>
  <c r="AE39"/>
  <c r="AE42"/>
  <c r="AL43"/>
  <c r="AL39"/>
  <c r="AL38"/>
  <c r="U27"/>
  <c r="T42"/>
  <c r="X25" i="21"/>
  <c r="Z25" s="1"/>
  <c r="X24"/>
  <c r="Z24" s="1"/>
  <c r="X26"/>
  <c r="Z26" s="1"/>
  <c r="R37" i="2"/>
  <c r="AR48" s="1"/>
  <c r="AR41" s="1"/>
  <c r="S22"/>
  <c r="AS33" s="1"/>
  <c r="AR28"/>
  <c r="AR32"/>
  <c r="AR29"/>
  <c r="AR23"/>
  <c r="AR25"/>
  <c r="AR22"/>
  <c r="AR30"/>
  <c r="AR26"/>
  <c r="AR24"/>
  <c r="AR31"/>
  <c r="AR27"/>
  <c r="U32"/>
  <c r="U47" s="1"/>
  <c r="AQ45"/>
  <c r="AQ41"/>
  <c r="X5" i="21"/>
  <c r="Z5" s="1"/>
  <c r="X7"/>
  <c r="Z7" s="1"/>
  <c r="X9"/>
  <c r="Z9" s="1"/>
  <c r="X11"/>
  <c r="Z11" s="1"/>
  <c r="X13"/>
  <c r="Z13" s="1"/>
  <c r="X15"/>
  <c r="Z15" s="1"/>
  <c r="X17"/>
  <c r="Z17" s="1"/>
  <c r="X19"/>
  <c r="Z19" s="1"/>
  <c r="X4"/>
  <c r="X6"/>
  <c r="Z6" s="1"/>
  <c r="X8"/>
  <c r="Z8" s="1"/>
  <c r="X10"/>
  <c r="Z10" s="1"/>
  <c r="X12"/>
  <c r="Z12" s="1"/>
  <c r="X14"/>
  <c r="Z14" s="1"/>
  <c r="X16"/>
  <c r="Z16" s="1"/>
  <c r="X18"/>
  <c r="Z18" s="1"/>
  <c r="X20"/>
  <c r="Z20" s="1"/>
  <c r="W22"/>
  <c r="W21" i="2"/>
  <c r="AW21" s="1"/>
  <c r="W36"/>
  <c r="AV36"/>
  <c r="V49"/>
  <c r="AQ47"/>
  <c r="AQ46"/>
  <c r="AQ37"/>
  <c r="AQ39"/>
  <c r="AQ38"/>
  <c r="AQ40"/>
  <c r="AQ44"/>
  <c r="AQ43"/>
  <c r="AQ42"/>
  <c r="V8"/>
  <c r="V13"/>
  <c r="V3"/>
  <c r="V27" l="1"/>
  <c r="U42"/>
  <c r="S37"/>
  <c r="AS48" s="1"/>
  <c r="AS41" s="1"/>
  <c r="T22"/>
  <c r="AT33" s="1"/>
  <c r="AS25"/>
  <c r="AS32"/>
  <c r="AS30"/>
  <c r="AS28"/>
  <c r="AS29"/>
  <c r="AS22"/>
  <c r="AS26"/>
  <c r="AS24"/>
  <c r="AS23"/>
  <c r="AS31"/>
  <c r="AS27"/>
  <c r="V32"/>
  <c r="V47" s="1"/>
  <c r="X22" i="21"/>
  <c r="Z4"/>
  <c r="Z22" s="1"/>
  <c r="AW36" i="2"/>
  <c r="W49"/>
  <c r="AR37"/>
  <c r="AR39"/>
  <c r="AR38"/>
  <c r="AR40"/>
  <c r="AR44"/>
  <c r="AR43"/>
  <c r="AR46"/>
  <c r="AR47"/>
  <c r="AR42"/>
  <c r="AR45"/>
  <c r="W8"/>
  <c r="W13"/>
  <c r="W3"/>
  <c r="Y8" l="1"/>
  <c r="W27"/>
  <c r="V42"/>
  <c r="T37"/>
  <c r="AT48" s="1"/>
  <c r="U22"/>
  <c r="AU33" s="1"/>
  <c r="AT29"/>
  <c r="AT24"/>
  <c r="AT23"/>
  <c r="AT25"/>
  <c r="AT22"/>
  <c r="AT28"/>
  <c r="AT30"/>
  <c r="AT32"/>
  <c r="AT31"/>
  <c r="AT27"/>
  <c r="AT26"/>
  <c r="W32"/>
  <c r="Y13"/>
  <c r="Y3"/>
  <c r="AS37"/>
  <c r="AS39"/>
  <c r="AS38"/>
  <c r="AS44"/>
  <c r="AS40"/>
  <c r="AS42"/>
  <c r="AS47"/>
  <c r="AS45"/>
  <c r="AS46"/>
  <c r="AS43"/>
  <c r="W42" l="1"/>
  <c r="X27"/>
  <c r="X42" s="1"/>
  <c r="W47"/>
  <c r="X32"/>
  <c r="X47" s="1"/>
  <c r="U37"/>
  <c r="AU48" s="1"/>
  <c r="V22"/>
  <c r="AU29"/>
  <c r="AU32"/>
  <c r="AU24"/>
  <c r="AU28"/>
  <c r="AU23"/>
  <c r="AU25"/>
  <c r="AU30"/>
  <c r="AU22"/>
  <c r="AU31"/>
  <c r="AU26"/>
  <c r="AU27"/>
  <c r="AT43"/>
  <c r="AT41"/>
  <c r="Z8"/>
  <c r="Z9"/>
  <c r="Z5"/>
  <c r="Z7"/>
  <c r="Z13"/>
  <c r="Z12"/>
  <c r="Z11"/>
  <c r="Z4"/>
  <c r="Z10"/>
  <c r="Z6"/>
  <c r="Z3"/>
  <c r="AT45"/>
  <c r="AT47"/>
  <c r="AT46"/>
  <c r="AT42"/>
  <c r="AT37"/>
  <c r="AT39"/>
  <c r="AT38"/>
  <c r="AT44"/>
  <c r="AT40"/>
  <c r="V37" l="1"/>
  <c r="AV48" s="1"/>
  <c r="AV47" s="1"/>
  <c r="W22"/>
  <c r="AV33"/>
  <c r="AV29" s="1"/>
  <c r="B52"/>
  <c r="B54"/>
  <c r="B56"/>
  <c r="B58"/>
  <c r="B60"/>
  <c r="B51"/>
  <c r="B53"/>
  <c r="B55"/>
  <c r="B57"/>
  <c r="B59"/>
  <c r="B50"/>
  <c r="X50" s="1"/>
  <c r="AU37"/>
  <c r="AU41"/>
  <c r="AU42"/>
  <c r="AU47"/>
  <c r="AU45"/>
  <c r="AU46"/>
  <c r="AU43"/>
  <c r="AU40"/>
  <c r="AU38"/>
  <c r="AU44"/>
  <c r="AU39"/>
  <c r="AW33" l="1"/>
  <c r="AW29" s="1"/>
  <c r="X22"/>
  <c r="AX33" s="1"/>
  <c r="W57"/>
  <c r="X57"/>
  <c r="W53"/>
  <c r="X53"/>
  <c r="W60"/>
  <c r="X60"/>
  <c r="W56"/>
  <c r="X56"/>
  <c r="W52"/>
  <c r="X52"/>
  <c r="W59"/>
  <c r="X59"/>
  <c r="W55"/>
  <c r="X55"/>
  <c r="W51"/>
  <c r="X51"/>
  <c r="W58"/>
  <c r="X58"/>
  <c r="W54"/>
  <c r="X54"/>
  <c r="W50"/>
  <c r="AV26"/>
  <c r="AV31"/>
  <c r="AV27"/>
  <c r="AV25"/>
  <c r="AV30"/>
  <c r="AV28"/>
  <c r="AV32"/>
  <c r="AV24"/>
  <c r="AV22"/>
  <c r="AV23"/>
  <c r="W37"/>
  <c r="AW48" s="1"/>
  <c r="AW41" s="1"/>
  <c r="AW30"/>
  <c r="AV42"/>
  <c r="AV37"/>
  <c r="AV41"/>
  <c r="V60"/>
  <c r="T60"/>
  <c r="R60"/>
  <c r="P60"/>
  <c r="N60"/>
  <c r="L60"/>
  <c r="J60"/>
  <c r="H60"/>
  <c r="F60"/>
  <c r="D60"/>
  <c r="U60"/>
  <c r="S60"/>
  <c r="Q60"/>
  <c r="O60"/>
  <c r="M60"/>
  <c r="K60"/>
  <c r="I60"/>
  <c r="G60"/>
  <c r="E60"/>
  <c r="C60"/>
  <c r="V59"/>
  <c r="R59"/>
  <c r="P59"/>
  <c r="N59"/>
  <c r="J59"/>
  <c r="F59"/>
  <c r="U59"/>
  <c r="S59"/>
  <c r="Q59"/>
  <c r="O59"/>
  <c r="M59"/>
  <c r="K59"/>
  <c r="I59"/>
  <c r="G59"/>
  <c r="E59"/>
  <c r="C59"/>
  <c r="T59"/>
  <c r="L59"/>
  <c r="H59"/>
  <c r="D59"/>
  <c r="AV38"/>
  <c r="AV46"/>
  <c r="AV45"/>
  <c r="AV40"/>
  <c r="AV44"/>
  <c r="AV43"/>
  <c r="AV39"/>
  <c r="W62" l="1"/>
  <c r="W63"/>
  <c r="AW32"/>
  <c r="AW28"/>
  <c r="AW23"/>
  <c r="AW27"/>
  <c r="AW26"/>
  <c r="AW31"/>
  <c r="AW22"/>
  <c r="AW25"/>
  <c r="AW24"/>
  <c r="AX29"/>
  <c r="AX24"/>
  <c r="AX28"/>
  <c r="AX23"/>
  <c r="AX25"/>
  <c r="AX27"/>
  <c r="AX31"/>
  <c r="AX30"/>
  <c r="AX32"/>
  <c r="AX26"/>
  <c r="X37"/>
  <c r="AX48" s="1"/>
  <c r="AX22"/>
  <c r="Z60"/>
  <c r="AB60" s="1"/>
  <c r="Z59"/>
  <c r="AB59" s="1"/>
  <c r="AW37"/>
  <c r="AW39"/>
  <c r="AW44"/>
  <c r="AW38"/>
  <c r="AW40"/>
  <c r="AW46"/>
  <c r="AW47"/>
  <c r="AW45"/>
  <c r="AW42"/>
  <c r="AW43"/>
  <c r="AX43" l="1"/>
  <c r="AX41"/>
  <c r="E54"/>
  <c r="T51"/>
  <c r="J52"/>
  <c r="L56"/>
  <c r="C55"/>
  <c r="V50"/>
  <c r="T57"/>
  <c r="U53"/>
  <c r="P58"/>
  <c r="Q55"/>
  <c r="D51"/>
  <c r="O52"/>
  <c r="D57"/>
  <c r="K58"/>
  <c r="AX42"/>
  <c r="AX45"/>
  <c r="AX47"/>
  <c r="AX46"/>
  <c r="AX37"/>
  <c r="AX39"/>
  <c r="AX38"/>
  <c r="AX44"/>
  <c r="AX40"/>
  <c r="S54" l="1"/>
  <c r="N56"/>
  <c r="I54"/>
  <c r="K54"/>
  <c r="E53"/>
  <c r="T50"/>
  <c r="N54"/>
  <c r="P54"/>
  <c r="O56"/>
  <c r="E56"/>
  <c r="I50"/>
  <c r="P50"/>
  <c r="T54"/>
  <c r="U54"/>
  <c r="F54"/>
  <c r="D54"/>
  <c r="V53"/>
  <c r="Q53"/>
  <c r="I56"/>
  <c r="J56"/>
  <c r="D52"/>
  <c r="S51"/>
  <c r="U55"/>
  <c r="U50"/>
  <c r="C50"/>
  <c r="M54"/>
  <c r="L54"/>
  <c r="J54"/>
  <c r="C54"/>
  <c r="G54"/>
  <c r="R54"/>
  <c r="Q54"/>
  <c r="O54"/>
  <c r="H54"/>
  <c r="V54"/>
  <c r="P53"/>
  <c r="S53"/>
  <c r="D53"/>
  <c r="R56"/>
  <c r="S56"/>
  <c r="Q56"/>
  <c r="K56"/>
  <c r="O58"/>
  <c r="M57"/>
  <c r="O57"/>
  <c r="T52"/>
  <c r="J51"/>
  <c r="E51"/>
  <c r="G51"/>
  <c r="P55"/>
  <c r="G58"/>
  <c r="L58"/>
  <c r="R57"/>
  <c r="N57"/>
  <c r="L52"/>
  <c r="H52"/>
  <c r="V52"/>
  <c r="I51"/>
  <c r="H51"/>
  <c r="R51"/>
  <c r="N51"/>
  <c r="M51"/>
  <c r="D55"/>
  <c r="H55"/>
  <c r="I58"/>
  <c r="T58"/>
  <c r="F58"/>
  <c r="M58"/>
  <c r="E58"/>
  <c r="D58"/>
  <c r="G57"/>
  <c r="P57"/>
  <c r="J57"/>
  <c r="L57"/>
  <c r="U57"/>
  <c r="G52"/>
  <c r="R52"/>
  <c r="I52"/>
  <c r="E52"/>
  <c r="N52"/>
  <c r="C51"/>
  <c r="U51"/>
  <c r="Q51"/>
  <c r="P51"/>
  <c r="F51"/>
  <c r="O51"/>
  <c r="L51"/>
  <c r="V51"/>
  <c r="K51"/>
  <c r="N55"/>
  <c r="M55"/>
  <c r="E55"/>
  <c r="R55"/>
  <c r="V55"/>
  <c r="C58"/>
  <c r="N58"/>
  <c r="U58"/>
  <c r="Q58"/>
  <c r="R58"/>
  <c r="J58"/>
  <c r="S58"/>
  <c r="H58"/>
  <c r="V58"/>
  <c r="I57"/>
  <c r="F57"/>
  <c r="K57"/>
  <c r="C57"/>
  <c r="V57"/>
  <c r="E57"/>
  <c r="H57"/>
  <c r="Q57"/>
  <c r="S57"/>
  <c r="K52"/>
  <c r="P52"/>
  <c r="Q52"/>
  <c r="M52"/>
  <c r="U52"/>
  <c r="C52"/>
  <c r="F52"/>
  <c r="S52"/>
  <c r="I55"/>
  <c r="K55"/>
  <c r="L55"/>
  <c r="S55"/>
  <c r="O55"/>
  <c r="J55"/>
  <c r="F55"/>
  <c r="G55"/>
  <c r="T55"/>
  <c r="L50"/>
  <c r="N50"/>
  <c r="S50"/>
  <c r="R50"/>
  <c r="J50"/>
  <c r="L53"/>
  <c r="O53"/>
  <c r="C53"/>
  <c r="T53"/>
  <c r="F53"/>
  <c r="C56"/>
  <c r="M56"/>
  <c r="U56"/>
  <c r="H56"/>
  <c r="T56"/>
  <c r="G56"/>
  <c r="V56"/>
  <c r="F56"/>
  <c r="D56"/>
  <c r="P56"/>
  <c r="E50"/>
  <c r="G50"/>
  <c r="D50"/>
  <c r="Q50"/>
  <c r="F50"/>
  <c r="K50"/>
  <c r="H50"/>
  <c r="M50"/>
  <c r="O50"/>
  <c r="J53"/>
  <c r="G53"/>
  <c r="I53"/>
  <c r="M53"/>
  <c r="N53"/>
  <c r="K53"/>
  <c r="R53"/>
  <c r="H53"/>
  <c r="V62" l="1"/>
  <c r="M62"/>
  <c r="M63"/>
  <c r="X63"/>
  <c r="X62"/>
  <c r="F63"/>
  <c r="F62"/>
  <c r="D63"/>
  <c r="D62"/>
  <c r="E62"/>
  <c r="E63"/>
  <c r="J63"/>
  <c r="J62"/>
  <c r="S62"/>
  <c r="S63"/>
  <c r="L63"/>
  <c r="L62"/>
  <c r="U62"/>
  <c r="U63"/>
  <c r="I62"/>
  <c r="I63"/>
  <c r="V63"/>
  <c r="O62"/>
  <c r="O63"/>
  <c r="H63"/>
  <c r="H62"/>
  <c r="K62"/>
  <c r="K63"/>
  <c r="Q62"/>
  <c r="Q63"/>
  <c r="G62"/>
  <c r="G63"/>
  <c r="R63"/>
  <c r="R62"/>
  <c r="N63"/>
  <c r="N62"/>
  <c r="P63"/>
  <c r="P62"/>
  <c r="T63"/>
  <c r="T62"/>
  <c r="Z54"/>
  <c r="AB54" s="1"/>
  <c r="Z52"/>
  <c r="AB52" s="1"/>
  <c r="Z51"/>
  <c r="AB51" s="1"/>
  <c r="C62"/>
  <c r="Z55"/>
  <c r="AB55" s="1"/>
  <c r="Z58"/>
  <c r="AB58" s="1"/>
  <c r="C63"/>
  <c r="Z57"/>
  <c r="AB57" s="1"/>
  <c r="Z53"/>
  <c r="AB53" s="1"/>
  <c r="Z56"/>
  <c r="AB56" s="1"/>
  <c r="Z50"/>
  <c r="AB50" l="1"/>
  <c r="Z63"/>
  <c r="Z62"/>
</calcChain>
</file>

<file path=xl/comments1.xml><?xml version="1.0" encoding="utf-8"?>
<comments xmlns="http://schemas.openxmlformats.org/spreadsheetml/2006/main">
  <authors>
    <author>Ernest Berkhout</author>
  </authors>
  <commentList>
    <comment ref="C3" authorId="0">
      <text>
        <r>
          <rPr>
            <b/>
            <sz val="8"/>
            <color indexed="81"/>
            <rFont val="Tahoma"/>
            <family val="2"/>
          </rPr>
          <t>Ernest Berkhout:</t>
        </r>
        <r>
          <rPr>
            <sz val="8"/>
            <color indexed="81"/>
            <rFont val="Tahoma"/>
            <family val="2"/>
          </rPr>
          <t xml:space="preserve">
plus Aselect/10 om exact gelijke stand te vermijden</t>
        </r>
      </text>
    </comment>
  </commentList>
</comments>
</file>

<file path=xl/sharedStrings.xml><?xml version="1.0" encoding="utf-8"?>
<sst xmlns="http://schemas.openxmlformats.org/spreadsheetml/2006/main" count="764" uniqueCount="226">
  <si>
    <t>Aantal etappe-overwinningen</t>
  </si>
  <si>
    <t>Bonus</t>
  </si>
  <si>
    <t>B</t>
  </si>
  <si>
    <t>Originaliteit:</t>
  </si>
  <si>
    <t>Gemiddeld:</t>
  </si>
  <si>
    <t>daguitslag</t>
  </si>
  <si>
    <t>cumulatief</t>
  </si>
  <si>
    <t>rekenblad</t>
  </si>
  <si>
    <t>afwijking, cumulatief</t>
  </si>
  <si>
    <t># deelnemers</t>
  </si>
  <si>
    <t>invaller</t>
  </si>
  <si>
    <t>uitvaller/niet gestart</t>
  </si>
  <si>
    <t>klimmer</t>
  </si>
  <si>
    <t>sprinter</t>
  </si>
  <si>
    <t>dagrenner/tijdrijder</t>
  </si>
  <si>
    <t>orig1</t>
  </si>
  <si>
    <t>cumulatief, gecorrigeerd voor originaliteit</t>
  </si>
  <si>
    <t xml:space="preserve"> </t>
  </si>
  <si>
    <t xml:space="preserve">  </t>
  </si>
  <si>
    <t>evt. jokers:</t>
  </si>
  <si>
    <t>Etappe uitslag</t>
  </si>
  <si>
    <t>Positie</t>
  </si>
  <si>
    <t>Gele Trui</t>
  </si>
  <si>
    <t>Bolletjes Trui</t>
  </si>
  <si>
    <t xml:space="preserve">Groene Trui </t>
  </si>
  <si>
    <t>BONUS-punten eindklassement (eenmalig):</t>
  </si>
  <si>
    <t>P</t>
  </si>
  <si>
    <t>Test</t>
  </si>
  <si>
    <t>test2</t>
  </si>
  <si>
    <t>test3</t>
  </si>
  <si>
    <t>D</t>
  </si>
  <si>
    <t>E</t>
  </si>
  <si>
    <t>F</t>
  </si>
  <si>
    <t>G</t>
  </si>
  <si>
    <t>H</t>
  </si>
  <si>
    <t>I</t>
  </si>
  <si>
    <t>J</t>
  </si>
  <si>
    <t>K</t>
  </si>
  <si>
    <t>L</t>
  </si>
  <si>
    <t>M</t>
  </si>
  <si>
    <t>N</t>
  </si>
  <si>
    <t>O</t>
  </si>
  <si>
    <t>Q</t>
  </si>
  <si>
    <t>R</t>
  </si>
  <si>
    <t>S</t>
  </si>
  <si>
    <t>T</t>
  </si>
  <si>
    <t>U</t>
  </si>
  <si>
    <t>V</t>
  </si>
  <si>
    <t>W</t>
  </si>
  <si>
    <t>X</t>
  </si>
  <si>
    <t>test4</t>
  </si>
  <si>
    <t>test5</t>
  </si>
  <si>
    <t>test6</t>
  </si>
  <si>
    <t>test7</t>
  </si>
  <si>
    <t>test8</t>
  </si>
  <si>
    <t>test9</t>
  </si>
  <si>
    <t>test10</t>
  </si>
  <si>
    <t>test11</t>
  </si>
  <si>
    <t>test12</t>
  </si>
  <si>
    <t>test13</t>
  </si>
  <si>
    <t>test14</t>
  </si>
  <si>
    <t>test15</t>
  </si>
  <si>
    <t>test16</t>
  </si>
  <si>
    <t>test17</t>
  </si>
  <si>
    <t>teamnaam</t>
  </si>
  <si>
    <t>IJffjes Boys</t>
  </si>
  <si>
    <t>Brajkovic</t>
  </si>
  <si>
    <t>Cavendish</t>
  </si>
  <si>
    <t>Farrar</t>
  </si>
  <si>
    <t>Evans</t>
  </si>
  <si>
    <t>Martin</t>
  </si>
  <si>
    <t>Peter K.</t>
  </si>
  <si>
    <t>Boasson Hagen</t>
  </si>
  <si>
    <t>Kees</t>
  </si>
  <si>
    <t>Rojas</t>
  </si>
  <si>
    <t>Taaramae</t>
  </si>
  <si>
    <t>Voeckler</t>
  </si>
  <si>
    <t>Populariteit</t>
  </si>
  <si>
    <t>Willem</t>
  </si>
  <si>
    <t>Hesjedal</t>
  </si>
  <si>
    <t xml:space="preserve">Bolletjes Trui </t>
  </si>
  <si>
    <t xml:space="preserve">Gele Trui </t>
  </si>
  <si>
    <t>Bauke</t>
  </si>
  <si>
    <t>Mollema</t>
  </si>
  <si>
    <t>Gilbert</t>
  </si>
  <si>
    <t>Greipel</t>
  </si>
  <si>
    <t>Goss</t>
  </si>
  <si>
    <t>Danielson</t>
  </si>
  <si>
    <t>Van Den Broeck</t>
  </si>
  <si>
    <t>Gemiddeld eerste 8 overall:</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</si>
  <si>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</si>
  <si>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</si>
  <si>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</si>
  <si>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</si>
  <si>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</si>
  <si>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</si>
  <si>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</si>
  <si>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</si>
  <si>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</si>
  <si>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</si>
  <si>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</si>
  <si>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</si>
  <si>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</si>
  <si>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</si>
  <si>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Edwald</t>
  </si>
  <si>
    <t>Peter</t>
  </si>
  <si>
    <t>Sagan</t>
  </si>
  <si>
    <t>Marcel</t>
  </si>
  <si>
    <t>Kittel</t>
  </si>
  <si>
    <t>Jose Joaquin</t>
  </si>
  <si>
    <t>Matthew</t>
  </si>
  <si>
    <t>Cadel</t>
  </si>
  <si>
    <t>Valverde</t>
  </si>
  <si>
    <t>Tony</t>
  </si>
  <si>
    <t>Froome</t>
  </si>
  <si>
    <t>Matthijs</t>
  </si>
  <si>
    <t>Mark</t>
  </si>
  <si>
    <t>Philippe</t>
  </si>
  <si>
    <t>Andre</t>
  </si>
  <si>
    <t>Ryder</t>
  </si>
  <si>
    <t>Schleck</t>
  </si>
  <si>
    <t>Jurgen</t>
  </si>
  <si>
    <t>Van den Broeck</t>
  </si>
  <si>
    <t>Janez</t>
  </si>
  <si>
    <t>André</t>
  </si>
  <si>
    <t>Special Victims Unit</t>
  </si>
  <si>
    <t>Alejandro</t>
  </si>
  <si>
    <t>Christopher</t>
  </si>
  <si>
    <t>Edvald</t>
  </si>
  <si>
    <t>Thomas</t>
  </si>
  <si>
    <t>Am Selfkant</t>
  </si>
  <si>
    <t>Pierre</t>
  </si>
  <si>
    <t>Rolland</t>
  </si>
  <si>
    <t>De Lange Man</t>
  </si>
  <si>
    <t>van den Broeck</t>
  </si>
  <si>
    <t>El Gran</t>
  </si>
  <si>
    <t>Leen Hoogeveen</t>
  </si>
  <si>
    <t>Velits</t>
  </si>
  <si>
    <t>Lothar</t>
  </si>
  <si>
    <t>SVU</t>
  </si>
  <si>
    <t>Selfkant</t>
  </si>
  <si>
    <t>Lange</t>
  </si>
  <si>
    <t>Gran</t>
  </si>
  <si>
    <t>IJff</t>
  </si>
  <si>
    <t>Ami</t>
  </si>
  <si>
    <t>Alberto</t>
  </si>
  <si>
    <t>Contador</t>
  </si>
  <si>
    <t>Thibaut</t>
  </si>
  <si>
    <t>Pinot</t>
  </si>
  <si>
    <t>Richie</t>
  </si>
  <si>
    <t>Porte</t>
  </si>
  <si>
    <t>Joaquim</t>
  </si>
  <si>
    <t>Jakob</t>
  </si>
  <si>
    <t>Fuglsang</t>
  </si>
  <si>
    <t>Rui</t>
  </si>
  <si>
    <t>Costa</t>
  </si>
  <si>
    <t>Tejay</t>
  </si>
  <si>
    <t>Van Garderen</t>
  </si>
  <si>
    <t>Nairo Alexander</t>
  </si>
  <si>
    <t>Rodriguez</t>
  </si>
  <si>
    <t>Quintana</t>
  </si>
  <si>
    <t>van Garderen</t>
  </si>
  <si>
    <t xml:space="preserve">Alberto </t>
  </si>
  <si>
    <t xml:space="preserve">Chris </t>
  </si>
  <si>
    <t>de Gendt</t>
  </si>
  <si>
    <t xml:space="preserve">John </t>
  </si>
  <si>
    <t>Degenkolb</t>
  </si>
  <si>
    <t>Nacer</t>
  </si>
  <si>
    <t>Andy</t>
  </si>
  <si>
    <t>Bouhanni</t>
  </si>
  <si>
    <t>John</t>
  </si>
  <si>
    <t>Roman</t>
  </si>
  <si>
    <t>Kreuziger</t>
  </si>
  <si>
    <t>Daniel</t>
  </si>
  <si>
    <t>Moreno</t>
  </si>
  <si>
    <t>Kristoff</t>
  </si>
  <si>
    <t>Talansky</t>
  </si>
  <si>
    <t>Alexander</t>
  </si>
  <si>
    <t>Andrew</t>
  </si>
  <si>
    <t>For Sale</t>
  </si>
  <si>
    <t>Bart en Jolanthe</t>
  </si>
  <si>
    <t>Chris</t>
  </si>
  <si>
    <t xml:space="preserve">Richie </t>
  </si>
  <si>
    <t xml:space="preserve">Jurgen </t>
  </si>
  <si>
    <t xml:space="preserve">Cadel </t>
  </si>
  <si>
    <t xml:space="preserve">Bauke </t>
  </si>
  <si>
    <t>Gerard Brinksma</t>
  </si>
  <si>
    <t>Teejeay</t>
  </si>
  <si>
    <t>Nairo</t>
  </si>
  <si>
    <t>Joachim</t>
  </si>
  <si>
    <t>Thibout</t>
  </si>
  <si>
    <t xml:space="preserve">Andrew </t>
  </si>
  <si>
    <t>TinTopTeam</t>
  </si>
  <si>
    <t>Marjon Tinnemans</t>
  </si>
  <si>
    <t>José Joaquin</t>
  </si>
  <si>
    <t>Thibault</t>
  </si>
  <si>
    <t>Damiano</t>
  </si>
  <si>
    <t>Cunego</t>
  </si>
  <si>
    <t xml:space="preserve">Tony </t>
  </si>
  <si>
    <t>Gert</t>
  </si>
  <si>
    <t>Steegmans</t>
  </si>
  <si>
    <t>Phillipe</t>
  </si>
  <si>
    <t>Geraint</t>
  </si>
  <si>
    <t>Igor</t>
  </si>
  <si>
    <t>Anton</t>
  </si>
  <si>
    <t>Chrstian</t>
  </si>
  <si>
    <t>Niet geschoten</t>
  </si>
  <si>
    <t>Doet niet mee:</t>
  </si>
  <si>
    <t>Equipe l'Ami</t>
  </si>
  <si>
    <t>Edvald boasson</t>
  </si>
  <si>
    <t>Sylvain</t>
  </si>
  <si>
    <t>Chavanel</t>
  </si>
  <si>
    <t>Haimar</t>
  </si>
  <si>
    <t>Zubeldia</t>
  </si>
  <si>
    <t>Toni</t>
  </si>
  <si>
    <t>Vorwärts Kinder des Vaterlandes!</t>
  </si>
  <si>
    <t>Lothar Matthäus</t>
  </si>
  <si>
    <t>Annita IJff</t>
  </si>
  <si>
    <t>Tour de Kruiskamp</t>
  </si>
  <si>
    <t>Carin Kruiskamp</t>
  </si>
  <si>
    <t>Thabaut</t>
  </si>
  <si>
    <t>Vandevelde</t>
  </si>
  <si>
    <t>Niet</t>
  </si>
  <si>
    <t>Tin</t>
  </si>
  <si>
    <t>Tour</t>
  </si>
  <si>
    <t>Sale</t>
  </si>
</sst>
</file>

<file path=xl/styles.xml><?xml version="1.0" encoding="utf-8"?>
<styleSheet xmlns="http://schemas.openxmlformats.org/spreadsheetml/2006/main">
  <numFmts count="1">
    <numFmt numFmtId="164" formatCode="[$-413]General"/>
  </numFmts>
  <fonts count="105">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sz val="10"/>
      <color indexed="48"/>
      <name val="Verdana"/>
      <family val="2"/>
    </font>
    <font>
      <sz val="10"/>
      <color indexed="13"/>
      <name val="Verdana"/>
      <family val="2"/>
    </font>
    <font>
      <b/>
      <sz val="10"/>
      <name val="Arial"/>
      <family val="2"/>
    </font>
    <font>
      <sz val="10"/>
      <name val="Arial"/>
      <family val="2"/>
    </font>
    <font>
      <sz val="10"/>
      <color indexed="10"/>
      <name val="Arial"/>
      <family val="2"/>
    </font>
    <font>
      <i/>
      <sz val="10"/>
      <name val="Arial"/>
      <family val="2"/>
    </font>
    <font>
      <b/>
      <i/>
      <sz val="10"/>
      <name val="Verdana"/>
      <family val="2"/>
    </font>
    <font>
      <i/>
      <sz val="10"/>
      <color indexed="14"/>
      <name val="Arial"/>
      <family val="2"/>
    </font>
    <font>
      <i/>
      <sz val="10"/>
      <color indexed="14"/>
      <name val="Arial"/>
      <family val="2"/>
    </font>
    <font>
      <sz val="10"/>
      <color indexed="10"/>
      <name val="Arial"/>
      <family val="2"/>
    </font>
    <font>
      <sz val="10"/>
      <color indexed="10"/>
      <name val="Verdana"/>
      <family val="2"/>
    </font>
    <font>
      <b/>
      <sz val="10"/>
      <color indexed="14"/>
      <name val="Arial"/>
      <family val="2"/>
    </font>
    <font>
      <b/>
      <sz val="12"/>
      <name val="Times New Roman"/>
      <family val="1"/>
    </font>
    <font>
      <sz val="12"/>
      <name val="Times New Roman"/>
      <family val="1"/>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indexed="8"/>
      <name val="Arial"/>
      <family val="2"/>
    </font>
    <font>
      <i/>
      <sz val="10"/>
      <color indexed="8"/>
      <name val="Arial"/>
      <family val="2"/>
    </font>
    <font>
      <sz val="10"/>
      <name val="Arial"/>
      <family val="2"/>
    </font>
    <font>
      <strike/>
      <sz val="10"/>
      <name val="Cambria"/>
      <family val="1"/>
    </font>
    <font>
      <sz val="10"/>
      <name val="Arial"/>
      <family val="2"/>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sz val="10"/>
      <color rgb="FF0070C0"/>
      <name val="Calibri"/>
      <family val="2"/>
      <scheme val="minor"/>
    </font>
    <font>
      <b/>
      <i/>
      <sz val="10"/>
      <color rgb="FF0070C0"/>
      <name val="Calibri"/>
      <family val="2"/>
      <scheme val="minor"/>
    </font>
    <font>
      <i/>
      <sz val="10"/>
      <color rgb="FF0070C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color indexed="81"/>
      <name val="Tahoma"/>
      <family val="2"/>
    </font>
    <font>
      <b/>
      <sz val="8"/>
      <color indexed="81"/>
      <name val="Tahoma"/>
      <family val="2"/>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b/>
      <sz val="10"/>
      <color indexed="14"/>
      <name val="Calibri"/>
      <family val="2"/>
      <scheme val="minor"/>
    </font>
    <font>
      <sz val="10"/>
      <color theme="0" tint="-0.249977111117893"/>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1"/>
      <name val="Arial1"/>
    </font>
    <font>
      <b/>
      <sz val="10"/>
      <color theme="1"/>
      <name val="Arial"/>
      <family val="2"/>
    </font>
    <font>
      <i/>
      <sz val="10"/>
      <color theme="1"/>
      <name val="Arial"/>
      <family val="2"/>
    </font>
    <font>
      <sz val="10"/>
      <color theme="1"/>
      <name val="Arial"/>
      <family val="2"/>
    </font>
    <font>
      <i/>
      <sz val="10"/>
      <color rgb="FFFF00FF"/>
      <name val="Arial"/>
      <family val="2"/>
    </font>
    <font>
      <i/>
      <sz val="10"/>
      <color rgb="FFFF00FF"/>
      <name val="Verdana"/>
      <family val="2"/>
    </font>
    <font>
      <sz val="10"/>
      <color theme="1"/>
      <name val="Verdana"/>
      <family val="2"/>
    </font>
    <font>
      <i/>
      <strike/>
      <sz val="10"/>
      <color theme="1"/>
      <name val="Arial"/>
      <family val="2"/>
    </font>
    <font>
      <i/>
      <sz val="10"/>
      <color indexed="14"/>
      <name val="Verdana"/>
      <family val="2"/>
    </font>
    <font>
      <i/>
      <strike/>
      <sz val="10"/>
      <name val="Arial"/>
      <family val="2"/>
    </font>
    <font>
      <strike/>
      <sz val="10"/>
      <name val="Arial"/>
      <family val="2"/>
    </font>
    <font>
      <sz val="10"/>
      <color rgb="FFFF0000"/>
      <name val="Verdana"/>
      <family val="2"/>
    </font>
    <font>
      <sz val="10"/>
      <color theme="0" tint="-0.34998626667073579"/>
      <name val="Calibri"/>
      <family val="2"/>
      <scheme val="minor"/>
    </font>
    <font>
      <i/>
      <sz val="10"/>
      <color theme="0" tint="-0.34998626667073579"/>
      <name val="Calibri"/>
      <family val="2"/>
      <scheme val="minor"/>
    </font>
    <font>
      <sz val="10"/>
      <color indexed="55"/>
      <name val="Calibri"/>
      <family val="2"/>
      <scheme val="minor"/>
    </font>
    <font>
      <strike/>
      <sz val="10"/>
      <color theme="0" tint="-0.34998626667073579"/>
      <name val="Calibri"/>
      <family val="2"/>
      <scheme val="minor"/>
    </font>
    <font>
      <sz val="10"/>
      <color theme="0" tint="-0.499984740745262"/>
      <name val="Calibri"/>
      <family val="2"/>
      <scheme val="minor"/>
    </font>
  </fonts>
  <fills count="3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8"/>
        <bgColor indexed="64"/>
      </patternFill>
    </fill>
    <fill>
      <patternFill patternType="solid">
        <fgColor indexed="11"/>
        <bgColor indexed="64"/>
      </patternFill>
    </fill>
    <fill>
      <patternFill patternType="solid">
        <fgColor indexed="42"/>
        <bgColor indexed="64"/>
      </patternFill>
    </fill>
    <fill>
      <patternFill patternType="solid">
        <fgColor indexed="51"/>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rgb="FFFFC000"/>
        <bgColor rgb="FFFFC000"/>
      </patternFill>
    </fill>
    <fill>
      <patternFill patternType="solid">
        <fgColor rgb="FFE6E6E6"/>
        <bgColor rgb="FFE6E6E6"/>
      </patternFill>
    </fill>
    <fill>
      <patternFill patternType="solid">
        <fgColor theme="0" tint="-9.9978637043366805E-2"/>
        <bgColor indexed="64"/>
      </patternFill>
    </fill>
    <fill>
      <patternFill patternType="solid">
        <fgColor rgb="FF92D050"/>
        <bgColor indexed="64"/>
      </patternFill>
    </fill>
    <fill>
      <patternFill patternType="solid">
        <fgColor theme="0" tint="-0.14999847407452621"/>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medium">
        <color indexed="64"/>
      </left>
      <right style="medium">
        <color indexed="64"/>
      </right>
      <top style="medium">
        <color indexed="64"/>
      </top>
      <bottom/>
      <diagonal/>
    </border>
    <border>
      <left/>
      <right/>
      <top/>
      <bottom style="thin">
        <color auto="1"/>
      </bottom>
      <diagonal/>
    </border>
    <border>
      <left/>
      <right style="dotted">
        <color indexed="64"/>
      </right>
      <top/>
      <bottom style="thin">
        <color auto="1"/>
      </bottom>
      <diagonal/>
    </border>
    <border>
      <left style="dotted">
        <color indexed="64"/>
      </left>
      <right style="dotted">
        <color indexed="64"/>
      </right>
      <top/>
      <bottom style="thin">
        <color auto="1"/>
      </bottom>
      <diagonal/>
    </border>
    <border>
      <left/>
      <right/>
      <top style="thin">
        <color auto="1"/>
      </top>
      <bottom/>
      <diagonal/>
    </border>
    <border>
      <left/>
      <right style="dotted">
        <color indexed="64"/>
      </right>
      <top style="thin">
        <color auto="1"/>
      </top>
      <bottom/>
      <diagonal/>
    </border>
    <border>
      <left style="dotted">
        <color indexed="64"/>
      </left>
      <right style="dotted">
        <color indexed="64"/>
      </right>
      <top style="thin">
        <color auto="1"/>
      </top>
      <bottom/>
      <diagonal/>
    </border>
    <border>
      <left style="thin">
        <color indexed="64"/>
      </left>
      <right style="thin">
        <color indexed="64"/>
      </right>
      <top style="thin">
        <color indexed="64"/>
      </top>
      <bottom style="thin">
        <color indexed="64"/>
      </bottom>
      <diagonal/>
    </border>
  </borders>
  <cellStyleXfs count="40">
    <xf numFmtId="0" fontId="0" fillId="0" borderId="0"/>
    <xf numFmtId="0" fontId="36" fillId="2" borderId="0" applyNumberFormat="0" applyBorder="0" applyAlignment="0" applyProtection="0"/>
    <xf numFmtId="0" fontId="27" fillId="5" borderId="1" applyNumberFormat="0" applyAlignment="0" applyProtection="0"/>
    <xf numFmtId="0" fontId="28" fillId="6" borderId="2" applyNumberFormat="0" applyAlignment="0" applyProtection="0"/>
    <xf numFmtId="0" fontId="40" fillId="0" borderId="0" applyNumberFormat="0" applyFill="0" applyBorder="0" applyAlignment="0" applyProtection="0"/>
    <xf numFmtId="0" fontId="30" fillId="3"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1" fillId="4" borderId="1" applyNumberFormat="0" applyAlignment="0" applyProtection="0"/>
    <xf numFmtId="0" fontId="29" fillId="0" borderId="6" applyNumberFormat="0" applyFill="0" applyAlignment="0" applyProtection="0"/>
    <xf numFmtId="0" fontId="35" fillId="7" borderId="0" applyNumberFormat="0" applyBorder="0" applyAlignment="0" applyProtection="0"/>
    <xf numFmtId="0" fontId="2" fillId="0" borderId="0"/>
    <xf numFmtId="0" fontId="1" fillId="0" borderId="0"/>
    <xf numFmtId="0" fontId="7" fillId="0" borderId="0"/>
    <xf numFmtId="0" fontId="44" fillId="8" borderId="7" applyNumberFormat="0" applyFont="0" applyAlignment="0" applyProtection="0"/>
    <xf numFmtId="0" fontId="39" fillId="5" borderId="8" applyNumberFormat="0" applyAlignment="0" applyProtection="0"/>
    <xf numFmtId="9" fontId="44"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41" fillId="0" borderId="0" applyNumberFormat="0" applyFill="0" applyBorder="0" applyAlignment="0" applyProtection="0"/>
    <xf numFmtId="0" fontId="59" fillId="0" borderId="0" applyNumberFormat="0" applyFill="0" applyBorder="0" applyAlignment="0" applyProtection="0"/>
    <xf numFmtId="0" fontId="60" fillId="0" borderId="40" applyNumberFormat="0" applyFill="0" applyAlignment="0" applyProtection="0"/>
    <xf numFmtId="0" fontId="61" fillId="0" borderId="41" applyNumberFormat="0" applyFill="0" applyAlignment="0" applyProtection="0"/>
    <xf numFmtId="0" fontId="62" fillId="0" borderId="42" applyNumberFormat="0" applyFill="0" applyAlignment="0" applyProtection="0"/>
    <xf numFmtId="0" fontId="62" fillId="0" borderId="0" applyNumberFormat="0" applyFill="0" applyBorder="0" applyAlignment="0" applyProtection="0"/>
    <xf numFmtId="0" fontId="63" fillId="19" borderId="0" applyNumberFormat="0" applyBorder="0" applyAlignment="0" applyProtection="0"/>
    <xf numFmtId="0" fontId="64" fillId="20" borderId="0" applyNumberFormat="0" applyBorder="0" applyAlignment="0" applyProtection="0"/>
    <xf numFmtId="0" fontId="65" fillId="21" borderId="0" applyNumberFormat="0" applyBorder="0" applyAlignment="0" applyProtection="0"/>
    <xf numFmtId="0" fontId="66" fillId="22" borderId="43" applyNumberFormat="0" applyAlignment="0" applyProtection="0"/>
    <xf numFmtId="0" fontId="67" fillId="23" borderId="44" applyNumberFormat="0" applyAlignment="0" applyProtection="0"/>
    <xf numFmtId="0" fontId="68" fillId="23" borderId="43" applyNumberFormat="0" applyAlignment="0" applyProtection="0"/>
    <xf numFmtId="0" fontId="69" fillId="0" borderId="45" applyNumberFormat="0" applyFill="0" applyAlignment="0" applyProtection="0"/>
    <xf numFmtId="0" fontId="70" fillId="24" borderId="46" applyNumberFormat="0" applyAlignment="0" applyProtection="0"/>
    <xf numFmtId="0" fontId="71" fillId="0" borderId="0" applyNumberFormat="0" applyFill="0" applyBorder="0" applyAlignment="0" applyProtection="0"/>
    <xf numFmtId="0" fontId="46" fillId="25" borderId="47" applyNumberFormat="0" applyFont="0" applyAlignment="0" applyProtection="0"/>
    <xf numFmtId="0" fontId="72" fillId="0" borderId="0" applyNumberFormat="0" applyFill="0" applyBorder="0" applyAlignment="0" applyProtection="0"/>
    <xf numFmtId="0" fontId="73" fillId="0" borderId="48" applyNumberFormat="0" applyFill="0" applyAlignment="0" applyProtection="0"/>
    <xf numFmtId="164" fontId="88" fillId="0" borderId="0"/>
  </cellStyleXfs>
  <cellXfs count="346">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9" borderId="10" xfId="0" applyFont="1" applyFill="1"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0" fillId="0" borderId="0" xfId="0" applyFill="1"/>
    <xf numFmtId="0" fontId="9" fillId="0" borderId="0" xfId="0" applyFont="1"/>
    <xf numFmtId="0" fontId="10" fillId="0" borderId="0" xfId="0" applyFont="1" applyAlignment="1">
      <alignment horizontal="center"/>
    </xf>
    <xf numFmtId="0" fontId="10" fillId="0" borderId="0" xfId="0" applyFont="1"/>
    <xf numFmtId="0" fontId="10" fillId="0" borderId="0" xfId="0" applyFont="1" applyFill="1" applyAlignment="1">
      <alignment horizontal="center"/>
    </xf>
    <xf numFmtId="0" fontId="11" fillId="0" borderId="12" xfId="0" applyFont="1" applyBorder="1" applyAlignment="1">
      <alignment horizontal="center"/>
    </xf>
    <xf numFmtId="0" fontId="12" fillId="0" borderId="0" xfId="0" applyFont="1"/>
    <xf numFmtId="0" fontId="10" fillId="0" borderId="13" xfId="0" applyFont="1" applyBorder="1" applyAlignment="1">
      <alignment wrapText="1"/>
    </xf>
    <xf numFmtId="0" fontId="13" fillId="0" borderId="14" xfId="0" applyFont="1" applyBorder="1" applyAlignment="1">
      <alignment horizontal="left"/>
    </xf>
    <xf numFmtId="0" fontId="14" fillId="10" borderId="15" xfId="0" applyFont="1" applyFill="1" applyBorder="1" applyAlignment="1">
      <alignment horizontal="left"/>
    </xf>
    <xf numFmtId="0" fontId="10" fillId="9" borderId="15" xfId="0" applyFont="1" applyFill="1" applyBorder="1" applyAlignment="1">
      <alignment horizontal="left"/>
    </xf>
    <xf numFmtId="0" fontId="8" fillId="11" borderId="15" xfId="0" applyFont="1" applyFill="1" applyBorder="1" applyAlignment="1">
      <alignment horizontal="left"/>
    </xf>
    <xf numFmtId="0" fontId="8" fillId="0" borderId="16" xfId="0" applyFont="1" applyBorder="1" applyAlignment="1">
      <alignment horizontal="left"/>
    </xf>
    <xf numFmtId="0" fontId="10" fillId="0" borderId="0" xfId="0" applyFont="1" applyFill="1"/>
    <xf numFmtId="0" fontId="0" fillId="0" borderId="0" xfId="0" applyFill="1" applyProtection="1">
      <protection locked="0"/>
    </xf>
    <xf numFmtId="0" fontId="9" fillId="0" borderId="0" xfId="0" applyFont="1" applyFill="1"/>
    <xf numFmtId="0" fontId="2" fillId="0" borderId="0" xfId="0" applyFont="1" applyFill="1" applyBorder="1"/>
    <xf numFmtId="0" fontId="0" fillId="0" borderId="17" xfId="0" applyFill="1" applyBorder="1"/>
    <xf numFmtId="0" fontId="0" fillId="0" borderId="0" xfId="0" applyFill="1" applyAlignment="1" applyProtection="1">
      <alignment horizontal="center"/>
      <protection locked="0"/>
    </xf>
    <xf numFmtId="1" fontId="11" fillId="0" borderId="0" xfId="0" applyNumberFormat="1" applyFont="1" applyBorder="1" applyAlignment="1" applyProtection="1">
      <alignment horizontal="right"/>
    </xf>
    <xf numFmtId="0" fontId="10" fillId="0" borderId="0" xfId="0" applyFont="1" applyAlignment="1" applyProtection="1">
      <alignment horizontal="left"/>
    </xf>
    <xf numFmtId="1" fontId="3" fillId="0" borderId="0" xfId="0" applyNumberFormat="1" applyFont="1" applyBorder="1" applyAlignment="1" applyProtection="1">
      <alignment horizontal="right"/>
    </xf>
    <xf numFmtId="0" fontId="0" fillId="0" borderId="0" xfId="0" applyFill="1" applyBorder="1"/>
    <xf numFmtId="0" fontId="10" fillId="0" borderId="18" xfId="0" applyFont="1" applyBorder="1" applyAlignment="1">
      <alignment horizontal="center"/>
    </xf>
    <xf numFmtId="0" fontId="14" fillId="10" borderId="0" xfId="0" applyFont="1" applyFill="1" applyBorder="1" applyAlignment="1">
      <alignment horizontal="left"/>
    </xf>
    <xf numFmtId="0" fontId="10" fillId="9" borderId="0" xfId="0" applyFont="1" applyFill="1" applyBorder="1" applyAlignment="1">
      <alignment horizontal="center"/>
    </xf>
    <xf numFmtId="0" fontId="10" fillId="11" borderId="0" xfId="0" applyFont="1" applyFill="1" applyBorder="1" applyAlignment="1">
      <alignment horizontal="center"/>
    </xf>
    <xf numFmtId="0" fontId="10" fillId="0" borderId="19" xfId="0" applyFont="1" applyBorder="1" applyAlignment="1">
      <alignment horizontal="center"/>
    </xf>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16" fillId="0" borderId="0" xfId="0" applyFont="1" applyFill="1" applyBorder="1" applyProtection="1">
      <protection locked="0"/>
    </xf>
    <xf numFmtId="0" fontId="15" fillId="0" borderId="0" xfId="0" applyFont="1" applyFill="1" applyBorder="1" applyProtection="1">
      <protection locked="0"/>
    </xf>
    <xf numFmtId="0" fontId="16" fillId="0" borderId="0" xfId="0" applyFont="1" applyFill="1" applyBorder="1"/>
    <xf numFmtId="0" fontId="16" fillId="0" borderId="0" xfId="0"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17" fillId="0" borderId="0" xfId="0" applyFont="1" applyFill="1" applyBorder="1"/>
    <xf numFmtId="0" fontId="17" fillId="0" borderId="0" xfId="0" applyFont="1" applyFill="1"/>
    <xf numFmtId="0" fontId="16" fillId="0" borderId="0" xfId="0" quotePrefix="1" applyFont="1" applyFill="1" applyBorder="1" applyProtection="1">
      <protection locked="0"/>
    </xf>
    <xf numFmtId="0" fontId="0" fillId="0" borderId="0" xfId="0" quotePrefix="1" applyFill="1"/>
    <xf numFmtId="0" fontId="2" fillId="0" borderId="0" xfId="0" quotePrefix="1" applyFont="1" applyFill="1" applyBorder="1"/>
    <xf numFmtId="0" fontId="5" fillId="0" borderId="0" xfId="0" quotePrefix="1" applyFont="1" applyFill="1" applyBorder="1"/>
    <xf numFmtId="0" fontId="11" fillId="0" borderId="0" xfId="0" applyFont="1"/>
    <xf numFmtId="0" fontId="3" fillId="0" borderId="0" xfId="0" applyFont="1" applyFill="1" applyBorder="1" applyAlignment="1" applyProtection="1">
      <alignment horizontal="right"/>
      <protection locked="0"/>
    </xf>
    <xf numFmtId="0" fontId="18" fillId="0" borderId="0" xfId="0" applyFont="1"/>
    <xf numFmtId="0" fontId="18" fillId="0" borderId="0" xfId="0" applyFont="1" applyFill="1" applyBorder="1" applyAlignment="1">
      <alignment horizontal="center"/>
    </xf>
    <xf numFmtId="0" fontId="18" fillId="0" borderId="0" xfId="0" applyFont="1" applyFill="1" applyBorder="1" applyProtection="1">
      <protection locked="0"/>
    </xf>
    <xf numFmtId="0" fontId="18" fillId="0" borderId="0" xfId="0" applyFont="1" applyFill="1" applyBorder="1"/>
    <xf numFmtId="49" fontId="10" fillId="0" borderId="0" xfId="0" applyNumberFormat="1" applyFont="1" applyFill="1" applyAlignment="1">
      <alignment horizontal="center"/>
    </xf>
    <xf numFmtId="49" fontId="10" fillId="0" borderId="0" xfId="0" applyNumberFormat="1" applyFont="1" applyFill="1"/>
    <xf numFmtId="0" fontId="3" fillId="0" borderId="22" xfId="0" applyFont="1" applyBorder="1" applyAlignment="1">
      <alignment horizontal="center"/>
    </xf>
    <xf numFmtId="0" fontId="3" fillId="0" borderId="22" xfId="0" applyFont="1" applyBorder="1" applyAlignment="1">
      <alignment horizontal="right"/>
    </xf>
    <xf numFmtId="0" fontId="20" fillId="0" borderId="0" xfId="0" applyFont="1"/>
    <xf numFmtId="0" fontId="20" fillId="0" borderId="0" xfId="0" applyFont="1" applyBorder="1" applyAlignment="1">
      <alignment horizontal="center"/>
    </xf>
    <xf numFmtId="0" fontId="21" fillId="0" borderId="0" xfId="0" applyFont="1" applyBorder="1" applyAlignment="1">
      <alignment horizontal="center"/>
    </xf>
    <xf numFmtId="0" fontId="22" fillId="0" borderId="0" xfId="0" applyFont="1"/>
    <xf numFmtId="0" fontId="23" fillId="0" borderId="14" xfId="0" applyFont="1" applyBorder="1" applyAlignment="1">
      <alignment horizontal="left"/>
    </xf>
    <xf numFmtId="0" fontId="24" fillId="0" borderId="0" xfId="0" applyFont="1" applyAlignment="1">
      <alignment horizontal="right"/>
    </xf>
    <xf numFmtId="0" fontId="9" fillId="0" borderId="0" xfId="0" applyFont="1" applyFill="1" applyAlignment="1" applyProtection="1">
      <alignment horizontal="center"/>
    </xf>
    <xf numFmtId="0" fontId="9" fillId="0" borderId="0" xfId="0" applyFont="1" applyBorder="1" applyAlignment="1" applyProtection="1">
      <alignment horizontal="center"/>
    </xf>
    <xf numFmtId="0" fontId="10" fillId="0" borderId="0" xfId="0" applyFont="1" applyFill="1" applyBorder="1" applyProtection="1"/>
    <xf numFmtId="0" fontId="10" fillId="0" borderId="0" xfId="0" applyFont="1" applyFill="1" applyProtection="1"/>
    <xf numFmtId="0" fontId="10" fillId="0" borderId="0" xfId="0" applyFont="1" applyProtection="1"/>
    <xf numFmtId="0" fontId="10" fillId="12" borderId="0" xfId="0" applyFont="1" applyFill="1" applyProtection="1"/>
    <xf numFmtId="0" fontId="0" fillId="0" borderId="0" xfId="0" applyFill="1" applyProtection="1"/>
    <xf numFmtId="0" fontId="9" fillId="0" borderId="0" xfId="0" applyFont="1" applyFill="1" applyBorder="1" applyProtection="1"/>
    <xf numFmtId="0" fontId="9" fillId="0" borderId="0" xfId="0" applyFont="1" applyFill="1" applyProtection="1"/>
    <xf numFmtId="0" fontId="9" fillId="12" borderId="0" xfId="0" applyFont="1" applyFill="1" applyProtection="1"/>
    <xf numFmtId="0" fontId="0" fillId="12" borderId="0" xfId="0" applyFill="1" applyProtection="1"/>
    <xf numFmtId="0" fontId="9" fillId="0" borderId="0" xfId="0" applyFont="1" applyFill="1" applyAlignment="1" applyProtection="1"/>
    <xf numFmtId="0" fontId="6" fillId="0" borderId="0" xfId="0" applyFont="1" applyFill="1" applyBorder="1"/>
    <xf numFmtId="0" fontId="10" fillId="0" borderId="13" xfId="0" applyFont="1" applyBorder="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0" fontId="10" fillId="0" borderId="0" xfId="0" applyNumberFormat="1" applyFont="1" applyFill="1" applyBorder="1" applyAlignment="1" applyProtection="1">
      <alignment horizontal="center"/>
    </xf>
    <xf numFmtId="0" fontId="10" fillId="0" borderId="0" xfId="0" applyNumberFormat="1" applyFont="1" applyBorder="1" applyAlignment="1" applyProtection="1">
      <alignment horizontal="center"/>
    </xf>
    <xf numFmtId="0" fontId="11" fillId="0" borderId="0" xfId="0" applyNumberFormat="1" applyFont="1" applyBorder="1" applyAlignment="1">
      <alignment horizontal="center"/>
    </xf>
    <xf numFmtId="0" fontId="25" fillId="9" borderId="0" xfId="0" applyFont="1" applyFill="1" applyAlignment="1">
      <alignment horizontal="center" wrapText="1"/>
    </xf>
    <xf numFmtId="0" fontId="26" fillId="0" borderId="0" xfId="0" applyFont="1" applyAlignment="1">
      <alignment horizontal="center" wrapText="1"/>
    </xf>
    <xf numFmtId="0" fontId="25" fillId="9" borderId="23" xfId="0" applyFont="1" applyFill="1" applyBorder="1" applyAlignment="1">
      <alignment horizontal="center" wrapText="1"/>
    </xf>
    <xf numFmtId="0" fontId="26" fillId="0" borderId="23" xfId="0" applyFont="1" applyBorder="1" applyAlignment="1">
      <alignment horizontal="center" wrapText="1"/>
    </xf>
    <xf numFmtId="0" fontId="26" fillId="14" borderId="0" xfId="0" applyFont="1" applyFill="1" applyAlignment="1">
      <alignment wrapText="1"/>
    </xf>
    <xf numFmtId="0" fontId="6" fillId="0" borderId="0" xfId="0" applyFont="1" applyFill="1" applyBorder="1" applyAlignment="1">
      <alignment horizontal="center"/>
    </xf>
    <xf numFmtId="0" fontId="42" fillId="15" borderId="24" xfId="0" applyNumberFormat="1" applyFont="1" applyFill="1" applyBorder="1" applyAlignment="1">
      <alignment horizontal="center"/>
    </xf>
    <xf numFmtId="1" fontId="43" fillId="15" borderId="25" xfId="0" applyNumberFormat="1" applyFont="1" applyFill="1" applyBorder="1" applyAlignment="1">
      <alignment horizontal="center"/>
    </xf>
    <xf numFmtId="0" fontId="2"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42" fillId="15" borderId="30" xfId="0" applyFont="1" applyFill="1" applyBorder="1" applyAlignment="1">
      <alignment horizontal="center"/>
    </xf>
    <xf numFmtId="0" fontId="42" fillId="15" borderId="31" xfId="0" applyFont="1" applyFill="1" applyBorder="1" applyAlignment="1">
      <alignment horizontal="left"/>
    </xf>
    <xf numFmtId="0" fontId="45" fillId="0" borderId="0" xfId="0" applyFont="1" applyFill="1" applyProtection="1"/>
    <xf numFmtId="0" fontId="48" fillId="0" borderId="0" xfId="0" applyFont="1" applyFill="1" applyBorder="1"/>
    <xf numFmtId="0" fontId="42" fillId="12" borderId="32" xfId="0" applyFont="1" applyFill="1" applyBorder="1" applyAlignment="1">
      <alignment horizontal="center"/>
    </xf>
    <xf numFmtId="0" fontId="42" fillId="12" borderId="33" xfId="0" applyFont="1" applyFill="1" applyBorder="1" applyAlignment="1">
      <alignment horizontal="left"/>
    </xf>
    <xf numFmtId="0" fontId="42" fillId="12" borderId="34" xfId="0" applyNumberFormat="1" applyFont="1" applyFill="1" applyBorder="1" applyAlignment="1">
      <alignment horizontal="center"/>
    </xf>
    <xf numFmtId="1" fontId="43" fillId="12" borderId="35" xfId="0" applyNumberFormat="1" applyFont="1" applyFill="1" applyBorder="1" applyAlignment="1">
      <alignment horizontal="center"/>
    </xf>
    <xf numFmtId="1" fontId="43" fillId="0" borderId="0" xfId="0" applyNumberFormat="1" applyFont="1" applyFill="1" applyBorder="1" applyAlignment="1">
      <alignment horizontal="center"/>
    </xf>
    <xf numFmtId="0" fontId="42" fillId="0" borderId="0" xfId="0" applyFont="1" applyFill="1" applyBorder="1" applyAlignment="1">
      <alignment horizontal="center"/>
    </xf>
    <xf numFmtId="0" fontId="42" fillId="0" borderId="0" xfId="0" applyFont="1" applyFill="1" applyBorder="1" applyAlignment="1">
      <alignment horizontal="left"/>
    </xf>
    <xf numFmtId="0" fontId="42" fillId="0" borderId="0" xfId="0" applyNumberFormat="1" applyFont="1" applyFill="1" applyBorder="1" applyAlignment="1">
      <alignment horizontal="center"/>
    </xf>
    <xf numFmtId="0" fontId="42" fillId="0" borderId="0" xfId="0" applyNumberFormat="1" applyFont="1" applyFill="1" applyBorder="1" applyAlignment="1">
      <alignment horizontal="left"/>
    </xf>
    <xf numFmtId="0" fontId="49" fillId="0" borderId="0" xfId="0" applyFont="1"/>
    <xf numFmtId="0" fontId="49" fillId="0" borderId="0" xfId="0" applyFont="1" applyAlignment="1">
      <alignment horizontal="center"/>
    </xf>
    <xf numFmtId="0" fontId="50" fillId="0" borderId="0" xfId="0" applyFont="1" applyFill="1" applyAlignment="1">
      <alignment horizontal="right"/>
    </xf>
    <xf numFmtId="0" fontId="51" fillId="9" borderId="10" xfId="0" applyFont="1" applyFill="1" applyBorder="1" applyAlignment="1">
      <alignment horizontal="center"/>
    </xf>
    <xf numFmtId="0" fontId="52" fillId="0" borderId="0" xfId="0" applyFont="1"/>
    <xf numFmtId="0" fontId="49" fillId="0" borderId="0" xfId="0" applyFont="1" applyFill="1" applyAlignment="1">
      <alignment horizontal="center"/>
    </xf>
    <xf numFmtId="0" fontId="52" fillId="0" borderId="0" xfId="0" applyFont="1" applyAlignment="1">
      <alignment horizontal="right"/>
    </xf>
    <xf numFmtId="2" fontId="49" fillId="14" borderId="0" xfId="0" applyNumberFormat="1" applyFont="1" applyFill="1" applyBorder="1" applyAlignment="1">
      <alignment horizontal="center"/>
    </xf>
    <xf numFmtId="0" fontId="52" fillId="0" borderId="0" xfId="0" applyFont="1" applyAlignment="1">
      <alignment horizontal="center"/>
    </xf>
    <xf numFmtId="0" fontId="50" fillId="0" borderId="0" xfId="0" applyFont="1" applyAlignment="1">
      <alignment horizontal="right"/>
    </xf>
    <xf numFmtId="0" fontId="52" fillId="0" borderId="0" xfId="0" applyFont="1" applyFill="1" applyAlignment="1">
      <alignment horizontal="left"/>
    </xf>
    <xf numFmtId="0" fontId="52" fillId="0" borderId="0" xfId="0" applyFont="1" applyAlignment="1">
      <alignment horizontal="left"/>
    </xf>
    <xf numFmtId="1" fontId="49" fillId="0" borderId="0" xfId="0" applyNumberFormat="1" applyFont="1"/>
    <xf numFmtId="0" fontId="49" fillId="0" borderId="0" xfId="0" applyFont="1" applyFill="1"/>
    <xf numFmtId="0" fontId="50" fillId="0" borderId="0" xfId="0" applyFont="1"/>
    <xf numFmtId="0" fontId="50" fillId="0" borderId="0" xfId="0" applyFont="1" applyAlignment="1">
      <alignment horizontal="left"/>
    </xf>
    <xf numFmtId="2" fontId="49" fillId="0" borderId="0" xfId="15" applyNumberFormat="1" applyFont="1" applyBorder="1" applyAlignment="1">
      <alignment horizontal="center"/>
    </xf>
    <xf numFmtId="1" fontId="49" fillId="0" borderId="0" xfId="0" applyNumberFormat="1" applyFont="1" applyFill="1" applyAlignment="1">
      <alignment horizontal="center"/>
    </xf>
    <xf numFmtId="0" fontId="49" fillId="0" borderId="0" xfId="15" applyFont="1" applyBorder="1" applyAlignment="1">
      <alignment horizontal="center"/>
    </xf>
    <xf numFmtId="0" fontId="49" fillId="0" borderId="0" xfId="0" applyFont="1" applyBorder="1"/>
    <xf numFmtId="1" fontId="50" fillId="0" borderId="0" xfId="0" applyNumberFormat="1" applyFont="1"/>
    <xf numFmtId="0" fontId="49" fillId="0" borderId="0" xfId="0" applyFont="1" applyBorder="1" applyAlignment="1">
      <alignment horizontal="center"/>
    </xf>
    <xf numFmtId="0" fontId="52" fillId="0" borderId="0" xfId="0" applyFont="1" applyProtection="1">
      <protection locked="0"/>
    </xf>
    <xf numFmtId="0" fontId="49" fillId="0" borderId="0" xfId="0" applyFont="1" applyFill="1" applyBorder="1" applyAlignment="1"/>
    <xf numFmtId="9" fontId="53" fillId="0" borderId="0" xfId="18" applyNumberFormat="1" applyFont="1" applyAlignment="1">
      <alignment horizontal="left"/>
    </xf>
    <xf numFmtId="0" fontId="49" fillId="0" borderId="0" xfId="0" applyFont="1" applyAlignment="1"/>
    <xf numFmtId="0" fontId="54" fillId="0" borderId="0" xfId="0" applyFont="1"/>
    <xf numFmtId="0" fontId="55" fillId="0" borderId="0" xfId="0" applyFont="1" applyAlignment="1">
      <alignment horizontal="left"/>
    </xf>
    <xf numFmtId="1" fontId="55" fillId="0" borderId="0" xfId="0" applyNumberFormat="1" applyFont="1" applyAlignment="1">
      <alignment horizontal="center"/>
    </xf>
    <xf numFmtId="0" fontId="55" fillId="0" borderId="0" xfId="0" applyFont="1" applyAlignment="1">
      <alignment horizontal="center"/>
    </xf>
    <xf numFmtId="0" fontId="49" fillId="0" borderId="17" xfId="0" applyFont="1" applyBorder="1" applyAlignment="1">
      <alignment horizontal="left"/>
    </xf>
    <xf numFmtId="0" fontId="49" fillId="0" borderId="17" xfId="0" applyFont="1" applyBorder="1"/>
    <xf numFmtId="0" fontId="49" fillId="0" borderId="0" xfId="0" applyFont="1" applyBorder="1" applyAlignment="1" applyProtection="1">
      <alignment horizontal="center"/>
      <protection locked="0"/>
    </xf>
    <xf numFmtId="0" fontId="52" fillId="0" borderId="0" xfId="0" applyFont="1" applyBorder="1" applyAlignment="1">
      <alignment horizontal="center"/>
    </xf>
    <xf numFmtId="0" fontId="49" fillId="0" borderId="0" xfId="0" applyFont="1" applyBorder="1" applyAlignment="1"/>
    <xf numFmtId="0" fontId="49" fillId="0" borderId="0" xfId="0" applyFont="1" applyFill="1" applyAlignment="1" applyProtection="1">
      <alignment horizontal="center"/>
      <protection locked="0"/>
    </xf>
    <xf numFmtId="0" fontId="49" fillId="0" borderId="0" xfId="0" applyFont="1" applyFill="1" applyBorder="1" applyAlignment="1" applyProtection="1">
      <alignment horizontal="center"/>
      <protection locked="0"/>
    </xf>
    <xf numFmtId="0" fontId="49" fillId="0" borderId="0" xfId="0" applyFont="1" applyBorder="1" applyAlignment="1" applyProtection="1">
      <alignment horizontal="left"/>
      <protection locked="0"/>
    </xf>
    <xf numFmtId="0" fontId="49" fillId="0" borderId="0" xfId="0" applyFont="1" applyFill="1" applyBorder="1" applyAlignment="1">
      <alignment horizontal="center"/>
    </xf>
    <xf numFmtId="0" fontId="52" fillId="0" borderId="0" xfId="0" applyFont="1" applyBorder="1"/>
    <xf numFmtId="0" fontId="50" fillId="0" borderId="0" xfId="0" applyFont="1" applyFill="1" applyAlignment="1">
      <alignment horizontal="center"/>
    </xf>
    <xf numFmtId="0" fontId="50" fillId="0" borderId="0" xfId="0" applyFont="1" applyFill="1"/>
    <xf numFmtId="1" fontId="19" fillId="0" borderId="0" xfId="0" applyNumberFormat="1" applyFont="1" applyBorder="1" applyAlignment="1" applyProtection="1"/>
    <xf numFmtId="1" fontId="47" fillId="15" borderId="36" xfId="0" applyNumberFormat="1" applyFont="1" applyFill="1" applyBorder="1" applyAlignment="1"/>
    <xf numFmtId="1" fontId="47" fillId="12" borderId="37" xfId="0" applyNumberFormat="1" applyFont="1" applyFill="1" applyBorder="1" applyAlignment="1"/>
    <xf numFmtId="1" fontId="47" fillId="0" borderId="0" xfId="0" applyNumberFormat="1" applyFont="1" applyFill="1" applyBorder="1" applyAlignment="1"/>
    <xf numFmtId="1" fontId="47" fillId="15" borderId="38" xfId="0" applyNumberFormat="1" applyFont="1" applyFill="1" applyBorder="1" applyAlignment="1"/>
    <xf numFmtId="1" fontId="47" fillId="12" borderId="39" xfId="0" applyNumberFormat="1" applyFont="1" applyFill="1" applyBorder="1" applyAlignment="1"/>
    <xf numFmtId="0" fontId="56" fillId="0" borderId="0" xfId="0" applyFont="1" applyAlignment="1">
      <alignment horizontal="center"/>
    </xf>
    <xf numFmtId="0" fontId="57" fillId="9" borderId="10" xfId="0" applyFont="1" applyFill="1" applyBorder="1" applyAlignment="1">
      <alignment horizontal="center"/>
    </xf>
    <xf numFmtId="0" fontId="56" fillId="0" borderId="0" xfId="0" applyFont="1"/>
    <xf numFmtId="1" fontId="56" fillId="0" borderId="0" xfId="0" applyNumberFormat="1" applyFont="1" applyFill="1" applyAlignment="1">
      <alignment horizontal="center"/>
    </xf>
    <xf numFmtId="1" fontId="58" fillId="0" borderId="0" xfId="0" applyNumberFormat="1" applyFont="1" applyAlignment="1">
      <alignment horizontal="center"/>
    </xf>
    <xf numFmtId="0" fontId="49" fillId="0" borderId="0" xfId="0" applyFont="1" applyAlignment="1">
      <alignment horizontal="left"/>
    </xf>
    <xf numFmtId="0" fontId="49" fillId="0" borderId="17" xfId="0" applyFont="1" applyFill="1" applyBorder="1"/>
    <xf numFmtId="0" fontId="50" fillId="0" borderId="0" xfId="0" applyFont="1" applyProtection="1">
      <protection locked="0"/>
    </xf>
    <xf numFmtId="0" fontId="49" fillId="14" borderId="27" xfId="0" applyFont="1" applyFill="1" applyBorder="1" applyProtection="1">
      <protection locked="0"/>
    </xf>
    <xf numFmtId="0" fontId="76" fillId="0" borderId="0" xfId="0" applyFont="1"/>
    <xf numFmtId="0" fontId="77" fillId="0" borderId="0" xfId="0" applyFont="1"/>
    <xf numFmtId="0" fontId="52" fillId="0" borderId="22" xfId="0" applyFont="1" applyBorder="1" applyAlignment="1">
      <alignment horizontal="center"/>
    </xf>
    <xf numFmtId="0" fontId="49" fillId="0" borderId="0" xfId="0" applyFont="1" applyFill="1" applyBorder="1" applyProtection="1">
      <protection locked="0"/>
    </xf>
    <xf numFmtId="0" fontId="52" fillId="0" borderId="0" xfId="0" applyFont="1" applyFill="1" applyBorder="1" applyAlignment="1" applyProtection="1">
      <alignment horizontal="center"/>
      <protection locked="0"/>
    </xf>
    <xf numFmtId="0" fontId="50" fillId="14" borderId="0" xfId="0" applyFont="1" applyFill="1" applyBorder="1" applyAlignment="1" applyProtection="1">
      <alignment horizontal="left"/>
      <protection locked="0"/>
    </xf>
    <xf numFmtId="0" fontId="80" fillId="0" borderId="0" xfId="0" applyFont="1" applyFill="1" applyBorder="1" applyProtection="1">
      <protection locked="0"/>
    </xf>
    <xf numFmtId="0" fontId="77" fillId="0" borderId="0" xfId="0" applyFont="1" applyBorder="1"/>
    <xf numFmtId="0" fontId="49" fillId="0" borderId="0" xfId="0" applyFont="1" applyProtection="1"/>
    <xf numFmtId="0" fontId="52" fillId="13" borderId="0" xfId="0" applyFont="1" applyFill="1" applyProtection="1">
      <protection locked="0"/>
    </xf>
    <xf numFmtId="0" fontId="49" fillId="0" borderId="0" xfId="0" applyFont="1" applyFill="1" applyAlignment="1" applyProtection="1">
      <alignment horizontal="center"/>
    </xf>
    <xf numFmtId="0" fontId="77" fillId="0" borderId="0" xfId="0" applyFont="1" applyFill="1" applyBorder="1" applyAlignment="1" applyProtection="1">
      <alignment horizontal="center"/>
    </xf>
    <xf numFmtId="0" fontId="49" fillId="0" borderId="0" xfId="0" applyFont="1" applyFill="1" applyBorder="1" applyAlignment="1" applyProtection="1">
      <alignment horizontal="center"/>
    </xf>
    <xf numFmtId="0" fontId="49" fillId="13" borderId="13" xfId="0" applyFont="1" applyFill="1" applyBorder="1" applyProtection="1">
      <protection locked="0"/>
    </xf>
    <xf numFmtId="0" fontId="77" fillId="0" borderId="0" xfId="0" applyFont="1" applyFill="1" applyBorder="1" applyAlignment="1">
      <alignment horizontal="center"/>
    </xf>
    <xf numFmtId="0" fontId="78" fillId="0" borderId="0" xfId="0" applyFont="1"/>
    <xf numFmtId="0" fontId="52" fillId="0" borderId="12" xfId="0" applyFont="1" applyBorder="1" applyAlignment="1">
      <alignment horizontal="center"/>
    </xf>
    <xf numFmtId="0" fontId="49" fillId="0" borderId="12" xfId="0" applyFont="1" applyBorder="1" applyAlignment="1">
      <alignment horizontal="center"/>
    </xf>
    <xf numFmtId="0" fontId="82" fillId="0" borderId="0" xfId="0" applyFont="1" applyFill="1"/>
    <xf numFmtId="0" fontId="82" fillId="0" borderId="0" xfId="0" applyFont="1" applyFill="1" applyProtection="1"/>
    <xf numFmtId="0" fontId="83" fillId="0" borderId="0" xfId="0" applyFont="1" applyFill="1" applyBorder="1"/>
    <xf numFmtId="0" fontId="11" fillId="26" borderId="0" xfId="0" applyFont="1" applyFill="1" applyBorder="1" applyProtection="1"/>
    <xf numFmtId="1" fontId="52" fillId="0" borderId="0" xfId="0" applyNumberFormat="1" applyFont="1" applyAlignment="1">
      <alignment horizontal="right"/>
    </xf>
    <xf numFmtId="1" fontId="52" fillId="0" borderId="0" xfId="0" applyNumberFormat="1" applyFont="1" applyAlignment="1">
      <alignment horizontal="center"/>
    </xf>
    <xf numFmtId="0" fontId="84" fillId="0" borderId="0" xfId="0" applyFont="1"/>
    <xf numFmtId="0" fontId="86" fillId="0" borderId="0" xfId="0" applyFont="1"/>
    <xf numFmtId="0" fontId="54" fillId="0" borderId="17" xfId="0" applyFont="1" applyBorder="1"/>
    <xf numFmtId="1" fontId="10" fillId="16" borderId="0" xfId="0" applyNumberFormat="1" applyFont="1" applyFill="1" applyBorder="1" applyProtection="1"/>
    <xf numFmtId="1" fontId="10" fillId="17" borderId="17" xfId="0" applyNumberFormat="1" applyFont="1" applyFill="1" applyBorder="1" applyProtection="1"/>
    <xf numFmtId="0" fontId="87" fillId="0" borderId="0" xfId="0" applyFont="1" applyFill="1" applyAlignment="1">
      <alignment horizontal="center"/>
    </xf>
    <xf numFmtId="0" fontId="19" fillId="0" borderId="0" xfId="0" applyFont="1" applyFill="1"/>
    <xf numFmtId="1" fontId="10" fillId="0" borderId="0" xfId="0" applyNumberFormat="1" applyFont="1" applyFill="1" applyAlignment="1">
      <alignment horizontal="center"/>
    </xf>
    <xf numFmtId="1" fontId="11" fillId="0" borderId="0" xfId="0" applyNumberFormat="1" applyFont="1" applyFill="1" applyAlignment="1">
      <alignment horizontal="center"/>
    </xf>
    <xf numFmtId="1" fontId="12" fillId="0" borderId="0" xfId="0" applyNumberFormat="1" applyFont="1" applyFill="1" applyAlignment="1">
      <alignment horizontal="center"/>
    </xf>
    <xf numFmtId="1" fontId="9" fillId="0" borderId="0" xfId="0" applyNumberFormat="1" applyFont="1" applyFill="1" applyAlignment="1">
      <alignment horizontal="center"/>
    </xf>
    <xf numFmtId="1" fontId="10" fillId="0" borderId="0" xfId="0" applyNumberFormat="1" applyFont="1" applyFill="1"/>
    <xf numFmtId="1" fontId="9" fillId="0" borderId="0" xfId="0" applyNumberFormat="1" applyFont="1" applyFill="1"/>
    <xf numFmtId="1" fontId="19" fillId="0" borderId="0" xfId="0" applyNumberFormat="1" applyFont="1" applyFill="1"/>
    <xf numFmtId="164" fontId="88" fillId="0" borderId="0" xfId="39" applyProtection="1"/>
    <xf numFmtId="164" fontId="89" fillId="27" borderId="0" xfId="39" applyFont="1" applyFill="1" applyProtection="1">
      <protection locked="0"/>
    </xf>
    <xf numFmtId="164" fontId="88" fillId="0" borderId="0" xfId="39" applyFill="1" applyAlignment="1" applyProtection="1">
      <alignment horizontal="center"/>
    </xf>
    <xf numFmtId="164" fontId="88" fillId="0" borderId="0" xfId="39" applyBorder="1" applyProtection="1"/>
    <xf numFmtId="164" fontId="88" fillId="27" borderId="0" xfId="39" applyFill="1" applyBorder="1" applyProtection="1">
      <protection locked="0"/>
    </xf>
    <xf numFmtId="164" fontId="90" fillId="0" borderId="0" xfId="39" applyFont="1" applyProtection="1">
      <protection locked="0"/>
    </xf>
    <xf numFmtId="164" fontId="91" fillId="28" borderId="49" xfId="39" applyFont="1" applyFill="1" applyBorder="1" applyProtection="1">
      <protection locked="0"/>
    </xf>
    <xf numFmtId="164" fontId="91" fillId="28" borderId="50" xfId="39" applyFont="1" applyFill="1" applyBorder="1" applyProtection="1">
      <protection locked="0"/>
    </xf>
    <xf numFmtId="164" fontId="92" fillId="0" borderId="0" xfId="39" applyFont="1" applyProtection="1"/>
    <xf numFmtId="164" fontId="93" fillId="0" borderId="51" xfId="39" applyFont="1" applyFill="1" applyBorder="1" applyAlignment="1" applyProtection="1">
      <alignment horizontal="center"/>
    </xf>
    <xf numFmtId="164" fontId="89" fillId="0" borderId="0" xfId="39" applyFont="1" applyProtection="1"/>
    <xf numFmtId="164" fontId="94" fillId="0" borderId="0" xfId="39" applyFont="1" applyFill="1" applyBorder="1" applyAlignment="1" applyProtection="1">
      <alignment horizontal="center"/>
    </xf>
    <xf numFmtId="164" fontId="88" fillId="0" borderId="0" xfId="39" applyFill="1" applyBorder="1" applyProtection="1"/>
    <xf numFmtId="164" fontId="90" fillId="28" borderId="0" xfId="39" applyFont="1" applyFill="1" applyBorder="1" applyAlignment="1" applyProtection="1">
      <alignment horizontal="left"/>
      <protection locked="0"/>
    </xf>
    <xf numFmtId="164" fontId="95" fillId="0" borderId="0" xfId="39" applyFont="1" applyProtection="1">
      <protection locked="0"/>
    </xf>
    <xf numFmtId="164" fontId="95" fillId="28" borderId="0" xfId="39" applyFont="1" applyFill="1" applyBorder="1" applyAlignment="1" applyProtection="1">
      <alignment horizontal="left"/>
      <protection locked="0"/>
    </xf>
    <xf numFmtId="0" fontId="3" fillId="18" borderId="0" xfId="0" applyFont="1" applyFill="1" applyProtection="1">
      <protection locked="0"/>
    </xf>
    <xf numFmtId="0" fontId="0" fillId="0" borderId="0" xfId="0" applyFill="1" applyAlignment="1" applyProtection="1">
      <alignment horizontal="center"/>
    </xf>
    <xf numFmtId="0" fontId="0" fillId="18" borderId="0" xfId="0" applyFill="1" applyBorder="1" applyProtection="1">
      <protection locked="0"/>
    </xf>
    <xf numFmtId="0" fontId="2" fillId="29" borderId="52" xfId="0" applyFont="1" applyFill="1" applyBorder="1" applyProtection="1">
      <protection locked="0"/>
    </xf>
    <xf numFmtId="0" fontId="2" fillId="29" borderId="27" xfId="0" applyFont="1" applyFill="1" applyBorder="1" applyProtection="1">
      <protection locked="0"/>
    </xf>
    <xf numFmtId="0" fontId="96" fillId="0" borderId="18"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Protection="1"/>
    <xf numFmtId="0" fontId="6" fillId="29" borderId="0" xfId="0" applyFont="1" applyFill="1" applyBorder="1" applyAlignment="1" applyProtection="1">
      <alignment horizontal="left"/>
      <protection locked="0"/>
    </xf>
    <xf numFmtId="0" fontId="0" fillId="0" borderId="0" xfId="0" applyBorder="1" applyProtection="1"/>
    <xf numFmtId="0" fontId="6" fillId="0" borderId="0" xfId="0" applyFont="1" applyProtection="1">
      <protection locked="0"/>
    </xf>
    <xf numFmtId="0" fontId="20" fillId="0" borderId="0" xfId="0" applyFont="1" applyProtection="1"/>
    <xf numFmtId="0" fontId="3" fillId="0" borderId="0" xfId="0" applyFont="1" applyProtection="1"/>
    <xf numFmtId="0" fontId="0" fillId="0" borderId="0" xfId="0" applyFill="1" applyBorder="1" applyProtection="1"/>
    <xf numFmtId="0" fontId="2" fillId="18" borderId="0" xfId="0" applyFont="1" applyFill="1" applyBorder="1" applyProtection="1">
      <protection locked="0"/>
    </xf>
    <xf numFmtId="0" fontId="97" fillId="0" borderId="0" xfId="0" applyFont="1" applyProtection="1">
      <protection locked="0"/>
    </xf>
    <xf numFmtId="0" fontId="98" fillId="29" borderId="27" xfId="0" applyFont="1" applyFill="1" applyBorder="1" applyProtection="1">
      <protection locked="0"/>
    </xf>
    <xf numFmtId="0" fontId="10" fillId="0" borderId="0" xfId="0" applyFont="1" applyBorder="1"/>
    <xf numFmtId="0" fontId="11" fillId="0" borderId="0" xfId="0" applyFont="1" applyBorder="1"/>
    <xf numFmtId="1" fontId="10" fillId="0" borderId="0" xfId="0" applyNumberFormat="1" applyFont="1" applyFill="1" applyBorder="1"/>
    <xf numFmtId="1" fontId="11" fillId="0" borderId="0" xfId="0" applyNumberFormat="1" applyFont="1" applyFill="1" applyBorder="1"/>
    <xf numFmtId="1" fontId="11" fillId="0" borderId="0" xfId="0" applyNumberFormat="1" applyFont="1" applyFill="1"/>
    <xf numFmtId="1" fontId="9" fillId="0" borderId="0" xfId="0" applyNumberFormat="1" applyFont="1" applyFill="1" applyBorder="1"/>
    <xf numFmtId="0" fontId="10" fillId="0" borderId="0" xfId="0" applyFont="1" applyFill="1" applyBorder="1"/>
    <xf numFmtId="0" fontId="10" fillId="0" borderId="0" xfId="0" applyFont="1" applyFill="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Protection="1">
      <protection locked="0"/>
    </xf>
    <xf numFmtId="0" fontId="23" fillId="0" borderId="0" xfId="0" applyFont="1" applyFill="1"/>
    <xf numFmtId="49" fontId="10" fillId="0" borderId="0" xfId="0" quotePrefix="1" applyNumberFormat="1" applyFont="1" applyFill="1" applyBorder="1"/>
    <xf numFmtId="49" fontId="10" fillId="0" borderId="0" xfId="0" applyNumberFormat="1" applyFont="1" applyFill="1" applyBorder="1" applyAlignment="1" applyProtection="1">
      <alignment horizontal="left"/>
      <protection locked="0"/>
    </xf>
    <xf numFmtId="49" fontId="10" fillId="0" borderId="0" xfId="0" applyNumberFormat="1" applyFont="1" applyFill="1" applyBorder="1"/>
    <xf numFmtId="49" fontId="10" fillId="0" borderId="0" xfId="0" applyNumberFormat="1" applyFont="1" applyFill="1" applyBorder="1" applyProtection="1">
      <protection locked="0"/>
    </xf>
    <xf numFmtId="0" fontId="23" fillId="0" borderId="0" xfId="0" applyFont="1" applyFill="1" applyBorder="1"/>
    <xf numFmtId="0" fontId="10" fillId="0" borderId="0" xfId="0" applyFont="1" applyFill="1" applyBorder="1" applyAlignment="1">
      <alignment horizontal="center"/>
    </xf>
    <xf numFmtId="0" fontId="10" fillId="0" borderId="0" xfId="0" applyFont="1" applyFill="1" applyProtection="1">
      <protection locked="0"/>
    </xf>
    <xf numFmtId="0" fontId="10" fillId="0" borderId="0" xfId="0" applyFont="1" applyFill="1" applyAlignment="1" applyProtection="1">
      <alignment horizontal="left"/>
      <protection locked="0"/>
    </xf>
    <xf numFmtId="0" fontId="10" fillId="0" borderId="0" xfId="0" applyFont="1" applyFill="1" applyBorder="1" applyAlignment="1" applyProtection="1">
      <alignment horizontal="left"/>
      <protection locked="0"/>
    </xf>
    <xf numFmtId="0" fontId="2" fillId="0" borderId="0" xfId="0" applyFont="1" applyProtection="1">
      <protection locked="0"/>
    </xf>
    <xf numFmtId="1" fontId="99" fillId="0" borderId="0" xfId="0" applyNumberFormat="1" applyFont="1" applyFill="1"/>
    <xf numFmtId="1" fontId="11" fillId="16" borderId="0" xfId="0" applyNumberFormat="1" applyFont="1" applyFill="1" applyBorder="1" applyProtection="1"/>
    <xf numFmtId="1" fontId="11" fillId="16" borderId="17" xfId="0" applyNumberFormat="1" applyFont="1" applyFill="1" applyBorder="1" applyProtection="1"/>
    <xf numFmtId="1" fontId="49" fillId="17" borderId="0" xfId="0" applyNumberFormat="1" applyFont="1" applyFill="1" applyAlignment="1">
      <alignment horizontal="center"/>
    </xf>
    <xf numFmtId="1" fontId="49" fillId="18" borderId="0" xfId="0" applyNumberFormat="1" applyFont="1" applyFill="1" applyAlignment="1">
      <alignment horizontal="center"/>
    </xf>
    <xf numFmtId="0" fontId="87" fillId="31" borderId="0" xfId="0" applyFont="1" applyFill="1" applyAlignment="1">
      <alignment horizontal="center"/>
    </xf>
    <xf numFmtId="1" fontId="52" fillId="0" borderId="0" xfId="0" applyNumberFormat="1" applyFont="1" applyFill="1" applyAlignment="1">
      <alignment horizontal="right"/>
    </xf>
    <xf numFmtId="1" fontId="52" fillId="0" borderId="22" xfId="0" applyNumberFormat="1" applyFont="1" applyBorder="1" applyAlignment="1">
      <alignment horizontal="right"/>
    </xf>
    <xf numFmtId="1" fontId="52" fillId="0" borderId="0" xfId="0" applyNumberFormat="1" applyFont="1" applyFill="1" applyBorder="1" applyAlignment="1" applyProtection="1">
      <alignment horizontal="right"/>
      <protection locked="0"/>
    </xf>
    <xf numFmtId="1" fontId="79" fillId="0" borderId="0" xfId="0" applyNumberFormat="1" applyFont="1" applyFill="1" applyAlignment="1">
      <alignment horizontal="right"/>
    </xf>
    <xf numFmtId="1" fontId="81" fillId="0" borderId="0" xfId="0" applyNumberFormat="1" applyFont="1" applyFill="1" applyAlignment="1">
      <alignment horizontal="right"/>
    </xf>
    <xf numFmtId="0" fontId="49" fillId="0" borderId="21" xfId="15" applyFont="1" applyBorder="1"/>
    <xf numFmtId="0" fontId="50" fillId="0" borderId="20" xfId="15" applyFont="1" applyBorder="1" applyAlignment="1">
      <alignment horizontal="left"/>
    </xf>
    <xf numFmtId="0" fontId="50" fillId="0" borderId="0" xfId="15" applyFont="1" applyFill="1"/>
    <xf numFmtId="0" fontId="49" fillId="0" borderId="0" xfId="15" applyFont="1"/>
    <xf numFmtId="0" fontId="49" fillId="0" borderId="21" xfId="15" applyFont="1" applyBorder="1" applyAlignment="1">
      <alignment horizontal="left"/>
    </xf>
    <xf numFmtId="0" fontId="49" fillId="0" borderId="11" xfId="15" applyFont="1" applyFill="1" applyBorder="1" applyAlignment="1">
      <alignment horizontal="center"/>
    </xf>
    <xf numFmtId="0" fontId="50" fillId="14" borderId="0" xfId="0" applyFont="1" applyFill="1" applyBorder="1"/>
    <xf numFmtId="1" fontId="49" fillId="0" borderId="0" xfId="0" applyNumberFormat="1" applyFont="1" applyFill="1" applyBorder="1" applyProtection="1"/>
    <xf numFmtId="0" fontId="76" fillId="0" borderId="0" xfId="15" applyFont="1"/>
    <xf numFmtId="0" fontId="49" fillId="0" borderId="21" xfId="0" applyFont="1" applyFill="1" applyBorder="1" applyAlignment="1">
      <alignment horizontal="left"/>
    </xf>
    <xf numFmtId="0" fontId="49" fillId="0" borderId="0" xfId="15" applyFont="1" applyBorder="1"/>
    <xf numFmtId="0" fontId="49" fillId="0" borderId="54" xfId="0" applyFont="1" applyFill="1" applyBorder="1" applyAlignment="1">
      <alignment horizontal="left"/>
    </xf>
    <xf numFmtId="0" fontId="49" fillId="0" borderId="55" xfId="15" applyFont="1" applyFill="1" applyBorder="1" applyAlignment="1">
      <alignment horizontal="center"/>
    </xf>
    <xf numFmtId="0" fontId="49" fillId="0" borderId="0" xfId="15" applyFont="1" applyBorder="1" applyAlignment="1">
      <alignment horizontal="left"/>
    </xf>
    <xf numFmtId="0" fontId="49" fillId="0" borderId="56" xfId="15" applyFont="1" applyBorder="1" applyAlignment="1">
      <alignment horizontal="left"/>
    </xf>
    <xf numFmtId="0" fontId="49" fillId="0" borderId="26" xfId="15" applyFont="1" applyFill="1" applyBorder="1" applyAlignment="1">
      <alignment horizontal="center"/>
    </xf>
    <xf numFmtId="0" fontId="49" fillId="0" borderId="0" xfId="0" applyFont="1" applyFill="1" applyBorder="1" applyAlignment="1">
      <alignment horizontal="left"/>
    </xf>
    <xf numFmtId="0" fontId="49" fillId="30" borderId="11" xfId="15" applyFont="1" applyFill="1" applyBorder="1" applyAlignment="1">
      <alignment horizontal="center"/>
    </xf>
    <xf numFmtId="0" fontId="49" fillId="0" borderId="53" xfId="15" applyFont="1" applyBorder="1" applyAlignment="1">
      <alignment horizontal="left"/>
    </xf>
    <xf numFmtId="0" fontId="49" fillId="0" borderId="56" xfId="0" applyFont="1" applyFill="1" applyBorder="1" applyAlignment="1">
      <alignment horizontal="left"/>
    </xf>
    <xf numFmtId="0" fontId="49" fillId="30" borderId="26" xfId="15" applyFont="1" applyFill="1" applyBorder="1" applyAlignment="1">
      <alignment horizontal="center"/>
    </xf>
    <xf numFmtId="0" fontId="49" fillId="0" borderId="53" xfId="0" applyFont="1" applyFill="1" applyBorder="1" applyAlignment="1">
      <alignment horizontal="left"/>
    </xf>
    <xf numFmtId="0" fontId="100" fillId="0" borderId="0" xfId="0" applyFont="1" applyFill="1" applyBorder="1" applyAlignment="1">
      <alignment horizontal="left"/>
    </xf>
    <xf numFmtId="0" fontId="100" fillId="0" borderId="11" xfId="15" applyFont="1" applyFill="1" applyBorder="1" applyAlignment="1">
      <alignment horizontal="center"/>
    </xf>
    <xf numFmtId="0" fontId="101" fillId="14" borderId="0" xfId="0" applyFont="1" applyFill="1" applyBorder="1"/>
    <xf numFmtId="1" fontId="100" fillId="0" borderId="0" xfId="0" applyNumberFormat="1" applyFont="1" applyFill="1" applyBorder="1" applyProtection="1"/>
    <xf numFmtId="0" fontId="100" fillId="0" borderId="0" xfId="15" applyFont="1"/>
    <xf numFmtId="0" fontId="49" fillId="0" borderId="29" xfId="15" applyFont="1" applyBorder="1" applyAlignment="1">
      <alignment horizontal="left"/>
    </xf>
    <xf numFmtId="0" fontId="49" fillId="0" borderId="28" xfId="15" applyFont="1" applyFill="1" applyBorder="1" applyAlignment="1">
      <alignment horizontal="center"/>
    </xf>
    <xf numFmtId="0" fontId="100" fillId="0" borderId="21" xfId="0" applyFont="1" applyFill="1" applyBorder="1" applyAlignment="1">
      <alignment horizontal="left"/>
    </xf>
    <xf numFmtId="0" fontId="49" fillId="0" borderId="54" xfId="15" applyFont="1" applyBorder="1" applyAlignment="1">
      <alignment horizontal="left"/>
    </xf>
    <xf numFmtId="0" fontId="49" fillId="0" borderId="57" xfId="0" applyFont="1" applyFill="1" applyBorder="1" applyAlignment="1">
      <alignment horizontal="left"/>
    </xf>
    <xf numFmtId="0" fontId="50" fillId="14" borderId="53" xfId="0" applyFont="1" applyFill="1" applyBorder="1"/>
    <xf numFmtId="1" fontId="49" fillId="0" borderId="53" xfId="0" applyNumberFormat="1" applyFont="1" applyFill="1" applyBorder="1" applyProtection="1"/>
    <xf numFmtId="0" fontId="49" fillId="0" borderId="53" xfId="15" applyFont="1" applyBorder="1"/>
    <xf numFmtId="0" fontId="49" fillId="0" borderId="57" xfId="15" applyFont="1" applyBorder="1" applyAlignment="1">
      <alignment horizontal="left"/>
    </xf>
    <xf numFmtId="0" fontId="49" fillId="0" borderId="58" xfId="15" applyFont="1" applyFill="1" applyBorder="1" applyAlignment="1">
      <alignment horizontal="center"/>
    </xf>
    <xf numFmtId="0" fontId="50" fillId="14" borderId="56" xfId="0" applyFont="1" applyFill="1" applyBorder="1"/>
    <xf numFmtId="1" fontId="49" fillId="0" borderId="56" xfId="0" applyNumberFormat="1" applyFont="1" applyFill="1" applyBorder="1" applyProtection="1"/>
    <xf numFmtId="0" fontId="49" fillId="0" borderId="56" xfId="15" applyFont="1" applyBorder="1"/>
    <xf numFmtId="0" fontId="50" fillId="14" borderId="17" xfId="0" applyFont="1" applyFill="1" applyBorder="1"/>
    <xf numFmtId="0" fontId="78" fillId="0" borderId="11" xfId="15" applyFont="1" applyBorder="1" applyAlignment="1">
      <alignment horizontal="center"/>
    </xf>
    <xf numFmtId="1" fontId="49" fillId="0" borderId="11" xfId="15" applyNumberFormat="1" applyFont="1" applyBorder="1" applyAlignment="1">
      <alignment horizontal="center"/>
    </xf>
    <xf numFmtId="2" fontId="49" fillId="0" borderId="11" xfId="15" applyNumberFormat="1" applyFont="1" applyBorder="1" applyAlignment="1">
      <alignment horizontal="center"/>
    </xf>
    <xf numFmtId="0" fontId="49" fillId="0" borderId="0" xfId="15" applyFont="1" applyFill="1" applyBorder="1" applyAlignment="1">
      <alignment horizontal="center"/>
    </xf>
    <xf numFmtId="0" fontId="102" fillId="0" borderId="0" xfId="15" applyFont="1" applyBorder="1" applyAlignment="1">
      <alignment horizontal="center"/>
    </xf>
    <xf numFmtId="0" fontId="49" fillId="0" borderId="11" xfId="15" applyFont="1" applyBorder="1" applyAlignment="1">
      <alignment horizontal="center"/>
    </xf>
    <xf numFmtId="0" fontId="100" fillId="0" borderId="21" xfId="15" applyFont="1" applyBorder="1" applyAlignment="1">
      <alignment horizontal="left"/>
    </xf>
    <xf numFmtId="0" fontId="103" fillId="0" borderId="0" xfId="15" applyFont="1"/>
    <xf numFmtId="0" fontId="49" fillId="17" borderId="28" xfId="15" applyFont="1" applyFill="1" applyBorder="1" applyAlignment="1">
      <alignment horizontal="center"/>
    </xf>
    <xf numFmtId="0" fontId="49" fillId="17" borderId="11" xfId="15" applyFont="1" applyFill="1" applyBorder="1" applyAlignment="1">
      <alignment horizontal="center"/>
    </xf>
    <xf numFmtId="0" fontId="104" fillId="0" borderId="11" xfId="15" applyFont="1" applyFill="1" applyBorder="1" applyAlignment="1">
      <alignment horizontal="center"/>
    </xf>
    <xf numFmtId="0" fontId="104" fillId="0" borderId="21" xfId="0" applyFont="1" applyFill="1" applyBorder="1" applyAlignment="1">
      <alignment horizontal="left"/>
    </xf>
    <xf numFmtId="0" fontId="82" fillId="0" borderId="54" xfId="0" applyFont="1" applyFill="1" applyBorder="1" applyAlignment="1">
      <alignment horizontal="left"/>
    </xf>
    <xf numFmtId="0" fontId="82" fillId="0" borderId="55" xfId="15" applyFont="1" applyFill="1" applyBorder="1" applyAlignment="1">
      <alignment horizontal="center"/>
    </xf>
    <xf numFmtId="1" fontId="82" fillId="0" borderId="0" xfId="0" applyNumberFormat="1" applyFont="1" applyFill="1" applyBorder="1" applyProtection="1"/>
    <xf numFmtId="0" fontId="104" fillId="30" borderId="11" xfId="15" applyFont="1" applyFill="1" applyBorder="1" applyAlignment="1">
      <alignment horizontal="center"/>
    </xf>
    <xf numFmtId="0" fontId="49" fillId="0" borderId="12" xfId="15" applyFont="1" applyFill="1" applyBorder="1" applyAlignment="1">
      <alignment horizontal="center"/>
    </xf>
    <xf numFmtId="0" fontId="49" fillId="0" borderId="21" xfId="15" applyFont="1" applyFill="1" applyBorder="1" applyAlignment="1">
      <alignment horizontal="center"/>
    </xf>
    <xf numFmtId="0" fontId="49" fillId="0" borderId="59" xfId="15" applyFont="1" applyFill="1" applyBorder="1" applyAlignment="1">
      <alignment horizontal="center"/>
    </xf>
  </cellXfs>
  <cellStyles count="40">
    <cellStyle name="Bad" xfId="1"/>
    <cellStyle name="Berekening" xfId="32" builtinId="22" hidden="1"/>
    <cellStyle name="Calculation" xfId="2"/>
    <cellStyle name="Check Cell" xfId="3"/>
    <cellStyle name="Controlecel" xfId="34" builtinId="23" hidden="1"/>
    <cellStyle name="Excel Built-in Normal" xfId="39"/>
    <cellStyle name="Explanatory Text" xfId="4"/>
    <cellStyle name="Gekoppelde cel" xfId="33" builtinId="24" hidden="1"/>
    <cellStyle name="Goed" xfId="27" builtinId="26" hidden="1"/>
    <cellStyle name="Good" xfId="5"/>
    <cellStyle name="Heading 1" xfId="6"/>
    <cellStyle name="Heading 2" xfId="7"/>
    <cellStyle name="Heading 3" xfId="8"/>
    <cellStyle name="Heading 4" xfId="9"/>
    <cellStyle name="Input" xfId="10"/>
    <cellStyle name="Invoer" xfId="30" builtinId="20" hidden="1"/>
    <cellStyle name="Kop 1" xfId="23" builtinId="16" hidden="1"/>
    <cellStyle name="Kop 2" xfId="24" builtinId="17" hidden="1"/>
    <cellStyle name="Kop 3" xfId="25" builtinId="18" hidden="1"/>
    <cellStyle name="Kop 4" xfId="26" builtinId="19" hidden="1"/>
    <cellStyle name="Linked Cell" xfId="11"/>
    <cellStyle name="Neutraal" xfId="29" builtinId="28" hidden="1"/>
    <cellStyle name="Neutral" xfId="12"/>
    <cellStyle name="Normal 2" xfId="13"/>
    <cellStyle name="Normal 3" xfId="14"/>
    <cellStyle name="Normal_Tour de France 2002-ploegensamenstelling" xfId="15"/>
    <cellStyle name="Note" xfId="16"/>
    <cellStyle name="Notitie" xfId="36" builtinId="10" hidden="1"/>
    <cellStyle name="Ongeldig" xfId="28" builtinId="27" hidden="1"/>
    <cellStyle name="Output" xfId="17"/>
    <cellStyle name="Procent" xfId="18" builtinId="5"/>
    <cellStyle name="Standaard" xfId="0" builtinId="0"/>
    <cellStyle name="Titel" xfId="22" builtinId="15" hidden="1"/>
    <cellStyle name="Title" xfId="19"/>
    <cellStyle name="Totaal" xfId="38" builtinId="25" hidden="1"/>
    <cellStyle name="Total" xfId="20"/>
    <cellStyle name="Uitvoer" xfId="31" builtinId="21" hidden="1"/>
    <cellStyle name="Verklarende tekst" xfId="37" builtinId="53" hidden="1"/>
    <cellStyle name="Waarschuwingstekst" xfId="35" builtinId="11" hidden="1"/>
    <cellStyle name="Warning Text" xfId="21"/>
  </cellStyles>
  <dxfs count="22">
    <dxf>
      <fill>
        <patternFill>
          <bgColor rgb="FF92D050"/>
        </patternFill>
      </fill>
    </dxf>
    <dxf>
      <fill>
        <patternFill>
          <bgColor rgb="FF92D050"/>
        </patternFill>
      </fill>
    </dxf>
    <dxf>
      <border>
        <bottom style="thin">
          <color auto="1"/>
        </bottom>
        <vertical/>
        <horizontal/>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theme" Target="theme/theme1.xml"/><Relationship Id="rId3" Type="http://schemas.openxmlformats.org/officeDocument/2006/relationships/chartsheet" Target="chartsheets/sheet2.xml"/><Relationship Id="rId21" Type="http://schemas.openxmlformats.org/officeDocument/2006/relationships/worksheet" Target="worksheets/sheet18.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worksheet" Target="worksheets/sheet22.xml"/><Relationship Id="rId2" Type="http://schemas.openxmlformats.org/officeDocument/2006/relationships/chartsheet" Target="chartsheets/sheet1.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worksheet" Target="worksheets/sheet8.xml"/><Relationship Id="rId24" Type="http://schemas.openxmlformats.org/officeDocument/2006/relationships/worksheet" Target="worksheets/sheet21.xml"/><Relationship Id="rId5" Type="http://schemas.openxmlformats.org/officeDocument/2006/relationships/chartsheet" Target="chartsheets/sheet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sharedStrings" Target="sharedStrings.xml"/><Relationship Id="rId10" Type="http://schemas.openxmlformats.org/officeDocument/2006/relationships/worksheet" Target="worksheets/sheet7.xml"/><Relationship Id="rId19" Type="http://schemas.openxmlformats.org/officeDocument/2006/relationships/worksheet" Target="worksheets/sheet16.xml"/><Relationship Id="rId4" Type="http://schemas.openxmlformats.org/officeDocument/2006/relationships/worksheet" Target="worksheets/sheet2.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 Tour de France 2013</a:t>
            </a:r>
          </a:p>
        </c:rich>
      </c:tx>
      <c:layout>
        <c:manualLayout>
          <c:xMode val="edge"/>
          <c:yMode val="edge"/>
          <c:x val="0.33092037228543059"/>
          <c:y val="2.0338983050847428E-2"/>
        </c:manualLayout>
      </c:layout>
      <c:spPr>
        <a:noFill/>
        <a:ln w="25400">
          <a:noFill/>
        </a:ln>
      </c:spPr>
    </c:title>
    <c:plotArea>
      <c:layout>
        <c:manualLayout>
          <c:layoutTarget val="inner"/>
          <c:xMode val="edge"/>
          <c:yMode val="edge"/>
          <c:x val="1.9648397104446741E-2"/>
          <c:y val="0.10508474576271379"/>
          <c:w val="0.92761116856256454"/>
          <c:h val="0.7525423728813555"/>
        </c:manualLayout>
      </c:layout>
      <c:lineChart>
        <c:grouping val="standard"/>
        <c:ser>
          <c:idx val="2"/>
          <c:order val="0"/>
          <c:tx>
            <c:strRef>
              <c:f>Etappes!$AB$22</c:f>
              <c:strCache>
                <c:ptCount val="1"/>
                <c:pt idx="0">
                  <c:v>Tour de Kruiskamp</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Etappes!$AC$22:$AX$22</c:f>
              <c:numCache>
                <c:formatCode>0</c:formatCode>
                <c:ptCount val="21"/>
                <c:pt idx="0">
                  <c:v>-18.562690508049059</c:v>
                </c:pt>
                <c:pt idx="1">
                  <c:v>-16.380872326230886</c:v>
                </c:pt>
                <c:pt idx="2">
                  <c:v>-19.835417780776368</c:v>
                </c:pt>
                <c:pt idx="3">
                  <c:v>-22.289963235321807</c:v>
                </c:pt>
                <c:pt idx="4">
                  <c:v>-24.562690508048945</c:v>
                </c:pt>
                <c:pt idx="5">
                  <c:v>-14.562690508048945</c:v>
                </c:pt>
                <c:pt idx="6">
                  <c:v>8.2554913101328111</c:v>
                </c:pt>
                <c:pt idx="7">
                  <c:v>23.164582219223689</c:v>
                </c:pt>
                <c:pt idx="8">
                  <c:v>20.346400401042047</c:v>
                </c:pt>
                <c:pt idx="9">
                  <c:v>29.164582219223803</c:v>
                </c:pt>
                <c:pt idx="10">
                  <c:v>30.437309491951055</c:v>
                </c:pt>
                <c:pt idx="11">
                  <c:v>22.800945855587315</c:v>
                </c:pt>
                <c:pt idx="12">
                  <c:v>14.528218582860063</c:v>
                </c:pt>
                <c:pt idx="13">
                  <c:v>37.255491310132811</c:v>
                </c:pt>
                <c:pt idx="14">
                  <c:v>36.891854946496551</c:v>
                </c:pt>
                <c:pt idx="15">
                  <c:v>56.982764037405559</c:v>
                </c:pt>
                <c:pt idx="16">
                  <c:v>96.164582219223576</c:v>
                </c:pt>
                <c:pt idx="17">
                  <c:v>91.346400401042047</c:v>
                </c:pt>
                <c:pt idx="18">
                  <c:v>128.34640040104205</c:v>
                </c:pt>
                <c:pt idx="19">
                  <c:v>131.34640040104205</c:v>
                </c:pt>
                <c:pt idx="20">
                  <c:v>172.80094585558754</c:v>
                </c:pt>
              </c:numCache>
            </c:numRef>
          </c:val>
        </c:ser>
        <c:ser>
          <c:idx val="1"/>
          <c:order val="1"/>
          <c:tx>
            <c:strRef>
              <c:f>Etappes!$AB$23</c:f>
              <c:strCache>
                <c:ptCount val="1"/>
                <c:pt idx="0">
                  <c:v>Special Victims Unit</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Etappes!$AC$23:$AX$23</c:f>
              <c:numCache>
                <c:formatCode>0</c:formatCode>
                <c:ptCount val="21"/>
                <c:pt idx="0">
                  <c:v>-18.640285855826427</c:v>
                </c:pt>
                <c:pt idx="1">
                  <c:v>-11.458467674008261</c:v>
                </c:pt>
                <c:pt idx="2">
                  <c:v>-9.9130131285537573</c:v>
                </c:pt>
                <c:pt idx="3">
                  <c:v>-7.3675585830992532</c:v>
                </c:pt>
                <c:pt idx="4">
                  <c:v>-4.6402858558263915</c:v>
                </c:pt>
                <c:pt idx="5">
                  <c:v>9.3597141441736085</c:v>
                </c:pt>
                <c:pt idx="6">
                  <c:v>14.177895962355365</c:v>
                </c:pt>
                <c:pt idx="7">
                  <c:v>16.086986871446243</c:v>
                </c:pt>
                <c:pt idx="8">
                  <c:v>12.268805053264487</c:v>
                </c:pt>
                <c:pt idx="9">
                  <c:v>-13.913013128553757</c:v>
                </c:pt>
                <c:pt idx="10">
                  <c:v>-21.640285855826505</c:v>
                </c:pt>
                <c:pt idx="11">
                  <c:v>-29.276649492190245</c:v>
                </c:pt>
                <c:pt idx="12">
                  <c:v>-37.549376764917497</c:v>
                </c:pt>
                <c:pt idx="13">
                  <c:v>-51.822104037644749</c:v>
                </c:pt>
                <c:pt idx="14">
                  <c:v>-67.185740401281009</c:v>
                </c:pt>
                <c:pt idx="15">
                  <c:v>-43.094831310372228</c:v>
                </c:pt>
                <c:pt idx="16">
                  <c:v>-37.913013128554212</c:v>
                </c:pt>
                <c:pt idx="17">
                  <c:v>-38.731194946735741</c:v>
                </c:pt>
                <c:pt idx="18">
                  <c:v>-47.731194946735741</c:v>
                </c:pt>
                <c:pt idx="19">
                  <c:v>-55.731194946735741</c:v>
                </c:pt>
                <c:pt idx="20">
                  <c:v>-79.276649492190245</c:v>
                </c:pt>
              </c:numCache>
            </c:numRef>
          </c:val>
        </c:ser>
        <c:ser>
          <c:idx val="0"/>
          <c:order val="2"/>
          <c:tx>
            <c:strRef>
              <c:f>Etappes!$AB$24</c:f>
              <c:strCache>
                <c:ptCount val="1"/>
                <c:pt idx="0">
                  <c:v>For Sale</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Etappes!$AC$24:$AX$24</c:f>
              <c:numCache>
                <c:formatCode>0</c:formatCode>
                <c:ptCount val="21"/>
                <c:pt idx="0">
                  <c:v>24.302088772144387</c:v>
                </c:pt>
                <c:pt idx="1">
                  <c:v>6.4839069539625598</c:v>
                </c:pt>
                <c:pt idx="2">
                  <c:v>-9.9706385005829361</c:v>
                </c:pt>
                <c:pt idx="3">
                  <c:v>-20.425183955128432</c:v>
                </c:pt>
                <c:pt idx="4">
                  <c:v>-18.69791122785557</c:v>
                </c:pt>
                <c:pt idx="5">
                  <c:v>-35.69791122785557</c:v>
                </c:pt>
                <c:pt idx="6">
                  <c:v>-29.879729409673814</c:v>
                </c:pt>
                <c:pt idx="7">
                  <c:v>-25.970638500582936</c:v>
                </c:pt>
                <c:pt idx="8">
                  <c:v>-8.7888203187646923</c:v>
                </c:pt>
                <c:pt idx="9">
                  <c:v>1.0293614994170639</c:v>
                </c:pt>
                <c:pt idx="10">
                  <c:v>18.302088772144316</c:v>
                </c:pt>
                <c:pt idx="11">
                  <c:v>11.665725135780576</c:v>
                </c:pt>
                <c:pt idx="12">
                  <c:v>-5.6070021369466758</c:v>
                </c:pt>
                <c:pt idx="13">
                  <c:v>-18.879729409673928</c:v>
                </c:pt>
                <c:pt idx="14">
                  <c:v>-33.243365773310188</c:v>
                </c:pt>
                <c:pt idx="15">
                  <c:v>-56.152456682401407</c:v>
                </c:pt>
                <c:pt idx="16">
                  <c:v>-75.970638500583391</c:v>
                </c:pt>
                <c:pt idx="17">
                  <c:v>-75.78882031876492</c:v>
                </c:pt>
                <c:pt idx="18">
                  <c:v>-83.78882031876492</c:v>
                </c:pt>
                <c:pt idx="19">
                  <c:v>-70.78882031876492</c:v>
                </c:pt>
                <c:pt idx="20">
                  <c:v>-93.334274864219424</c:v>
                </c:pt>
              </c:numCache>
            </c:numRef>
          </c:val>
        </c:ser>
        <c:ser>
          <c:idx val="6"/>
          <c:order val="3"/>
          <c:tx>
            <c:strRef>
              <c:f>Etappes!$AB$25</c:f>
              <c:strCache>
                <c:ptCount val="1"/>
                <c:pt idx="0">
                  <c:v>Am Selfkant</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Etappes!$AC$25:$AX$25</c:f>
              <c:numCache>
                <c:formatCode>0</c:formatCode>
                <c:ptCount val="21"/>
                <c:pt idx="0">
                  <c:v>24.375888973691801</c:v>
                </c:pt>
                <c:pt idx="1">
                  <c:v>28.557707155509974</c:v>
                </c:pt>
                <c:pt idx="2">
                  <c:v>13.103161700964478</c:v>
                </c:pt>
                <c:pt idx="3">
                  <c:v>33.64861624641901</c:v>
                </c:pt>
                <c:pt idx="4">
                  <c:v>44.375888973691872</c:v>
                </c:pt>
                <c:pt idx="5">
                  <c:v>54.375888973691872</c:v>
                </c:pt>
                <c:pt idx="6">
                  <c:v>89.194070791873628</c:v>
                </c:pt>
                <c:pt idx="7">
                  <c:v>81.10316170096462</c:v>
                </c:pt>
                <c:pt idx="8">
                  <c:v>99.284979882782864</c:v>
                </c:pt>
                <c:pt idx="9">
                  <c:v>123.10316170096462</c:v>
                </c:pt>
                <c:pt idx="10">
                  <c:v>143.37588897369187</c:v>
                </c:pt>
                <c:pt idx="11">
                  <c:v>136.73952533732813</c:v>
                </c:pt>
                <c:pt idx="12">
                  <c:v>145.46679806460088</c:v>
                </c:pt>
                <c:pt idx="13">
                  <c:v>169.19407079187363</c:v>
                </c:pt>
                <c:pt idx="14">
                  <c:v>169.83043442823737</c:v>
                </c:pt>
                <c:pt idx="15">
                  <c:v>191.92134351914638</c:v>
                </c:pt>
                <c:pt idx="16">
                  <c:v>213.10316170096439</c:v>
                </c:pt>
                <c:pt idx="17">
                  <c:v>209.28497988278286</c:v>
                </c:pt>
                <c:pt idx="18">
                  <c:v>268.28497988278286</c:v>
                </c:pt>
                <c:pt idx="19">
                  <c:v>293.28497988278286</c:v>
                </c:pt>
                <c:pt idx="20">
                  <c:v>367.73952533732836</c:v>
                </c:pt>
              </c:numCache>
            </c:numRef>
          </c:val>
        </c:ser>
        <c:ser>
          <c:idx val="4"/>
          <c:order val="4"/>
          <c:tx>
            <c:strRef>
              <c:f>Etappes!$AB$26</c:f>
              <c:strCache>
                <c:ptCount val="1"/>
                <c:pt idx="0">
                  <c:v>De Lange Man</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Etappes!$AC$26:$AX$26</c:f>
              <c:numCache>
                <c:formatCode>0</c:formatCode>
                <c:ptCount val="21"/>
                <c:pt idx="0">
                  <c:v>-18.587692453086632</c:v>
                </c:pt>
                <c:pt idx="1">
                  <c:v>-12.405874271268459</c:v>
                </c:pt>
                <c:pt idx="2">
                  <c:v>-25.860419725813955</c:v>
                </c:pt>
                <c:pt idx="3">
                  <c:v>-37.314965180359422</c:v>
                </c:pt>
                <c:pt idx="4">
                  <c:v>-43.587692453086561</c:v>
                </c:pt>
                <c:pt idx="5">
                  <c:v>-59.587692453086561</c:v>
                </c:pt>
                <c:pt idx="6">
                  <c:v>-35.769510634904805</c:v>
                </c:pt>
                <c:pt idx="7">
                  <c:v>-14.860419725813927</c:v>
                </c:pt>
                <c:pt idx="8">
                  <c:v>-13.678601543995683</c:v>
                </c:pt>
                <c:pt idx="9">
                  <c:v>1.1395802741860734</c:v>
                </c:pt>
                <c:pt idx="10">
                  <c:v>-7.5876924530866745</c:v>
                </c:pt>
                <c:pt idx="11">
                  <c:v>24.775943910549586</c:v>
                </c:pt>
                <c:pt idx="12">
                  <c:v>30.503216637822334</c:v>
                </c:pt>
                <c:pt idx="13">
                  <c:v>79.230489365095082</c:v>
                </c:pt>
                <c:pt idx="14">
                  <c:v>82.866853001458821</c:v>
                </c:pt>
                <c:pt idx="15">
                  <c:v>104.95776209236783</c:v>
                </c:pt>
                <c:pt idx="16">
                  <c:v>133.13958027418585</c:v>
                </c:pt>
                <c:pt idx="17">
                  <c:v>137.32139845600432</c:v>
                </c:pt>
                <c:pt idx="18">
                  <c:v>177.32139845600432</c:v>
                </c:pt>
                <c:pt idx="19">
                  <c:v>185.32139845600432</c:v>
                </c:pt>
                <c:pt idx="20">
                  <c:v>253.77594391054981</c:v>
                </c:pt>
              </c:numCache>
            </c:numRef>
          </c:val>
        </c:ser>
        <c:ser>
          <c:idx val="3"/>
          <c:order val="5"/>
          <c:tx>
            <c:strRef>
              <c:f>Etappes!$AB$27</c:f>
              <c:strCache>
                <c:ptCount val="1"/>
                <c:pt idx="0">
                  <c:v>Vorwärts Kinder des Vaterlandes!</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Etappes!$AC$27:$AX$27</c:f>
              <c:numCache>
                <c:formatCode>0</c:formatCode>
                <c:ptCount val="21"/>
                <c:pt idx="0">
                  <c:v>0.30579053011001633</c:v>
                </c:pt>
                <c:pt idx="1">
                  <c:v>6.4876087119282033</c:v>
                </c:pt>
                <c:pt idx="2">
                  <c:v>19.033063257382707</c:v>
                </c:pt>
                <c:pt idx="3">
                  <c:v>23.578517802837268</c:v>
                </c:pt>
                <c:pt idx="4">
                  <c:v>36.30579053011013</c:v>
                </c:pt>
                <c:pt idx="5">
                  <c:v>50.30579053011013</c:v>
                </c:pt>
                <c:pt idx="6">
                  <c:v>35.123972348291886</c:v>
                </c:pt>
                <c:pt idx="7">
                  <c:v>14.033063257382764</c:v>
                </c:pt>
                <c:pt idx="8">
                  <c:v>18.214881439201008</c:v>
                </c:pt>
                <c:pt idx="9">
                  <c:v>7.0330632573827643</c:v>
                </c:pt>
                <c:pt idx="10">
                  <c:v>-2.6942094698899837</c:v>
                </c:pt>
                <c:pt idx="11">
                  <c:v>-16.330573106253723</c:v>
                </c:pt>
                <c:pt idx="12">
                  <c:v>-10.603300378980975</c:v>
                </c:pt>
                <c:pt idx="13">
                  <c:v>-37.876027651708227</c:v>
                </c:pt>
                <c:pt idx="14">
                  <c:v>-18.239664015344488</c:v>
                </c:pt>
                <c:pt idx="15">
                  <c:v>-53.148754924435252</c:v>
                </c:pt>
                <c:pt idx="16">
                  <c:v>-96.966936742617236</c:v>
                </c:pt>
                <c:pt idx="17">
                  <c:v>-62.785118560798765</c:v>
                </c:pt>
                <c:pt idx="18">
                  <c:v>-98.785118560798765</c:v>
                </c:pt>
                <c:pt idx="19">
                  <c:v>-102.78511856079876</c:v>
                </c:pt>
                <c:pt idx="20">
                  <c:v>-150.33057310625327</c:v>
                </c:pt>
              </c:numCache>
            </c:numRef>
          </c:val>
        </c:ser>
        <c:ser>
          <c:idx val="7"/>
          <c:order val="6"/>
          <c:tx>
            <c:strRef>
              <c:f>Etappes!$AB$28</c:f>
              <c:strCache>
                <c:ptCount val="1"/>
                <c:pt idx="0">
                  <c:v>El Gran</c:v>
                </c:pt>
              </c:strCache>
            </c:strRef>
          </c:tx>
          <c:spPr>
            <a:ln w="38100">
              <a:solidFill>
                <a:srgbClr val="0000FF"/>
              </a:solidFill>
              <a:prstDash val="solid"/>
            </a:ln>
          </c:spPr>
          <c:marker>
            <c:symbol val="dot"/>
            <c:size val="9"/>
            <c:spPr>
              <a:noFill/>
              <a:ln>
                <a:solidFill>
                  <a:srgbClr val="0000FF"/>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Etappes!$AC$28:$AX$28</c:f>
              <c:numCache>
                <c:formatCode>0</c:formatCode>
                <c:ptCount val="21"/>
                <c:pt idx="0">
                  <c:v>0.38553801851342939</c:v>
                </c:pt>
                <c:pt idx="1">
                  <c:v>1.5673562003316022</c:v>
                </c:pt>
                <c:pt idx="2">
                  <c:v>9.1128107457861063</c:v>
                </c:pt>
                <c:pt idx="3">
                  <c:v>8.6582652912406388</c:v>
                </c:pt>
                <c:pt idx="4">
                  <c:v>16.385538018513557</c:v>
                </c:pt>
                <c:pt idx="5">
                  <c:v>-3.6144619814864427</c:v>
                </c:pt>
                <c:pt idx="6">
                  <c:v>8.2037198366953135</c:v>
                </c:pt>
                <c:pt idx="7">
                  <c:v>11.112810745786192</c:v>
                </c:pt>
                <c:pt idx="8">
                  <c:v>16.294628927604435</c:v>
                </c:pt>
                <c:pt idx="9">
                  <c:v>5.1128107457861915</c:v>
                </c:pt>
                <c:pt idx="10">
                  <c:v>4.3855380185134436</c:v>
                </c:pt>
                <c:pt idx="11">
                  <c:v>19.749174382149704</c:v>
                </c:pt>
                <c:pt idx="12">
                  <c:v>40.476447109422452</c:v>
                </c:pt>
                <c:pt idx="13">
                  <c:v>73.2037198366952</c:v>
                </c:pt>
                <c:pt idx="14">
                  <c:v>103.84008347305894</c:v>
                </c:pt>
                <c:pt idx="15">
                  <c:v>122.93099256396772</c:v>
                </c:pt>
                <c:pt idx="16">
                  <c:v>164.11281074578574</c:v>
                </c:pt>
                <c:pt idx="17">
                  <c:v>194.29462892760421</c:v>
                </c:pt>
                <c:pt idx="18">
                  <c:v>217.29462892760421</c:v>
                </c:pt>
                <c:pt idx="19">
                  <c:v>228.29462892760421</c:v>
                </c:pt>
                <c:pt idx="20">
                  <c:v>271.7491743821497</c:v>
                </c:pt>
              </c:numCache>
            </c:numRef>
          </c:val>
        </c:ser>
        <c:ser>
          <c:idx val="8"/>
          <c:order val="7"/>
          <c:tx>
            <c:strRef>
              <c:f>Etappes!$AB$29</c:f>
              <c:strCache>
                <c:ptCount val="1"/>
                <c:pt idx="0">
                  <c:v>IJffjes Boys</c:v>
                </c:pt>
              </c:strCache>
            </c:strRef>
          </c:tx>
          <c:spPr>
            <a:ln w="25400">
              <a:solidFill>
                <a:srgbClr val="FF9900"/>
              </a:solidFill>
              <a:prstDash val="solid"/>
            </a:ln>
          </c:spPr>
          <c:marker>
            <c:symbol val="dash"/>
            <c:size val="7"/>
            <c:spPr>
              <a:noFill/>
              <a:ln>
                <a:solidFill>
                  <a:srgbClr val="00CCFF"/>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Etappes!$AC$29:$AX$29</c:f>
              <c:numCache>
                <c:formatCode>0</c:formatCode>
                <c:ptCount val="21"/>
                <c:pt idx="0">
                  <c:v>-18.683066002705516</c:v>
                </c:pt>
                <c:pt idx="1">
                  <c:v>-16.501247820887343</c:v>
                </c:pt>
                <c:pt idx="2">
                  <c:v>-19.955793275432825</c:v>
                </c:pt>
                <c:pt idx="3">
                  <c:v>-20.410338729978321</c:v>
                </c:pt>
                <c:pt idx="4">
                  <c:v>-31.683066002705459</c:v>
                </c:pt>
                <c:pt idx="5">
                  <c:v>-19.683066002705459</c:v>
                </c:pt>
                <c:pt idx="6">
                  <c:v>-21.864884184523703</c:v>
                </c:pt>
                <c:pt idx="7">
                  <c:v>-22.955793275432825</c:v>
                </c:pt>
                <c:pt idx="8">
                  <c:v>-47.773975093614581</c:v>
                </c:pt>
                <c:pt idx="9">
                  <c:v>-16.955793275432825</c:v>
                </c:pt>
                <c:pt idx="10">
                  <c:v>-38.683066002705573</c:v>
                </c:pt>
                <c:pt idx="11">
                  <c:v>-16.319429639069313</c:v>
                </c:pt>
                <c:pt idx="12">
                  <c:v>-20.592156911796565</c:v>
                </c:pt>
                <c:pt idx="13">
                  <c:v>-22.864884184523817</c:v>
                </c:pt>
                <c:pt idx="14">
                  <c:v>-20.228520548160077</c:v>
                </c:pt>
                <c:pt idx="15">
                  <c:v>-23.137611457250841</c:v>
                </c:pt>
                <c:pt idx="16">
                  <c:v>-32.955793275432825</c:v>
                </c:pt>
                <c:pt idx="17">
                  <c:v>-42.773975093614354</c:v>
                </c:pt>
                <c:pt idx="18">
                  <c:v>-66.773975093614354</c:v>
                </c:pt>
                <c:pt idx="19">
                  <c:v>-89.773975093614354</c:v>
                </c:pt>
                <c:pt idx="20">
                  <c:v>-114.31942963906886</c:v>
                </c:pt>
              </c:numCache>
            </c:numRef>
          </c:val>
        </c:ser>
        <c:ser>
          <c:idx val="9"/>
          <c:order val="8"/>
          <c:tx>
            <c:strRef>
              <c:f>Etappes!$AB$30</c:f>
              <c:strCache>
                <c:ptCount val="1"/>
                <c:pt idx="0">
                  <c:v>TinTopTeam</c:v>
                </c:pt>
              </c:strCache>
            </c:strRef>
          </c:tx>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Etappes!$AC$30:$AX$30</c:f>
              <c:numCache>
                <c:formatCode>0</c:formatCode>
                <c:ptCount val="21"/>
                <c:pt idx="0">
                  <c:v>43.376408424608073</c:v>
                </c:pt>
                <c:pt idx="1">
                  <c:v>19.558226606426246</c:v>
                </c:pt>
                <c:pt idx="2">
                  <c:v>9.1036811518807497</c:v>
                </c:pt>
                <c:pt idx="3">
                  <c:v>9.6491356973352822</c:v>
                </c:pt>
                <c:pt idx="4">
                  <c:v>16.376408424608144</c:v>
                </c:pt>
                <c:pt idx="5">
                  <c:v>-4.6235915753918562</c:v>
                </c:pt>
                <c:pt idx="6">
                  <c:v>-14.8054097572101</c:v>
                </c:pt>
                <c:pt idx="7">
                  <c:v>-6.8963188481192219</c:v>
                </c:pt>
                <c:pt idx="8">
                  <c:v>18.285499333699136</c:v>
                </c:pt>
                <c:pt idx="9">
                  <c:v>6.1036811518808918</c:v>
                </c:pt>
                <c:pt idx="10">
                  <c:v>28.376408424608144</c:v>
                </c:pt>
                <c:pt idx="11">
                  <c:v>21.740044788244404</c:v>
                </c:pt>
                <c:pt idx="12">
                  <c:v>38.467317515517152</c:v>
                </c:pt>
                <c:pt idx="13">
                  <c:v>49.1945902427899</c:v>
                </c:pt>
                <c:pt idx="14">
                  <c:v>42.83095387915364</c:v>
                </c:pt>
                <c:pt idx="15">
                  <c:v>52.921862970062648</c:v>
                </c:pt>
                <c:pt idx="16">
                  <c:v>75.103681151880664</c:v>
                </c:pt>
                <c:pt idx="17">
                  <c:v>61.285499333699136</c:v>
                </c:pt>
                <c:pt idx="18">
                  <c:v>72.285499333699136</c:v>
                </c:pt>
                <c:pt idx="19">
                  <c:v>100.28549933369914</c:v>
                </c:pt>
                <c:pt idx="20">
                  <c:v>118.74004478824463</c:v>
                </c:pt>
              </c:numCache>
            </c:numRef>
          </c:val>
        </c:ser>
        <c:ser>
          <c:idx val="5"/>
          <c:order val="9"/>
          <c:tx>
            <c:strRef>
              <c:f>Etappes!$AB$31</c:f>
              <c:strCache>
                <c:ptCount val="1"/>
                <c:pt idx="0">
                  <c:v>Equipe l'Ami</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Etappes!$AC$31:$AX$31</c:f>
              <c:numCache>
                <c:formatCode>0</c:formatCode>
                <c:ptCount val="21"/>
                <c:pt idx="0">
                  <c:v>-18.650015595413208</c:v>
                </c:pt>
                <c:pt idx="1">
                  <c:v>-16.468197413595036</c:v>
                </c:pt>
                <c:pt idx="2">
                  <c:v>-19.922742868140517</c:v>
                </c:pt>
                <c:pt idx="3">
                  <c:v>-33.377288322686013</c:v>
                </c:pt>
                <c:pt idx="4">
                  <c:v>-51.650015595413151</c:v>
                </c:pt>
                <c:pt idx="5">
                  <c:v>-53.650015595413151</c:v>
                </c:pt>
                <c:pt idx="6">
                  <c:v>-87.831833777231395</c:v>
                </c:pt>
                <c:pt idx="7">
                  <c:v>-93.922742868140517</c:v>
                </c:pt>
                <c:pt idx="8">
                  <c:v>-120.74092468632216</c:v>
                </c:pt>
                <c:pt idx="9">
                  <c:v>-124.9227428681404</c:v>
                </c:pt>
                <c:pt idx="10">
                  <c:v>-140.65001559541315</c:v>
                </c:pt>
                <c:pt idx="11">
                  <c:v>-145.28637923177689</c:v>
                </c:pt>
                <c:pt idx="12">
                  <c:v>-161.55910650450414</c:v>
                </c:pt>
                <c:pt idx="13">
                  <c:v>-188.8318337772314</c:v>
                </c:pt>
                <c:pt idx="14">
                  <c:v>-206.19547014086766</c:v>
                </c:pt>
                <c:pt idx="15">
                  <c:v>-216.10456104995865</c:v>
                </c:pt>
                <c:pt idx="16">
                  <c:v>-232.92274286814063</c:v>
                </c:pt>
                <c:pt idx="17">
                  <c:v>-247.74092468632216</c:v>
                </c:pt>
                <c:pt idx="18">
                  <c:v>-266.74092468632216</c:v>
                </c:pt>
                <c:pt idx="19">
                  <c:v>-291.74092468632216</c:v>
                </c:pt>
                <c:pt idx="20">
                  <c:v>-334.28637923177666</c:v>
                </c:pt>
              </c:numCache>
            </c:numRef>
          </c:val>
        </c:ser>
        <c:ser>
          <c:idx val="10"/>
          <c:order val="10"/>
          <c:tx>
            <c:strRef>
              <c:f>Etappes!$AB$32</c:f>
              <c:strCache>
                <c:ptCount val="1"/>
                <c:pt idx="0">
                  <c:v>Niet geschoten</c:v>
                </c:pt>
              </c:strCache>
            </c:strRef>
          </c:tx>
          <c:marker>
            <c:symbol val="square"/>
            <c:size val="5"/>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Etappes!$AC$32:$AX$32</c:f>
              <c:numCache>
                <c:formatCode>0</c:formatCode>
                <c:ptCount val="21"/>
                <c:pt idx="0">
                  <c:v>0.37803569601322806</c:v>
                </c:pt>
                <c:pt idx="1">
                  <c:v>10.559853877831415</c:v>
                </c:pt>
                <c:pt idx="2">
                  <c:v>55.105308423285919</c:v>
                </c:pt>
                <c:pt idx="3">
                  <c:v>65.65076296874048</c:v>
                </c:pt>
                <c:pt idx="4">
                  <c:v>61.378035696013399</c:v>
                </c:pt>
                <c:pt idx="5">
                  <c:v>77.378035696013399</c:v>
                </c:pt>
                <c:pt idx="6">
                  <c:v>35.196217514195155</c:v>
                </c:pt>
                <c:pt idx="7">
                  <c:v>19.105308423286033</c:v>
                </c:pt>
                <c:pt idx="8">
                  <c:v>6.2871266051042767</c:v>
                </c:pt>
                <c:pt idx="9">
                  <c:v>-16.894691576713967</c:v>
                </c:pt>
                <c:pt idx="10">
                  <c:v>-13.621964303986715</c:v>
                </c:pt>
                <c:pt idx="11">
                  <c:v>-30.258327940350455</c:v>
                </c:pt>
                <c:pt idx="12">
                  <c:v>-33.531055213077707</c:v>
                </c:pt>
                <c:pt idx="13">
                  <c:v>-87.803782485804959</c:v>
                </c:pt>
                <c:pt idx="14">
                  <c:v>-91.167418849441219</c:v>
                </c:pt>
                <c:pt idx="15">
                  <c:v>-138.07650975853221</c:v>
                </c:pt>
                <c:pt idx="16">
                  <c:v>-204.89469157671419</c:v>
                </c:pt>
                <c:pt idx="17">
                  <c:v>-225.71287339489572</c:v>
                </c:pt>
                <c:pt idx="18">
                  <c:v>-299.71287339489572</c:v>
                </c:pt>
                <c:pt idx="19">
                  <c:v>-327.71287339489572</c:v>
                </c:pt>
                <c:pt idx="20">
                  <c:v>-413.25832794035023</c:v>
                </c:pt>
              </c:numCache>
            </c:numRef>
          </c:val>
        </c:ser>
        <c:marker val="1"/>
        <c:axId val="37900288"/>
        <c:axId val="37901824"/>
      </c:lineChart>
      <c:catAx>
        <c:axId val="37900288"/>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37901824"/>
        <c:crosses val="autoZero"/>
        <c:auto val="1"/>
        <c:lblAlgn val="ctr"/>
        <c:lblOffset val="100"/>
        <c:tickLblSkip val="1"/>
        <c:tickMarkSkip val="1"/>
      </c:catAx>
      <c:valAx>
        <c:axId val="37901824"/>
        <c:scaling>
          <c:orientation val="minMax"/>
          <c:max val="350"/>
          <c:min val="0"/>
        </c:scaling>
        <c:axPos val="l"/>
        <c:majorGridlines>
          <c:spPr>
            <a:ln w="12700">
              <a:solidFill>
                <a:srgbClr val="99CC00"/>
              </a:solidFill>
              <a:prstDash val="sysDot"/>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9286"/>
              <c:y val="0.26101694915254886"/>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37900288"/>
        <c:crosses val="autoZero"/>
        <c:crossBetween val="midCat"/>
        <c:majorUnit val="50"/>
      </c:valAx>
      <c:spPr>
        <a:noFill/>
        <a:ln w="25400">
          <a:noFill/>
        </a:ln>
      </c:spPr>
    </c:plotArea>
    <c:legend>
      <c:legendPos val="r"/>
      <c:layout>
        <c:manualLayout>
          <c:xMode val="edge"/>
          <c:yMode val="edge"/>
          <c:x val="5.5498104102034013E-2"/>
          <c:y val="0.88361581920903964"/>
          <c:w val="0.91007933729070656"/>
          <c:h val="8.7005649717514122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 Tour de France 2013</a:t>
            </a:r>
          </a:p>
        </c:rich>
      </c:tx>
      <c:layout>
        <c:manualLayout>
          <c:xMode val="edge"/>
          <c:yMode val="edge"/>
          <c:x val="0.33092037228543059"/>
          <c:y val="2.0338983050847428E-2"/>
        </c:manualLayout>
      </c:layout>
      <c:spPr>
        <a:noFill/>
        <a:ln w="25400">
          <a:noFill/>
        </a:ln>
      </c:spPr>
    </c:title>
    <c:plotArea>
      <c:layout>
        <c:manualLayout>
          <c:layoutTarget val="inner"/>
          <c:xMode val="edge"/>
          <c:yMode val="edge"/>
          <c:x val="1.9648397104446741E-2"/>
          <c:y val="0.1050847457627138"/>
          <c:w val="0.92761116856256454"/>
          <c:h val="0.7525423728813555"/>
        </c:manualLayout>
      </c:layout>
      <c:lineChart>
        <c:grouping val="standard"/>
        <c:ser>
          <c:idx val="2"/>
          <c:order val="0"/>
          <c:tx>
            <c:strRef>
              <c:f>Etappes!$AB$22</c:f>
              <c:strCache>
                <c:ptCount val="1"/>
                <c:pt idx="0">
                  <c:v>Tour de Kruiskamp</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Etappes!$AC$22:$AX$22</c:f>
              <c:numCache>
                <c:formatCode>0</c:formatCode>
                <c:ptCount val="21"/>
                <c:pt idx="0">
                  <c:v>-18.562690508049059</c:v>
                </c:pt>
                <c:pt idx="1">
                  <c:v>-16.380872326230886</c:v>
                </c:pt>
                <c:pt idx="2">
                  <c:v>-19.835417780776368</c:v>
                </c:pt>
                <c:pt idx="3">
                  <c:v>-22.289963235321807</c:v>
                </c:pt>
                <c:pt idx="4">
                  <c:v>-24.562690508048945</c:v>
                </c:pt>
                <c:pt idx="5">
                  <c:v>-14.562690508048945</c:v>
                </c:pt>
                <c:pt idx="6">
                  <c:v>8.2554913101328111</c:v>
                </c:pt>
                <c:pt idx="7">
                  <c:v>23.164582219223689</c:v>
                </c:pt>
                <c:pt idx="8">
                  <c:v>20.346400401042047</c:v>
                </c:pt>
                <c:pt idx="9">
                  <c:v>29.164582219223803</c:v>
                </c:pt>
                <c:pt idx="10">
                  <c:v>30.437309491951055</c:v>
                </c:pt>
                <c:pt idx="11">
                  <c:v>22.800945855587315</c:v>
                </c:pt>
                <c:pt idx="12">
                  <c:v>14.528218582860063</c:v>
                </c:pt>
                <c:pt idx="13">
                  <c:v>37.255491310132811</c:v>
                </c:pt>
                <c:pt idx="14">
                  <c:v>36.891854946496551</c:v>
                </c:pt>
                <c:pt idx="15">
                  <c:v>56.982764037405559</c:v>
                </c:pt>
                <c:pt idx="16">
                  <c:v>96.164582219223576</c:v>
                </c:pt>
                <c:pt idx="17">
                  <c:v>91.346400401042047</c:v>
                </c:pt>
                <c:pt idx="18">
                  <c:v>128.34640040104205</c:v>
                </c:pt>
                <c:pt idx="19">
                  <c:v>131.34640040104205</c:v>
                </c:pt>
                <c:pt idx="20">
                  <c:v>172.80094585558754</c:v>
                </c:pt>
              </c:numCache>
            </c:numRef>
          </c:val>
        </c:ser>
        <c:ser>
          <c:idx val="1"/>
          <c:order val="1"/>
          <c:tx>
            <c:strRef>
              <c:f>Etappes!$AB$23</c:f>
              <c:strCache>
                <c:ptCount val="1"/>
                <c:pt idx="0">
                  <c:v>Special Victims Unit</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Etappes!$AC$23:$AX$23</c:f>
              <c:numCache>
                <c:formatCode>0</c:formatCode>
                <c:ptCount val="21"/>
                <c:pt idx="0">
                  <c:v>-18.640285855826427</c:v>
                </c:pt>
                <c:pt idx="1">
                  <c:v>-11.458467674008261</c:v>
                </c:pt>
                <c:pt idx="2">
                  <c:v>-9.9130131285537573</c:v>
                </c:pt>
                <c:pt idx="3">
                  <c:v>-7.3675585830992532</c:v>
                </c:pt>
                <c:pt idx="4">
                  <c:v>-4.6402858558263915</c:v>
                </c:pt>
                <c:pt idx="5">
                  <c:v>9.3597141441736085</c:v>
                </c:pt>
                <c:pt idx="6">
                  <c:v>14.177895962355365</c:v>
                </c:pt>
                <c:pt idx="7">
                  <c:v>16.086986871446243</c:v>
                </c:pt>
                <c:pt idx="8">
                  <c:v>12.268805053264487</c:v>
                </c:pt>
                <c:pt idx="9">
                  <c:v>-13.913013128553757</c:v>
                </c:pt>
                <c:pt idx="10">
                  <c:v>-21.640285855826505</c:v>
                </c:pt>
                <c:pt idx="11">
                  <c:v>-29.276649492190245</c:v>
                </c:pt>
                <c:pt idx="12">
                  <c:v>-37.549376764917497</c:v>
                </c:pt>
                <c:pt idx="13">
                  <c:v>-51.822104037644749</c:v>
                </c:pt>
                <c:pt idx="14">
                  <c:v>-67.185740401281009</c:v>
                </c:pt>
                <c:pt idx="15">
                  <c:v>-43.094831310372228</c:v>
                </c:pt>
                <c:pt idx="16">
                  <c:v>-37.913013128554212</c:v>
                </c:pt>
                <c:pt idx="17">
                  <c:v>-38.731194946735741</c:v>
                </c:pt>
                <c:pt idx="18">
                  <c:v>-47.731194946735741</c:v>
                </c:pt>
                <c:pt idx="19">
                  <c:v>-55.731194946735741</c:v>
                </c:pt>
                <c:pt idx="20">
                  <c:v>-79.276649492190245</c:v>
                </c:pt>
              </c:numCache>
            </c:numRef>
          </c:val>
        </c:ser>
        <c:ser>
          <c:idx val="0"/>
          <c:order val="2"/>
          <c:tx>
            <c:strRef>
              <c:f>Etappes!$AB$24</c:f>
              <c:strCache>
                <c:ptCount val="1"/>
                <c:pt idx="0">
                  <c:v>For Sale</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Etappes!$AC$24:$AX$24</c:f>
              <c:numCache>
                <c:formatCode>0</c:formatCode>
                <c:ptCount val="21"/>
                <c:pt idx="0">
                  <c:v>24.302088772144387</c:v>
                </c:pt>
                <c:pt idx="1">
                  <c:v>6.4839069539625598</c:v>
                </c:pt>
                <c:pt idx="2">
                  <c:v>-9.9706385005829361</c:v>
                </c:pt>
                <c:pt idx="3">
                  <c:v>-20.425183955128432</c:v>
                </c:pt>
                <c:pt idx="4">
                  <c:v>-18.69791122785557</c:v>
                </c:pt>
                <c:pt idx="5">
                  <c:v>-35.69791122785557</c:v>
                </c:pt>
                <c:pt idx="6">
                  <c:v>-29.879729409673814</c:v>
                </c:pt>
                <c:pt idx="7">
                  <c:v>-25.970638500582936</c:v>
                </c:pt>
                <c:pt idx="8">
                  <c:v>-8.7888203187646923</c:v>
                </c:pt>
                <c:pt idx="9">
                  <c:v>1.0293614994170639</c:v>
                </c:pt>
                <c:pt idx="10">
                  <c:v>18.302088772144316</c:v>
                </c:pt>
                <c:pt idx="11">
                  <c:v>11.665725135780576</c:v>
                </c:pt>
                <c:pt idx="12">
                  <c:v>-5.6070021369466758</c:v>
                </c:pt>
                <c:pt idx="13">
                  <c:v>-18.879729409673928</c:v>
                </c:pt>
                <c:pt idx="14">
                  <c:v>-33.243365773310188</c:v>
                </c:pt>
                <c:pt idx="15">
                  <c:v>-56.152456682401407</c:v>
                </c:pt>
                <c:pt idx="16">
                  <c:v>-75.970638500583391</c:v>
                </c:pt>
                <c:pt idx="17">
                  <c:v>-75.78882031876492</c:v>
                </c:pt>
                <c:pt idx="18">
                  <c:v>-83.78882031876492</c:v>
                </c:pt>
                <c:pt idx="19">
                  <c:v>-70.78882031876492</c:v>
                </c:pt>
                <c:pt idx="20">
                  <c:v>-93.334274864219424</c:v>
                </c:pt>
              </c:numCache>
            </c:numRef>
          </c:val>
        </c:ser>
        <c:ser>
          <c:idx val="6"/>
          <c:order val="3"/>
          <c:tx>
            <c:strRef>
              <c:f>Etappes!$AB$25</c:f>
              <c:strCache>
                <c:ptCount val="1"/>
                <c:pt idx="0">
                  <c:v>Am Selfkant</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Etappes!$AC$25:$AX$25</c:f>
              <c:numCache>
                <c:formatCode>0</c:formatCode>
                <c:ptCount val="21"/>
                <c:pt idx="0">
                  <c:v>24.375888973691801</c:v>
                </c:pt>
                <c:pt idx="1">
                  <c:v>28.557707155509974</c:v>
                </c:pt>
                <c:pt idx="2">
                  <c:v>13.103161700964478</c:v>
                </c:pt>
                <c:pt idx="3">
                  <c:v>33.64861624641901</c:v>
                </c:pt>
                <c:pt idx="4">
                  <c:v>44.375888973691872</c:v>
                </c:pt>
                <c:pt idx="5">
                  <c:v>54.375888973691872</c:v>
                </c:pt>
                <c:pt idx="6">
                  <c:v>89.194070791873628</c:v>
                </c:pt>
                <c:pt idx="7">
                  <c:v>81.10316170096462</c:v>
                </c:pt>
                <c:pt idx="8">
                  <c:v>99.284979882782864</c:v>
                </c:pt>
                <c:pt idx="9">
                  <c:v>123.10316170096462</c:v>
                </c:pt>
                <c:pt idx="10">
                  <c:v>143.37588897369187</c:v>
                </c:pt>
                <c:pt idx="11">
                  <c:v>136.73952533732813</c:v>
                </c:pt>
                <c:pt idx="12">
                  <c:v>145.46679806460088</c:v>
                </c:pt>
                <c:pt idx="13">
                  <c:v>169.19407079187363</c:v>
                </c:pt>
                <c:pt idx="14">
                  <c:v>169.83043442823737</c:v>
                </c:pt>
                <c:pt idx="15">
                  <c:v>191.92134351914638</c:v>
                </c:pt>
                <c:pt idx="16">
                  <c:v>213.10316170096439</c:v>
                </c:pt>
                <c:pt idx="17">
                  <c:v>209.28497988278286</c:v>
                </c:pt>
                <c:pt idx="18">
                  <c:v>268.28497988278286</c:v>
                </c:pt>
                <c:pt idx="19">
                  <c:v>293.28497988278286</c:v>
                </c:pt>
                <c:pt idx="20">
                  <c:v>367.73952533732836</c:v>
                </c:pt>
              </c:numCache>
            </c:numRef>
          </c:val>
        </c:ser>
        <c:ser>
          <c:idx val="4"/>
          <c:order val="4"/>
          <c:tx>
            <c:strRef>
              <c:f>Etappes!$AB$26</c:f>
              <c:strCache>
                <c:ptCount val="1"/>
                <c:pt idx="0">
                  <c:v>De Lange Man</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Etappes!$AC$26:$AX$26</c:f>
              <c:numCache>
                <c:formatCode>0</c:formatCode>
                <c:ptCount val="21"/>
                <c:pt idx="0">
                  <c:v>-18.587692453086632</c:v>
                </c:pt>
                <c:pt idx="1">
                  <c:v>-12.405874271268459</c:v>
                </c:pt>
                <c:pt idx="2">
                  <c:v>-25.860419725813955</c:v>
                </c:pt>
                <c:pt idx="3">
                  <c:v>-37.314965180359422</c:v>
                </c:pt>
                <c:pt idx="4">
                  <c:v>-43.587692453086561</c:v>
                </c:pt>
                <c:pt idx="5">
                  <c:v>-59.587692453086561</c:v>
                </c:pt>
                <c:pt idx="6">
                  <c:v>-35.769510634904805</c:v>
                </c:pt>
                <c:pt idx="7">
                  <c:v>-14.860419725813927</c:v>
                </c:pt>
                <c:pt idx="8">
                  <c:v>-13.678601543995683</c:v>
                </c:pt>
                <c:pt idx="9">
                  <c:v>1.1395802741860734</c:v>
                </c:pt>
                <c:pt idx="10">
                  <c:v>-7.5876924530866745</c:v>
                </c:pt>
                <c:pt idx="11">
                  <c:v>24.775943910549586</c:v>
                </c:pt>
                <c:pt idx="12">
                  <c:v>30.503216637822334</c:v>
                </c:pt>
                <c:pt idx="13">
                  <c:v>79.230489365095082</c:v>
                </c:pt>
                <c:pt idx="14">
                  <c:v>82.866853001458821</c:v>
                </c:pt>
                <c:pt idx="15">
                  <c:v>104.95776209236783</c:v>
                </c:pt>
                <c:pt idx="16">
                  <c:v>133.13958027418585</c:v>
                </c:pt>
                <c:pt idx="17">
                  <c:v>137.32139845600432</c:v>
                </c:pt>
                <c:pt idx="18">
                  <c:v>177.32139845600432</c:v>
                </c:pt>
                <c:pt idx="19">
                  <c:v>185.32139845600432</c:v>
                </c:pt>
                <c:pt idx="20">
                  <c:v>253.77594391054981</c:v>
                </c:pt>
              </c:numCache>
            </c:numRef>
          </c:val>
        </c:ser>
        <c:ser>
          <c:idx val="3"/>
          <c:order val="5"/>
          <c:tx>
            <c:strRef>
              <c:f>Etappes!$AB$27</c:f>
              <c:strCache>
                <c:ptCount val="1"/>
                <c:pt idx="0">
                  <c:v>Vorwärts Kinder des Vaterlandes!</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Etappes!$AC$27:$AX$27</c:f>
              <c:numCache>
                <c:formatCode>0</c:formatCode>
                <c:ptCount val="21"/>
                <c:pt idx="0">
                  <c:v>0.30579053011001633</c:v>
                </c:pt>
                <c:pt idx="1">
                  <c:v>6.4876087119282033</c:v>
                </c:pt>
                <c:pt idx="2">
                  <c:v>19.033063257382707</c:v>
                </c:pt>
                <c:pt idx="3">
                  <c:v>23.578517802837268</c:v>
                </c:pt>
                <c:pt idx="4">
                  <c:v>36.30579053011013</c:v>
                </c:pt>
                <c:pt idx="5">
                  <c:v>50.30579053011013</c:v>
                </c:pt>
                <c:pt idx="6">
                  <c:v>35.123972348291886</c:v>
                </c:pt>
                <c:pt idx="7">
                  <c:v>14.033063257382764</c:v>
                </c:pt>
                <c:pt idx="8">
                  <c:v>18.214881439201008</c:v>
                </c:pt>
                <c:pt idx="9">
                  <c:v>7.0330632573827643</c:v>
                </c:pt>
                <c:pt idx="10">
                  <c:v>-2.6942094698899837</c:v>
                </c:pt>
                <c:pt idx="11">
                  <c:v>-16.330573106253723</c:v>
                </c:pt>
                <c:pt idx="12">
                  <c:v>-10.603300378980975</c:v>
                </c:pt>
                <c:pt idx="13">
                  <c:v>-37.876027651708227</c:v>
                </c:pt>
                <c:pt idx="14">
                  <c:v>-18.239664015344488</c:v>
                </c:pt>
                <c:pt idx="15">
                  <c:v>-53.148754924435252</c:v>
                </c:pt>
                <c:pt idx="16">
                  <c:v>-96.966936742617236</c:v>
                </c:pt>
                <c:pt idx="17">
                  <c:v>-62.785118560798765</c:v>
                </c:pt>
                <c:pt idx="18">
                  <c:v>-98.785118560798765</c:v>
                </c:pt>
                <c:pt idx="19">
                  <c:v>-102.78511856079876</c:v>
                </c:pt>
                <c:pt idx="20">
                  <c:v>-150.33057310625327</c:v>
                </c:pt>
              </c:numCache>
            </c:numRef>
          </c:val>
        </c:ser>
        <c:ser>
          <c:idx val="7"/>
          <c:order val="6"/>
          <c:tx>
            <c:strRef>
              <c:f>Etappes!$AB$28</c:f>
              <c:strCache>
                <c:ptCount val="1"/>
                <c:pt idx="0">
                  <c:v>El Gran</c:v>
                </c:pt>
              </c:strCache>
            </c:strRef>
          </c:tx>
          <c:spPr>
            <a:ln w="38100">
              <a:solidFill>
                <a:srgbClr val="0000FF"/>
              </a:solidFill>
              <a:prstDash val="solid"/>
            </a:ln>
          </c:spPr>
          <c:marker>
            <c:symbol val="dot"/>
            <c:size val="9"/>
            <c:spPr>
              <a:noFill/>
              <a:ln>
                <a:solidFill>
                  <a:srgbClr val="0000FF"/>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Etappes!$AC$28:$AX$28</c:f>
              <c:numCache>
                <c:formatCode>0</c:formatCode>
                <c:ptCount val="21"/>
                <c:pt idx="0">
                  <c:v>0.38553801851342939</c:v>
                </c:pt>
                <c:pt idx="1">
                  <c:v>1.5673562003316022</c:v>
                </c:pt>
                <c:pt idx="2">
                  <c:v>9.1128107457861063</c:v>
                </c:pt>
                <c:pt idx="3">
                  <c:v>8.6582652912406388</c:v>
                </c:pt>
                <c:pt idx="4">
                  <c:v>16.385538018513557</c:v>
                </c:pt>
                <c:pt idx="5">
                  <c:v>-3.6144619814864427</c:v>
                </c:pt>
                <c:pt idx="6">
                  <c:v>8.2037198366953135</c:v>
                </c:pt>
                <c:pt idx="7">
                  <c:v>11.112810745786192</c:v>
                </c:pt>
                <c:pt idx="8">
                  <c:v>16.294628927604435</c:v>
                </c:pt>
                <c:pt idx="9">
                  <c:v>5.1128107457861915</c:v>
                </c:pt>
                <c:pt idx="10">
                  <c:v>4.3855380185134436</c:v>
                </c:pt>
                <c:pt idx="11">
                  <c:v>19.749174382149704</c:v>
                </c:pt>
                <c:pt idx="12">
                  <c:v>40.476447109422452</c:v>
                </c:pt>
                <c:pt idx="13">
                  <c:v>73.2037198366952</c:v>
                </c:pt>
                <c:pt idx="14">
                  <c:v>103.84008347305894</c:v>
                </c:pt>
                <c:pt idx="15">
                  <c:v>122.93099256396772</c:v>
                </c:pt>
                <c:pt idx="16">
                  <c:v>164.11281074578574</c:v>
                </c:pt>
                <c:pt idx="17">
                  <c:v>194.29462892760421</c:v>
                </c:pt>
                <c:pt idx="18">
                  <c:v>217.29462892760421</c:v>
                </c:pt>
                <c:pt idx="19">
                  <c:v>228.29462892760421</c:v>
                </c:pt>
                <c:pt idx="20">
                  <c:v>271.7491743821497</c:v>
                </c:pt>
              </c:numCache>
            </c:numRef>
          </c:val>
        </c:ser>
        <c:ser>
          <c:idx val="8"/>
          <c:order val="7"/>
          <c:tx>
            <c:strRef>
              <c:f>Etappes!$AB$29</c:f>
              <c:strCache>
                <c:ptCount val="1"/>
                <c:pt idx="0">
                  <c:v>IJffjes Boys</c:v>
                </c:pt>
              </c:strCache>
            </c:strRef>
          </c:tx>
          <c:spPr>
            <a:ln w="25400">
              <a:solidFill>
                <a:srgbClr val="FF9900"/>
              </a:solidFill>
              <a:prstDash val="solid"/>
            </a:ln>
          </c:spPr>
          <c:marker>
            <c:symbol val="dash"/>
            <c:size val="7"/>
            <c:spPr>
              <a:noFill/>
              <a:ln>
                <a:solidFill>
                  <a:srgbClr val="00CCFF"/>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Etappes!$AC$29:$AX$29</c:f>
              <c:numCache>
                <c:formatCode>0</c:formatCode>
                <c:ptCount val="21"/>
                <c:pt idx="0">
                  <c:v>-18.683066002705516</c:v>
                </c:pt>
                <c:pt idx="1">
                  <c:v>-16.501247820887343</c:v>
                </c:pt>
                <c:pt idx="2">
                  <c:v>-19.955793275432825</c:v>
                </c:pt>
                <c:pt idx="3">
                  <c:v>-20.410338729978321</c:v>
                </c:pt>
                <c:pt idx="4">
                  <c:v>-31.683066002705459</c:v>
                </c:pt>
                <c:pt idx="5">
                  <c:v>-19.683066002705459</c:v>
                </c:pt>
                <c:pt idx="6">
                  <c:v>-21.864884184523703</c:v>
                </c:pt>
                <c:pt idx="7">
                  <c:v>-22.955793275432825</c:v>
                </c:pt>
                <c:pt idx="8">
                  <c:v>-47.773975093614581</c:v>
                </c:pt>
                <c:pt idx="9">
                  <c:v>-16.955793275432825</c:v>
                </c:pt>
                <c:pt idx="10">
                  <c:v>-38.683066002705573</c:v>
                </c:pt>
                <c:pt idx="11">
                  <c:v>-16.319429639069313</c:v>
                </c:pt>
                <c:pt idx="12">
                  <c:v>-20.592156911796565</c:v>
                </c:pt>
                <c:pt idx="13">
                  <c:v>-22.864884184523817</c:v>
                </c:pt>
                <c:pt idx="14">
                  <c:v>-20.228520548160077</c:v>
                </c:pt>
                <c:pt idx="15">
                  <c:v>-23.137611457250841</c:v>
                </c:pt>
                <c:pt idx="16">
                  <c:v>-32.955793275432825</c:v>
                </c:pt>
                <c:pt idx="17">
                  <c:v>-42.773975093614354</c:v>
                </c:pt>
                <c:pt idx="18">
                  <c:v>-66.773975093614354</c:v>
                </c:pt>
                <c:pt idx="19">
                  <c:v>-89.773975093614354</c:v>
                </c:pt>
                <c:pt idx="20">
                  <c:v>-114.31942963906886</c:v>
                </c:pt>
              </c:numCache>
            </c:numRef>
          </c:val>
        </c:ser>
        <c:ser>
          <c:idx val="9"/>
          <c:order val="8"/>
          <c:tx>
            <c:strRef>
              <c:f>Etappes!$AB$30</c:f>
              <c:strCache>
                <c:ptCount val="1"/>
                <c:pt idx="0">
                  <c:v>TinTopTeam</c:v>
                </c:pt>
              </c:strCache>
            </c:strRef>
          </c:tx>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Etappes!$AC$30:$AX$30</c:f>
              <c:numCache>
                <c:formatCode>0</c:formatCode>
                <c:ptCount val="21"/>
                <c:pt idx="0">
                  <c:v>43.376408424608073</c:v>
                </c:pt>
                <c:pt idx="1">
                  <c:v>19.558226606426246</c:v>
                </c:pt>
                <c:pt idx="2">
                  <c:v>9.1036811518807497</c:v>
                </c:pt>
                <c:pt idx="3">
                  <c:v>9.6491356973352822</c:v>
                </c:pt>
                <c:pt idx="4">
                  <c:v>16.376408424608144</c:v>
                </c:pt>
                <c:pt idx="5">
                  <c:v>-4.6235915753918562</c:v>
                </c:pt>
                <c:pt idx="6">
                  <c:v>-14.8054097572101</c:v>
                </c:pt>
                <c:pt idx="7">
                  <c:v>-6.8963188481192219</c:v>
                </c:pt>
                <c:pt idx="8">
                  <c:v>18.285499333699136</c:v>
                </c:pt>
                <c:pt idx="9">
                  <c:v>6.1036811518808918</c:v>
                </c:pt>
                <c:pt idx="10">
                  <c:v>28.376408424608144</c:v>
                </c:pt>
                <c:pt idx="11">
                  <c:v>21.740044788244404</c:v>
                </c:pt>
                <c:pt idx="12">
                  <c:v>38.467317515517152</c:v>
                </c:pt>
                <c:pt idx="13">
                  <c:v>49.1945902427899</c:v>
                </c:pt>
                <c:pt idx="14">
                  <c:v>42.83095387915364</c:v>
                </c:pt>
                <c:pt idx="15">
                  <c:v>52.921862970062648</c:v>
                </c:pt>
                <c:pt idx="16">
                  <c:v>75.103681151880664</c:v>
                </c:pt>
                <c:pt idx="17">
                  <c:v>61.285499333699136</c:v>
                </c:pt>
                <c:pt idx="18">
                  <c:v>72.285499333699136</c:v>
                </c:pt>
                <c:pt idx="19">
                  <c:v>100.28549933369914</c:v>
                </c:pt>
                <c:pt idx="20">
                  <c:v>118.74004478824463</c:v>
                </c:pt>
              </c:numCache>
            </c:numRef>
          </c:val>
        </c:ser>
        <c:ser>
          <c:idx val="5"/>
          <c:order val="9"/>
          <c:tx>
            <c:strRef>
              <c:f>Etappes!$AB$31</c:f>
              <c:strCache>
                <c:ptCount val="1"/>
                <c:pt idx="0">
                  <c:v>Equipe l'Ami</c:v>
                </c:pt>
              </c:strCache>
            </c:strRef>
          </c:tx>
          <c:spPr>
            <a:ln w="12700">
              <a:solidFill>
                <a:schemeClr val="accent2">
                  <a:lumMod val="60000"/>
                  <a:lumOff val="40000"/>
                </a:schemeClr>
              </a:solidFill>
              <a:prstDash val="solid"/>
            </a:ln>
          </c:spPr>
          <c:marker>
            <c:symbol val="circle"/>
            <c:size val="5"/>
            <c:spPr>
              <a:solidFill>
                <a:srgbClr val="800000"/>
              </a:solidFill>
              <a:ln>
                <a:solidFill>
                  <a:srgbClr val="FFFF00"/>
                </a:solidFill>
                <a:prstDash val="solid"/>
              </a:ln>
            </c:spPr>
          </c:marker>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Etappes!$AC$31:$AX$31</c:f>
              <c:numCache>
                <c:formatCode>0</c:formatCode>
                <c:ptCount val="21"/>
                <c:pt idx="0">
                  <c:v>-18.650015595413208</c:v>
                </c:pt>
                <c:pt idx="1">
                  <c:v>-16.468197413595036</c:v>
                </c:pt>
                <c:pt idx="2">
                  <c:v>-19.922742868140517</c:v>
                </c:pt>
                <c:pt idx="3">
                  <c:v>-33.377288322686013</c:v>
                </c:pt>
                <c:pt idx="4">
                  <c:v>-51.650015595413151</c:v>
                </c:pt>
                <c:pt idx="5">
                  <c:v>-53.650015595413151</c:v>
                </c:pt>
                <c:pt idx="6">
                  <c:v>-87.831833777231395</c:v>
                </c:pt>
                <c:pt idx="7">
                  <c:v>-93.922742868140517</c:v>
                </c:pt>
                <c:pt idx="8">
                  <c:v>-120.74092468632216</c:v>
                </c:pt>
                <c:pt idx="9">
                  <c:v>-124.9227428681404</c:v>
                </c:pt>
                <c:pt idx="10">
                  <c:v>-140.65001559541315</c:v>
                </c:pt>
                <c:pt idx="11">
                  <c:v>-145.28637923177689</c:v>
                </c:pt>
                <c:pt idx="12">
                  <c:v>-161.55910650450414</c:v>
                </c:pt>
                <c:pt idx="13">
                  <c:v>-188.8318337772314</c:v>
                </c:pt>
                <c:pt idx="14">
                  <c:v>-206.19547014086766</c:v>
                </c:pt>
                <c:pt idx="15">
                  <c:v>-216.10456104995865</c:v>
                </c:pt>
                <c:pt idx="16">
                  <c:v>-232.92274286814063</c:v>
                </c:pt>
                <c:pt idx="17">
                  <c:v>-247.74092468632216</c:v>
                </c:pt>
                <c:pt idx="18">
                  <c:v>-266.74092468632216</c:v>
                </c:pt>
                <c:pt idx="19">
                  <c:v>-291.74092468632216</c:v>
                </c:pt>
                <c:pt idx="20">
                  <c:v>-334.28637923177666</c:v>
                </c:pt>
              </c:numCache>
            </c:numRef>
          </c:val>
        </c:ser>
        <c:ser>
          <c:idx val="10"/>
          <c:order val="10"/>
          <c:tx>
            <c:strRef>
              <c:f>Etappes!$AB$32</c:f>
              <c:strCache>
                <c:ptCount val="1"/>
                <c:pt idx="0">
                  <c:v>Niet geschoten</c:v>
                </c:pt>
              </c:strCache>
            </c:strRef>
          </c:tx>
          <c:cat>
            <c:strRef>
              <c:f>Etappes!$AC$21:$AX$21</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Etappes!$AC$32:$AX$32</c:f>
              <c:numCache>
                <c:formatCode>0</c:formatCode>
                <c:ptCount val="21"/>
                <c:pt idx="0">
                  <c:v>0.37803569601322806</c:v>
                </c:pt>
                <c:pt idx="1">
                  <c:v>10.559853877831415</c:v>
                </c:pt>
                <c:pt idx="2">
                  <c:v>55.105308423285919</c:v>
                </c:pt>
                <c:pt idx="3">
                  <c:v>65.65076296874048</c:v>
                </c:pt>
                <c:pt idx="4">
                  <c:v>61.378035696013399</c:v>
                </c:pt>
                <c:pt idx="5">
                  <c:v>77.378035696013399</c:v>
                </c:pt>
                <c:pt idx="6">
                  <c:v>35.196217514195155</c:v>
                </c:pt>
                <c:pt idx="7">
                  <c:v>19.105308423286033</c:v>
                </c:pt>
                <c:pt idx="8">
                  <c:v>6.2871266051042767</c:v>
                </c:pt>
                <c:pt idx="9">
                  <c:v>-16.894691576713967</c:v>
                </c:pt>
                <c:pt idx="10">
                  <c:v>-13.621964303986715</c:v>
                </c:pt>
                <c:pt idx="11">
                  <c:v>-30.258327940350455</c:v>
                </c:pt>
                <c:pt idx="12">
                  <c:v>-33.531055213077707</c:v>
                </c:pt>
                <c:pt idx="13">
                  <c:v>-87.803782485804959</c:v>
                </c:pt>
                <c:pt idx="14">
                  <c:v>-91.167418849441219</c:v>
                </c:pt>
                <c:pt idx="15">
                  <c:v>-138.07650975853221</c:v>
                </c:pt>
                <c:pt idx="16">
                  <c:v>-204.89469157671419</c:v>
                </c:pt>
                <c:pt idx="17">
                  <c:v>-225.71287339489572</c:v>
                </c:pt>
                <c:pt idx="18">
                  <c:v>-299.71287339489572</c:v>
                </c:pt>
                <c:pt idx="19">
                  <c:v>-327.71287339489572</c:v>
                </c:pt>
                <c:pt idx="20">
                  <c:v>-413.25832794035023</c:v>
                </c:pt>
              </c:numCache>
            </c:numRef>
          </c:val>
        </c:ser>
        <c:marker val="1"/>
        <c:axId val="78596352"/>
        <c:axId val="78622720"/>
      </c:lineChart>
      <c:catAx>
        <c:axId val="78596352"/>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78622720"/>
        <c:crosses val="autoZero"/>
        <c:auto val="1"/>
        <c:lblAlgn val="ctr"/>
        <c:lblOffset val="100"/>
        <c:tickLblSkip val="1"/>
        <c:tickMarkSkip val="1"/>
      </c:catAx>
      <c:valAx>
        <c:axId val="78622720"/>
        <c:scaling>
          <c:orientation val="minMax"/>
          <c:max val="0"/>
        </c:scaling>
        <c:axPos val="l"/>
        <c:majorGridlines>
          <c:spPr>
            <a:ln w="12700">
              <a:solidFill>
                <a:srgbClr val="99CC00"/>
              </a:solidFill>
              <a:prstDash val="sysDash"/>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9286"/>
              <c:y val="0.26101694915254886"/>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78596352"/>
        <c:crosses val="autoZero"/>
        <c:crossBetween val="midCat"/>
        <c:majorUnit val="50"/>
      </c:valAx>
      <c:spPr>
        <a:noFill/>
        <a:ln w="25400">
          <a:noFill/>
        </a:ln>
      </c:spPr>
    </c:plotArea>
    <c:legend>
      <c:legendPos val="r"/>
      <c:layout>
        <c:manualLayout>
          <c:xMode val="edge"/>
          <c:yMode val="edge"/>
          <c:x val="4.8603929679420892E-2"/>
          <c:y val="0.88587570621469436"/>
          <c:w val="0.89491215356094567"/>
          <c:h val="0.11412429378531168"/>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1" u="none" strike="noStrike" baseline="0">
                <a:solidFill>
                  <a:srgbClr val="FFC000"/>
                </a:solidFill>
                <a:latin typeface="Arial"/>
                <a:ea typeface="Arial"/>
                <a:cs typeface="Arial"/>
              </a:defRPr>
            </a:pPr>
            <a:r>
              <a:rPr lang="nl-NL" i="1">
                <a:solidFill>
                  <a:srgbClr val="FFC000"/>
                </a:solidFill>
              </a:rPr>
              <a:t>TourToto - Tour de France 2013</a:t>
            </a:r>
          </a:p>
          <a:p>
            <a:pPr>
              <a:defRPr sz="1600" b="1" i="1" u="none" strike="noStrike" baseline="0">
                <a:solidFill>
                  <a:srgbClr val="FFC000"/>
                </a:solidFill>
                <a:latin typeface="Arial"/>
                <a:ea typeface="Arial"/>
                <a:cs typeface="Arial"/>
              </a:defRPr>
            </a:pPr>
            <a:r>
              <a:rPr lang="nl-NL" i="1">
                <a:solidFill>
                  <a:srgbClr val="FFC000"/>
                </a:solidFill>
              </a:rPr>
              <a:t> - na correctie voor originaliteit</a:t>
            </a:r>
          </a:p>
        </c:rich>
      </c:tx>
      <c:layout>
        <c:manualLayout>
          <c:xMode val="edge"/>
          <c:yMode val="edge"/>
          <c:x val="2.0682523267838628E-2"/>
          <c:y val="4.9717514124295169E-2"/>
        </c:manualLayout>
      </c:layout>
      <c:spPr>
        <a:noFill/>
        <a:ln w="25400">
          <a:noFill/>
        </a:ln>
      </c:spPr>
    </c:title>
    <c:plotArea>
      <c:layout>
        <c:manualLayout>
          <c:layoutTarget val="inner"/>
          <c:xMode val="edge"/>
          <c:yMode val="edge"/>
          <c:x val="1.9648397104446741E-2"/>
          <c:y val="5.5367231638419737E-2"/>
          <c:w val="0.92761116856256454"/>
          <c:h val="0.80225988700564976"/>
        </c:manualLayout>
      </c:layout>
      <c:lineChart>
        <c:grouping val="standard"/>
        <c:ser>
          <c:idx val="2"/>
          <c:order val="0"/>
          <c:tx>
            <c:strRef>
              <c:f>Etappes!$AB$37</c:f>
              <c:strCache>
                <c:ptCount val="1"/>
                <c:pt idx="0">
                  <c:v>Tour de Kruiskamp</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Etappes!$AC$37:$AX$37</c:f>
              <c:numCache>
                <c:formatCode>0</c:formatCode>
                <c:ptCount val="21"/>
                <c:pt idx="0">
                  <c:v>-22.223549690050646</c:v>
                </c:pt>
                <c:pt idx="1">
                  <c:v>-25.094834052005197</c:v>
                </c:pt>
                <c:pt idx="2">
                  <c:v>-34.767779746463589</c:v>
                </c:pt>
                <c:pt idx="3">
                  <c:v>-48.36017496853367</c:v>
                </c:pt>
                <c:pt idx="4">
                  <c:v>-64.357267499758279</c:v>
                </c:pt>
                <c:pt idx="5">
                  <c:v>-62.254521342772819</c:v>
                </c:pt>
                <c:pt idx="6">
                  <c:v>-52.607961406613867</c:v>
                </c:pt>
                <c:pt idx="7">
                  <c:v>-47.751590130058275</c:v>
                </c:pt>
                <c:pt idx="8">
                  <c:v>-63.341677176448002</c:v>
                </c:pt>
                <c:pt idx="9">
                  <c:v>-66.659562701504001</c:v>
                </c:pt>
                <c:pt idx="10">
                  <c:v>-78.121256040285061</c:v>
                </c:pt>
                <c:pt idx="11">
                  <c:v>-96.18172966493853</c:v>
                </c:pt>
                <c:pt idx="12">
                  <c:v>-108.43341698247355</c:v>
                </c:pt>
                <c:pt idx="13">
                  <c:v>-97.646776648529112</c:v>
                </c:pt>
                <c:pt idx="14">
                  <c:v>-102.14172004644865</c:v>
                </c:pt>
                <c:pt idx="15">
                  <c:v>-95.655197248705917</c:v>
                </c:pt>
                <c:pt idx="16">
                  <c:v>-69.772751200383482</c:v>
                </c:pt>
                <c:pt idx="17">
                  <c:v>-78.798435839809827</c:v>
                </c:pt>
                <c:pt idx="18">
                  <c:v>-55.792631798053208</c:v>
                </c:pt>
                <c:pt idx="19">
                  <c:v>-65.883867031943282</c:v>
                </c:pt>
                <c:pt idx="20">
                  <c:v>-45.8457405933882</c:v>
                </c:pt>
              </c:numCache>
            </c:numRef>
          </c:val>
        </c:ser>
        <c:ser>
          <c:idx val="1"/>
          <c:order val="1"/>
          <c:tx>
            <c:strRef>
              <c:f>Etappes!$AB$38</c:f>
              <c:strCache>
                <c:ptCount val="1"/>
                <c:pt idx="0">
                  <c:v>Special Victims Unit</c:v>
                </c:pt>
              </c:strCache>
            </c:strRef>
          </c:tx>
          <c:spPr>
            <a:ln w="38100">
              <a:solidFill>
                <a:srgbClr val="FF00FF"/>
              </a:solidFill>
              <a:prstDash val="solid"/>
            </a:ln>
          </c:spPr>
          <c:marker>
            <c:symbol val="plus"/>
            <c:size val="5"/>
            <c:spPr>
              <a:noFill/>
              <a:ln>
                <a:solidFill>
                  <a:srgbClr val="FFFF00"/>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Etappes!$AC$38:$AX$38</c:f>
              <c:numCache>
                <c:formatCode>0</c:formatCode>
                <c:ptCount val="21"/>
                <c:pt idx="0">
                  <c:v>-21.629311347075081</c:v>
                </c:pt>
                <c:pt idx="1">
                  <c:v>-18.871685886457854</c:v>
                </c:pt>
                <c:pt idx="2">
                  <c:v>-22.822571950405944</c:v>
                </c:pt>
                <c:pt idx="3">
                  <c:v>-29.653621827680013</c:v>
                </c:pt>
                <c:pt idx="4">
                  <c:v>-38.358415108858935</c:v>
                </c:pt>
                <c:pt idx="5">
                  <c:v>-31.039279707315245</c:v>
                </c:pt>
                <c:pt idx="6">
                  <c:v>-35.737790193691467</c:v>
                </c:pt>
                <c:pt idx="7">
                  <c:v>-41.234354713733751</c:v>
                </c:pt>
                <c:pt idx="8">
                  <c:v>-55.3340448331071</c:v>
                </c:pt>
                <c:pt idx="9">
                  <c:v>-89.404674093300855</c:v>
                </c:pt>
                <c:pt idx="10">
                  <c:v>-107.000947640606</c:v>
                </c:pt>
                <c:pt idx="11">
                  <c:v>-123.11858241396999</c:v>
                </c:pt>
                <c:pt idx="12">
                  <c:v>-134.63837838341624</c:v>
                </c:pt>
                <c:pt idx="13">
                  <c:v>-156.38763525086233</c:v>
                </c:pt>
                <c:pt idx="14">
                  <c:v>-174.28284387651183</c:v>
                </c:pt>
                <c:pt idx="15">
                  <c:v>-161.31575586933081</c:v>
                </c:pt>
                <c:pt idx="16">
                  <c:v>-164.82872778332785</c:v>
                </c:pt>
                <c:pt idx="17">
                  <c:v>-169.22353625666665</c:v>
                </c:pt>
                <c:pt idx="18">
                  <c:v>-186.77782001443484</c:v>
                </c:pt>
                <c:pt idx="19">
                  <c:v>-204.72025334600175</c:v>
                </c:pt>
                <c:pt idx="20">
                  <c:v>-241.76965205835222</c:v>
                </c:pt>
              </c:numCache>
            </c:numRef>
          </c:val>
        </c:ser>
        <c:ser>
          <c:idx val="0"/>
          <c:order val="2"/>
          <c:tx>
            <c:strRef>
              <c:f>Etappes!$AB$39</c:f>
              <c:strCache>
                <c:ptCount val="1"/>
                <c:pt idx="0">
                  <c:v>For Sale</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Etappes!$AC$39:$AX$39</c:f>
              <c:numCache>
                <c:formatCode>0</c:formatCode>
                <c:ptCount val="21"/>
                <c:pt idx="0">
                  <c:v>20.216707497748018</c:v>
                </c:pt>
                <c:pt idx="1">
                  <c:v>1.1458875925939083E-2</c:v>
                </c:pt>
                <c:pt idx="2">
                  <c:v>-20.096965302081969</c:v>
                </c:pt>
                <c:pt idx="3">
                  <c:v>-37.223653236950611</c:v>
                </c:pt>
                <c:pt idx="4">
                  <c:v>-44.175764417621281</c:v>
                </c:pt>
                <c:pt idx="5">
                  <c:v>-65.036470913310723</c:v>
                </c:pt>
                <c:pt idx="6">
                  <c:v>-66.284388514311445</c:v>
                </c:pt>
                <c:pt idx="7">
                  <c:v>-68.056503570773771</c:v>
                </c:pt>
                <c:pt idx="8">
                  <c:v>-59.535640330463366</c:v>
                </c:pt>
                <c:pt idx="9">
                  <c:v>-57.197037518381649</c:v>
                </c:pt>
                <c:pt idx="10">
                  <c:v>-48.516772386974026</c:v>
                </c:pt>
                <c:pt idx="11">
                  <c:v>-61.676756115730541</c:v>
                </c:pt>
                <c:pt idx="12">
                  <c:v>-81.069928708553334</c:v>
                </c:pt>
                <c:pt idx="13">
                  <c:v>-99.875227360302006</c:v>
                </c:pt>
                <c:pt idx="14">
                  <c:v>-116.22314631909671</c:v>
                </c:pt>
                <c:pt idx="15">
                  <c:v>-145.47104984212456</c:v>
                </c:pt>
                <c:pt idx="16">
                  <c:v>-170.60499860535947</c:v>
                </c:pt>
                <c:pt idx="17">
                  <c:v>-173.11019668908784</c:v>
                </c:pt>
                <c:pt idx="18">
                  <c:v>-187.35081585058242</c:v>
                </c:pt>
                <c:pt idx="19">
                  <c:v>-182.70008148028592</c:v>
                </c:pt>
                <c:pt idx="20">
                  <c:v>-215.23084665226361</c:v>
                </c:pt>
              </c:numCache>
            </c:numRef>
          </c:val>
        </c:ser>
        <c:ser>
          <c:idx val="6"/>
          <c:order val="3"/>
          <c:tx>
            <c:strRef>
              <c:f>Etappes!$AB$40</c:f>
              <c:strCache>
                <c:ptCount val="1"/>
                <c:pt idx="0">
                  <c:v>Am Selfkant</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Etappes!$AC$40:$AX$40</c:f>
              <c:numCache>
                <c:formatCode>0</c:formatCode>
                <c:ptCount val="21"/>
                <c:pt idx="0">
                  <c:v>20.938828441289147</c:v>
                </c:pt>
                <c:pt idx="1">
                  <c:v>22.31027985697321</c:v>
                </c:pt>
                <c:pt idx="2">
                  <c:v>3.6011228668710089</c:v>
                </c:pt>
                <c:pt idx="3">
                  <c:v>17.419928426131207</c:v>
                </c:pt>
                <c:pt idx="4">
                  <c:v>20.535544662442135</c:v>
                </c:pt>
                <c:pt idx="5">
                  <c:v>26.309889088537943</c:v>
                </c:pt>
                <c:pt idx="6">
                  <c:v>54.341637394464328</c:v>
                </c:pt>
                <c:pt idx="7">
                  <c:v>41.921099038039642</c:v>
                </c:pt>
                <c:pt idx="8">
                  <c:v>52.827712833729493</c:v>
                </c:pt>
                <c:pt idx="9">
                  <c:v>69.907595470397837</c:v>
                </c:pt>
                <c:pt idx="10">
                  <c:v>82.841632853038845</c:v>
                </c:pt>
                <c:pt idx="11">
                  <c:v>70.710110507392983</c:v>
                </c:pt>
                <c:pt idx="12">
                  <c:v>76.74162271881687</c:v>
                </c:pt>
                <c:pt idx="13">
                  <c:v>94.681080421472416</c:v>
                </c:pt>
                <c:pt idx="14">
                  <c:v>93.123415638841152</c:v>
                </c:pt>
                <c:pt idx="15">
                  <c:v>108.44217205061068</c:v>
                </c:pt>
                <c:pt idx="16">
                  <c:v>123.91495708039929</c:v>
                </c:pt>
                <c:pt idx="17">
                  <c:v>118.03052873787919</c:v>
                </c:pt>
                <c:pt idx="18">
                  <c:v>169.68839779080372</c:v>
                </c:pt>
                <c:pt idx="19">
                  <c:v>187.33132800080512</c:v>
                </c:pt>
                <c:pt idx="20">
                  <c:v>250.27955939557341</c:v>
                </c:pt>
              </c:numCache>
            </c:numRef>
          </c:val>
        </c:ser>
        <c:ser>
          <c:idx val="4"/>
          <c:order val="4"/>
          <c:tx>
            <c:strRef>
              <c:f>Etappes!$AB$41</c:f>
              <c:strCache>
                <c:ptCount val="1"/>
                <c:pt idx="0">
                  <c:v>De Lange Man</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Etappes!$AC$41:$AX$41</c:f>
              <c:numCache>
                <c:formatCode>0</c:formatCode>
                <c:ptCount val="21"/>
                <c:pt idx="0">
                  <c:v>-19.458464692245968</c:v>
                </c:pt>
                <c:pt idx="1">
                  <c:v>-14.599705290942552</c:v>
                </c:pt>
                <c:pt idx="2">
                  <c:v>-29.972863112983276</c:v>
                </c:pt>
                <c:pt idx="3">
                  <c:v>-43.935076975525817</c:v>
                </c:pt>
                <c:pt idx="4">
                  <c:v>-53.147526779286636</c:v>
                </c:pt>
                <c:pt idx="5">
                  <c:v>-70.703560984255773</c:v>
                </c:pt>
                <c:pt idx="6">
                  <c:v>-48.947526016086499</c:v>
                </c:pt>
                <c:pt idx="7">
                  <c:v>-30.104780592341285</c:v>
                </c:pt>
                <c:pt idx="8">
                  <c:v>-31.56946392745408</c:v>
                </c:pt>
                <c:pt idx="9">
                  <c:v>-19.288232361906466</c:v>
                </c:pt>
                <c:pt idx="10">
                  <c:v>-30.722119787870042</c:v>
                </c:pt>
                <c:pt idx="11">
                  <c:v>-1.178870669006983</c:v>
                </c:pt>
                <c:pt idx="12">
                  <c:v>3.4476310936652226</c:v>
                </c:pt>
                <c:pt idx="13">
                  <c:v>50.020481223699562</c:v>
                </c:pt>
                <c:pt idx="14">
                  <c:v>52.69946333268831</c:v>
                </c:pt>
                <c:pt idx="15">
                  <c:v>72.449406544366411</c:v>
                </c:pt>
                <c:pt idx="16">
                  <c:v>98.874067892629682</c:v>
                </c:pt>
                <c:pt idx="17">
                  <c:v>102.29152923902348</c:v>
                </c:pt>
                <c:pt idx="18">
                  <c:v>140.38204098426013</c:v>
                </c:pt>
                <c:pt idx="19">
                  <c:v>145.8482139717471</c:v>
                </c:pt>
                <c:pt idx="20">
                  <c:v>210.61215117720985</c:v>
                </c:pt>
              </c:numCache>
            </c:numRef>
          </c:val>
        </c:ser>
        <c:ser>
          <c:idx val="3"/>
          <c:order val="5"/>
          <c:tx>
            <c:strRef>
              <c:f>Etappes!$AB$42</c:f>
              <c:strCache>
                <c:ptCount val="1"/>
                <c:pt idx="0">
                  <c:v>Vorwärts Kinder des Vaterlandes!</c:v>
                </c:pt>
              </c:strCache>
            </c:strRef>
          </c:tx>
          <c:spPr>
            <a:ln w="25400">
              <a:solidFill>
                <a:srgbClr val="00FFFF"/>
              </a:solidFill>
              <a:prstDash val="solid"/>
            </a:ln>
          </c:spPr>
          <c:marker>
            <c:symbol val="x"/>
            <c:size val="7"/>
            <c:spPr>
              <a:noFill/>
              <a:ln>
                <a:solidFill>
                  <a:srgbClr val="00FFFF"/>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Etappes!$AC$42:$AX$42</c:f>
              <c:numCache>
                <c:formatCode>0</c:formatCode>
                <c:ptCount val="21"/>
                <c:pt idx="0">
                  <c:v>-0.80852049919907643</c:v>
                </c:pt>
                <c:pt idx="1">
                  <c:v>4.0502389021043541</c:v>
                </c:pt>
                <c:pt idx="2">
                  <c:v>14.341938610592791</c:v>
                </c:pt>
                <c:pt idx="3">
                  <c:v>16.173483228375972</c:v>
                </c:pt>
                <c:pt idx="4">
                  <c:v>25.7161216200019</c:v>
                </c:pt>
                <c:pt idx="5">
                  <c:v>37.773384565643255</c:v>
                </c:pt>
                <c:pt idx="6">
                  <c:v>21.032133238018673</c:v>
                </c:pt>
                <c:pt idx="7">
                  <c:v>-1.5837373490908249</c:v>
                </c:pt>
                <c:pt idx="8">
                  <c:v>-8.7090969142536778E-2</c:v>
                </c:pt>
                <c:pt idx="9">
                  <c:v>-13.470716934124084</c:v>
                </c:pt>
                <c:pt idx="10">
                  <c:v>-25.891714265108021</c:v>
                </c:pt>
                <c:pt idx="11">
                  <c:v>-41.755520777181346</c:v>
                </c:pt>
                <c:pt idx="12">
                  <c:v>-37.129019014508913</c:v>
                </c:pt>
                <c:pt idx="13">
                  <c:v>-65.576521666021563</c:v>
                </c:pt>
                <c:pt idx="14">
                  <c:v>-47.103781076707037</c:v>
                </c:pt>
                <c:pt idx="15">
                  <c:v>-83.61910245118861</c:v>
                </c:pt>
                <c:pt idx="16">
                  <c:v>-128.26635426439088</c:v>
                </c:pt>
                <c:pt idx="17">
                  <c:v>-95.235595767386712</c:v>
                </c:pt>
                <c:pt idx="18">
                  <c:v>-132.16543680369705</c:v>
                </c:pt>
                <c:pt idx="19">
                  <c:v>-138.54458267645396</c:v>
                </c:pt>
                <c:pt idx="20">
                  <c:v>-188.28539445335218</c:v>
                </c:pt>
              </c:numCache>
            </c:numRef>
          </c:val>
        </c:ser>
        <c:ser>
          <c:idx val="7"/>
          <c:order val="6"/>
          <c:tx>
            <c:strRef>
              <c:f>Etappes!$AB$43</c:f>
              <c:strCache>
                <c:ptCount val="1"/>
                <c:pt idx="0">
                  <c:v>El Gran</c:v>
                </c:pt>
              </c:strCache>
            </c:strRef>
          </c:tx>
          <c:spPr>
            <a:ln w="38100">
              <a:solidFill>
                <a:srgbClr val="0000FF"/>
              </a:solidFill>
              <a:prstDash val="solid"/>
            </a:ln>
          </c:spPr>
          <c:marker>
            <c:symbol val="dot"/>
            <c:size val="9"/>
            <c:spPr>
              <a:noFill/>
              <a:ln>
                <a:solidFill>
                  <a:srgbClr val="0000FF"/>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Etappes!$AC$43:$AX$43</c:f>
              <c:numCache>
                <c:formatCode>0</c:formatCode>
                <c:ptCount val="21"/>
                <c:pt idx="0">
                  <c:v>0.30387035274593188</c:v>
                </c:pt>
                <c:pt idx="1">
                  <c:v>1.2291463446500472</c:v>
                </c:pt>
                <c:pt idx="2">
                  <c:v>7.8715306466996253</c:v>
                </c:pt>
                <c:pt idx="3">
                  <c:v>7.0872340161787974</c:v>
                </c:pt>
                <c:pt idx="4">
                  <c:v>14.730433651174621</c:v>
                </c:pt>
                <c:pt idx="5">
                  <c:v>-5.6074557406700478</c:v>
                </c:pt>
                <c:pt idx="6">
                  <c:v>7.1299841861767845</c:v>
                </c:pt>
                <c:pt idx="7">
                  <c:v>10.193927340278606</c:v>
                </c:pt>
                <c:pt idx="8">
                  <c:v>15.534319865533462</c:v>
                </c:pt>
                <c:pt idx="9">
                  <c:v>4.4539503455991962</c:v>
                </c:pt>
                <c:pt idx="10">
                  <c:v>3.5492352398528055</c:v>
                </c:pt>
                <c:pt idx="11">
                  <c:v>18.839215578649146</c:v>
                </c:pt>
                <c:pt idx="12">
                  <c:v>39.528687613925513</c:v>
                </c:pt>
                <c:pt idx="13">
                  <c:v>73.179371714602212</c:v>
                </c:pt>
                <c:pt idx="14">
                  <c:v>103.84142400985002</c:v>
                </c:pt>
                <c:pt idx="15">
                  <c:v>123.65119206425652</c:v>
                </c:pt>
                <c:pt idx="16">
                  <c:v>166.00421778898408</c:v>
                </c:pt>
                <c:pt idx="17">
                  <c:v>196.56720152343769</c:v>
                </c:pt>
                <c:pt idx="18">
                  <c:v>220.92791186248178</c:v>
                </c:pt>
                <c:pt idx="19">
                  <c:v>232.33170049077353</c:v>
                </c:pt>
                <c:pt idx="20">
                  <c:v>277.30857096378304</c:v>
                </c:pt>
              </c:numCache>
            </c:numRef>
          </c:val>
        </c:ser>
        <c:ser>
          <c:idx val="8"/>
          <c:order val="7"/>
          <c:tx>
            <c:strRef>
              <c:f>Etappes!$AB$44</c:f>
              <c:strCache>
                <c:ptCount val="1"/>
                <c:pt idx="0">
                  <c:v>IJffjes Boys</c:v>
                </c:pt>
              </c:strCache>
            </c:strRef>
          </c:tx>
          <c:spPr>
            <a:ln w="25400">
              <a:solidFill>
                <a:srgbClr val="FF9900"/>
              </a:solidFill>
              <a:prstDash val="solid"/>
            </a:ln>
          </c:spPr>
          <c:marker>
            <c:symbol val="dash"/>
            <c:size val="7"/>
            <c:spPr>
              <a:noFill/>
              <a:ln>
                <a:solidFill>
                  <a:srgbClr val="00CCFF"/>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Etappes!$AC$44:$AX$44</c:f>
              <c:numCache>
                <c:formatCode>0</c:formatCode>
                <c:ptCount val="21"/>
                <c:pt idx="0">
                  <c:v>-18.421322631850593</c:v>
                </c:pt>
                <c:pt idx="1">
                  <c:v>-15.973824067238112</c:v>
                </c:pt>
                <c:pt idx="2">
                  <c:v>-19.780465063276978</c:v>
                </c:pt>
                <c:pt idx="3">
                  <c:v>-19.378346010244741</c:v>
                </c:pt>
                <c:pt idx="4">
                  <c:v>-29.366920395815441</c:v>
                </c:pt>
                <c:pt idx="5">
                  <c:v>-16.797264522377191</c:v>
                </c:pt>
                <c:pt idx="6">
                  <c:v>-16.750112274541152</c:v>
                </c:pt>
                <c:pt idx="7">
                  <c:v>-16.707666186870483</c:v>
                </c:pt>
                <c:pt idx="8">
                  <c:v>-40.19771022713212</c:v>
                </c:pt>
                <c:pt idx="9">
                  <c:v>-7.6920283938393368</c:v>
                </c:pt>
                <c:pt idx="10">
                  <c:v>-28.454481181750907</c:v>
                </c:pt>
                <c:pt idx="11">
                  <c:v>-4.8037507325514071</c:v>
                </c:pt>
                <c:pt idx="12">
                  <c:v>-8.7146193697878971</c:v>
                </c:pt>
                <c:pt idx="13">
                  <c:v>-8.9352998517872493</c:v>
                </c:pt>
                <c:pt idx="14">
                  <c:v>-5.8644878568361491</c:v>
                </c:pt>
                <c:pt idx="15">
                  <c:v>-6.723289608750747</c:v>
                </c:pt>
                <c:pt idx="16">
                  <c:v>-14.282335677600258</c:v>
                </c:pt>
                <c:pt idx="17">
                  <c:v>-23.350684351196833</c:v>
                </c:pt>
                <c:pt idx="18">
                  <c:v>-44.886131983258565</c:v>
                </c:pt>
                <c:pt idx="19">
                  <c:v>-66.290446944646192</c:v>
                </c:pt>
                <c:pt idx="20">
                  <c:v>-87.472888186985529</c:v>
                </c:pt>
              </c:numCache>
            </c:numRef>
          </c:val>
        </c:ser>
        <c:ser>
          <c:idx val="9"/>
          <c:order val="8"/>
          <c:tx>
            <c:strRef>
              <c:f>Etappes!$AB$45</c:f>
              <c:strCache>
                <c:ptCount val="1"/>
                <c:pt idx="0">
                  <c:v>TinTopTeam</c:v>
                </c:pt>
              </c:strCache>
            </c:strRef>
          </c:tx>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Etappes!$AC$45:$AX$45</c:f>
              <c:numCache>
                <c:formatCode>0</c:formatCode>
                <c:ptCount val="21"/>
                <c:pt idx="0">
                  <c:v>44.241089090384847</c:v>
                </c:pt>
                <c:pt idx="1">
                  <c:v>20.435985295524745</c:v>
                </c:pt>
                <c:pt idx="2">
                  <c:v>9.5613359719355344</c:v>
                </c:pt>
                <c:pt idx="3">
                  <c:v>10.973170500332117</c:v>
                </c:pt>
                <c:pt idx="4">
                  <c:v>19.159474671319344</c:v>
                </c:pt>
                <c:pt idx="5">
                  <c:v>-1.5914801422652545</c:v>
                </c:pt>
                <c:pt idx="6">
                  <c:v>-9.6220516973438635</c:v>
                </c:pt>
                <c:pt idx="7">
                  <c:v>-0.49216633139417354</c:v>
                </c:pt>
                <c:pt idx="8">
                  <c:v>26.503563396560821</c:v>
                </c:pt>
                <c:pt idx="9">
                  <c:v>15.59147978918736</c:v>
                </c:pt>
                <c:pt idx="10">
                  <c:v>39.25650791730618</c:v>
                </c:pt>
                <c:pt idx="11">
                  <c:v>33.625489580940211</c:v>
                </c:pt>
                <c:pt idx="12">
                  <c:v>50.918645926354657</c:v>
                </c:pt>
                <c:pt idx="13">
                  <c:v>63.824266624091479</c:v>
                </c:pt>
                <c:pt idx="14">
                  <c:v>57.807639340763899</c:v>
                </c:pt>
                <c:pt idx="15">
                  <c:v>70.075138768585475</c:v>
                </c:pt>
                <c:pt idx="16">
                  <c:v>94.826987911394099</c:v>
                </c:pt>
                <c:pt idx="17">
                  <c:v>81.719777336340485</c:v>
                </c:pt>
                <c:pt idx="18">
                  <c:v>95.524371342030463</c:v>
                </c:pt>
                <c:pt idx="19">
                  <c:v>125.61554562422361</c:v>
                </c:pt>
                <c:pt idx="20">
                  <c:v>147.85086982255007</c:v>
                </c:pt>
              </c:numCache>
            </c:numRef>
          </c:val>
        </c:ser>
        <c:ser>
          <c:idx val="5"/>
          <c:order val="9"/>
          <c:tx>
            <c:strRef>
              <c:f>Etappes!$AB$46</c:f>
              <c:strCache>
                <c:ptCount val="1"/>
                <c:pt idx="0">
                  <c:v>Equipe l'Ami</c:v>
                </c:pt>
              </c:strCache>
            </c:strRef>
          </c:tx>
          <c:spPr>
            <a:ln w="38100">
              <a:solidFill>
                <a:srgbClr val="00B050"/>
              </a:solidFill>
              <a:prstDash val="solid"/>
            </a:ln>
          </c:spPr>
          <c:marker>
            <c:symbol val="circle"/>
            <c:size val="5"/>
            <c:spPr>
              <a:solidFill>
                <a:srgbClr val="800000"/>
              </a:solidFill>
              <a:ln>
                <a:solidFill>
                  <a:srgbClr val="800000"/>
                </a:solidFill>
                <a:prstDash val="solid"/>
              </a:ln>
            </c:spPr>
          </c:marker>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Etappes!$AC$46:$AX$46</c:f>
              <c:numCache>
                <c:formatCode>0</c:formatCode>
                <c:ptCount val="21"/>
                <c:pt idx="0">
                  <c:v>-15.099225484381492</c:v>
                </c:pt>
                <c:pt idx="1">
                  <c:v>-8.1859934352308414</c:v>
                </c:pt>
                <c:pt idx="2">
                  <c:v>-7.0671930880290574</c:v>
                </c:pt>
                <c:pt idx="3">
                  <c:v>-10.459305683073183</c:v>
                </c:pt>
                <c:pt idx="4">
                  <c:v>-15.89184682614632</c:v>
                </c:pt>
                <c:pt idx="5">
                  <c:v>-11.15364268846065</c:v>
                </c:pt>
                <c:pt idx="6">
                  <c:v>-34.026210824504346</c:v>
                </c:pt>
                <c:pt idx="7">
                  <c:v>-30.88894575949746</c:v>
                </c:pt>
                <c:pt idx="8">
                  <c:v>-45.956485102817396</c:v>
                </c:pt>
                <c:pt idx="9">
                  <c:v>-38.217564157119568</c:v>
                </c:pt>
                <c:pt idx="10">
                  <c:v>-42.348443342688824</c:v>
                </c:pt>
                <c:pt idx="11">
                  <c:v>-36.174820593088043</c:v>
                </c:pt>
                <c:pt idx="12">
                  <c:v>-49.115665026265788</c:v>
                </c:pt>
                <c:pt idx="13">
                  <c:v>-65.910455628269801</c:v>
                </c:pt>
                <c:pt idx="14">
                  <c:v>-80.341378539633524</c:v>
                </c:pt>
                <c:pt idx="15">
                  <c:v>-76.906837254023458</c:v>
                </c:pt>
                <c:pt idx="16">
                  <c:v>-81.748681515185581</c:v>
                </c:pt>
                <c:pt idx="17">
                  <c:v>-92.319289798470436</c:v>
                </c:pt>
                <c:pt idx="18">
                  <c:v>-98.167206752310449</c:v>
                </c:pt>
                <c:pt idx="19">
                  <c:v>-110.88632681178387</c:v>
                </c:pt>
                <c:pt idx="20">
                  <c:v>-134.41656176106835</c:v>
                </c:pt>
              </c:numCache>
            </c:numRef>
          </c:val>
        </c:ser>
        <c:ser>
          <c:idx val="10"/>
          <c:order val="10"/>
          <c:tx>
            <c:strRef>
              <c:f>Etappes!$AB$47</c:f>
              <c:strCache>
                <c:ptCount val="1"/>
                <c:pt idx="0">
                  <c:v>Niet geschoten</c:v>
                </c:pt>
              </c:strCache>
            </c:strRef>
          </c:tx>
          <c:cat>
            <c:strRef>
              <c:f>Etappes!$AC$36:$AX$36</c:f>
              <c:strCache>
                <c:ptCount val="21"/>
                <c:pt idx="0">
                  <c:v>1</c:v>
                </c:pt>
                <c:pt idx="1">
                  <c:v>2</c:v>
                </c:pt>
                <c:pt idx="2">
                  <c:v>3</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Etappes!$AC$47:$AX$47</c:f>
              <c:numCache>
                <c:formatCode>0</c:formatCode>
                <c:ptCount val="21"/>
                <c:pt idx="0">
                  <c:v>11.939898962634814</c:v>
                </c:pt>
                <c:pt idx="1">
                  <c:v>34.688933456696475</c:v>
                </c:pt>
                <c:pt idx="2">
                  <c:v>99.131910167142138</c:v>
                </c:pt>
                <c:pt idx="3">
                  <c:v>137.35636253098977</c:v>
                </c:pt>
                <c:pt idx="4">
                  <c:v>165.15616642254963</c:v>
                </c:pt>
                <c:pt idx="5">
                  <c:v>200.10040238724707</c:v>
                </c:pt>
                <c:pt idx="6">
                  <c:v>181.47228610843308</c:v>
                </c:pt>
                <c:pt idx="7">
                  <c:v>184.70471825544064</c:v>
                </c:pt>
                <c:pt idx="8">
                  <c:v>201.15651647074151</c:v>
                </c:pt>
                <c:pt idx="9">
                  <c:v>201.97679055499066</c:v>
                </c:pt>
                <c:pt idx="10">
                  <c:v>235.40835863508482</c:v>
                </c:pt>
                <c:pt idx="11">
                  <c:v>241.71521529948654</c:v>
                </c:pt>
                <c:pt idx="12">
                  <c:v>248.46444013224686</c:v>
                </c:pt>
                <c:pt idx="13">
                  <c:v>212.62671642190912</c:v>
                </c:pt>
                <c:pt idx="14">
                  <c:v>218.48541539308781</c:v>
                </c:pt>
                <c:pt idx="15">
                  <c:v>195.07332284630957</c:v>
                </c:pt>
                <c:pt idx="16">
                  <c:v>145.88361837283628</c:v>
                </c:pt>
                <c:pt idx="17">
                  <c:v>133.42870186593836</c:v>
                </c:pt>
                <c:pt idx="18">
                  <c:v>78.617321222754981</c:v>
                </c:pt>
                <c:pt idx="19">
                  <c:v>77.898770203566073</c:v>
                </c:pt>
                <c:pt idx="20">
                  <c:v>26.969932346289625</c:v>
                </c:pt>
              </c:numCache>
            </c:numRef>
          </c:val>
        </c:ser>
        <c:marker val="1"/>
        <c:axId val="82613760"/>
        <c:axId val="82615296"/>
      </c:lineChart>
      <c:catAx>
        <c:axId val="82613760"/>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2615296"/>
        <c:crosses val="autoZero"/>
        <c:auto val="1"/>
        <c:lblAlgn val="ctr"/>
        <c:lblOffset val="100"/>
        <c:tickLblSkip val="1"/>
        <c:tickMarkSkip val="1"/>
      </c:catAx>
      <c:valAx>
        <c:axId val="82615296"/>
        <c:scaling>
          <c:orientation val="minMax"/>
        </c:scaling>
        <c:axPos val="l"/>
        <c:majorGridlines>
          <c:spPr>
            <a:ln w="12700">
              <a:solidFill>
                <a:srgbClr val="99CC00"/>
              </a:solidFill>
              <a:prstDash val="sysDash"/>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9286"/>
              <c:y val="0.26101694915254886"/>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2613760"/>
        <c:crosses val="autoZero"/>
        <c:crossBetween val="midCat"/>
      </c:valAx>
      <c:spPr>
        <a:noFill/>
        <a:ln w="25400">
          <a:noFill/>
        </a:ln>
      </c:spPr>
    </c:plotArea>
    <c:legend>
      <c:legendPos val="r"/>
      <c:layout>
        <c:manualLayout>
          <c:xMode val="edge"/>
          <c:yMode val="edge"/>
          <c:x val="3.619441571871769E-2"/>
          <c:y val="0.89943502824859656"/>
          <c:w val="0.95139607032058948"/>
          <c:h val="8.3615819209040265E-2"/>
        </c:manualLayout>
      </c:layout>
      <c:spPr>
        <a:noFill/>
        <a:ln w="25400">
          <a:noFill/>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chemeClr val="bg1">
        <a:lumMod val="25000"/>
      </a:schemeClr>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indexed="43"/>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tabColor indexed="43"/>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tabColor indexed="43"/>
  </sheetPr>
  <sheetViews>
    <sheetView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19916" y="-25977"/>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24</xdr:row>
      <xdr:rowOff>0</xdr:rowOff>
    </xdr:from>
    <xdr:to>
      <xdr:col>13</xdr:col>
      <xdr:colOff>9525</xdr:colOff>
      <xdr:row>24</xdr:row>
      <xdr:rowOff>9525</xdr:rowOff>
    </xdr:to>
    <xdr:pic>
      <xdr:nvPicPr>
        <xdr:cNvPr id="4160"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8</xdr:col>
      <xdr:colOff>9525</xdr:colOff>
      <xdr:row>9</xdr:row>
      <xdr:rowOff>9525</xdr:rowOff>
    </xdr:to>
    <xdr:pic>
      <xdr:nvPicPr>
        <xdr:cNvPr id="1151"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6</xdr:col>
      <xdr:colOff>0</xdr:colOff>
      <xdr:row>18</xdr:row>
      <xdr:rowOff>0</xdr:rowOff>
    </xdr:from>
    <xdr:to>
      <xdr:col>6</xdr:col>
      <xdr:colOff>9525</xdr:colOff>
      <xdr:row>18</xdr:row>
      <xdr:rowOff>9525</xdr:rowOff>
    </xdr:to>
    <xdr:pic>
      <xdr:nvPicPr>
        <xdr:cNvPr id="1152" name="Picture 2" descr="hit"/>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sheetPr enableFormatConditionsCalculation="0">
    <tabColor indexed="52"/>
    <pageSetUpPr fitToPage="1"/>
  </sheetPr>
  <dimension ref="A1:BH338"/>
  <sheetViews>
    <sheetView showZeros="0" tabSelected="1" topLeftCell="A46" zoomScale="90" zoomScaleNormal="90" workbookViewId="0">
      <pane xSplit="2" topLeftCell="C1" activePane="topRight" state="frozen"/>
      <selection activeCell="B11" sqref="B11"/>
      <selection pane="topRight" activeCell="Z42" sqref="Z42"/>
    </sheetView>
  </sheetViews>
  <sheetFormatPr defaultRowHeight="12" customHeight="1"/>
  <cols>
    <col min="1" max="1" width="4.140625" style="125" customWidth="1"/>
    <col min="2" max="2" width="30.140625" style="125" customWidth="1"/>
    <col min="3" max="5" width="5.140625" style="126" customWidth="1"/>
    <col min="6" max="6" width="5.140625" style="133" hidden="1" customWidth="1"/>
    <col min="7" max="10" width="5.140625" style="126" customWidth="1"/>
    <col min="11" max="11" width="5.140625" style="125" customWidth="1"/>
    <col min="12" max="12" width="5.140625" style="129" customWidth="1"/>
    <col min="13" max="13" width="5.140625" style="125" customWidth="1"/>
    <col min="14" max="14" width="5.140625" style="126" customWidth="1"/>
    <col min="15" max="23" width="5.140625" style="125" customWidth="1"/>
    <col min="24" max="24" width="5.140625" style="175" customWidth="1"/>
    <col min="25" max="25" width="7" style="125" customWidth="1"/>
    <col min="26" max="26" width="6.7109375" style="125" customWidth="1"/>
    <col min="27" max="27" width="3.140625" style="125" customWidth="1"/>
    <col min="28" max="28" width="22.7109375" style="125" customWidth="1"/>
    <col min="29" max="30" width="6.5703125" style="125" customWidth="1"/>
    <col min="31" max="31" width="4.7109375" style="125" customWidth="1"/>
    <col min="32" max="32" width="4.7109375" style="125" hidden="1" customWidth="1"/>
    <col min="33" max="34" width="4.7109375" style="125" customWidth="1"/>
    <col min="35" max="35" width="5.28515625" style="125" customWidth="1"/>
    <col min="36" max="50" width="4.7109375" style="125" customWidth="1"/>
    <col min="51" max="52" width="9.140625" style="125" customWidth="1"/>
    <col min="53" max="16384" width="9.140625" style="125"/>
  </cols>
  <sheetData>
    <row r="1" spans="1:30" ht="13.5" hidden="1" customHeight="1">
      <c r="C1" s="126" t="s">
        <v>30</v>
      </c>
      <c r="D1" s="126" t="s">
        <v>31</v>
      </c>
      <c r="E1" s="126" t="s">
        <v>32</v>
      </c>
      <c r="F1" s="126" t="s">
        <v>33</v>
      </c>
      <c r="G1" s="126" t="s">
        <v>34</v>
      </c>
      <c r="H1" s="126" t="s">
        <v>35</v>
      </c>
      <c r="I1" s="126" t="s">
        <v>36</v>
      </c>
      <c r="J1" s="126" t="s">
        <v>37</v>
      </c>
      <c r="K1" s="126" t="s">
        <v>38</v>
      </c>
      <c r="L1" s="126" t="s">
        <v>39</v>
      </c>
      <c r="M1" s="126" t="s">
        <v>40</v>
      </c>
      <c r="N1" s="126" t="s">
        <v>41</v>
      </c>
      <c r="O1" s="126" t="s">
        <v>26</v>
      </c>
      <c r="P1" s="126" t="s">
        <v>42</v>
      </c>
      <c r="Q1" s="126" t="s">
        <v>43</v>
      </c>
      <c r="R1" s="126" t="s">
        <v>44</v>
      </c>
      <c r="S1" s="126" t="s">
        <v>45</v>
      </c>
      <c r="T1" s="126" t="s">
        <v>46</v>
      </c>
      <c r="U1" s="126" t="s">
        <v>47</v>
      </c>
      <c r="V1" s="126" t="s">
        <v>48</v>
      </c>
      <c r="W1" s="173" t="s">
        <v>49</v>
      </c>
      <c r="X1" s="173" t="s">
        <v>90</v>
      </c>
    </row>
    <row r="2" spans="1:30" ht="13.5" hidden="1" customHeight="1" thickBot="1">
      <c r="B2" s="127" t="s">
        <v>7</v>
      </c>
      <c r="C2" s="128">
        <v>1</v>
      </c>
      <c r="D2" s="128">
        <v>2</v>
      </c>
      <c r="E2" s="128">
        <v>3</v>
      </c>
      <c r="F2" s="128">
        <v>4</v>
      </c>
      <c r="G2" s="128">
        <v>5</v>
      </c>
      <c r="H2" s="128">
        <v>6</v>
      </c>
      <c r="I2" s="128">
        <v>7</v>
      </c>
      <c r="J2" s="128">
        <v>8</v>
      </c>
      <c r="K2" s="128">
        <v>9</v>
      </c>
      <c r="L2" s="128">
        <v>10</v>
      </c>
      <c r="M2" s="128">
        <v>11</v>
      </c>
      <c r="N2" s="128">
        <v>12</v>
      </c>
      <c r="O2" s="128">
        <v>13</v>
      </c>
      <c r="P2" s="128">
        <v>14</v>
      </c>
      <c r="Q2" s="128">
        <v>15</v>
      </c>
      <c r="R2" s="128">
        <v>16</v>
      </c>
      <c r="S2" s="128">
        <v>17</v>
      </c>
      <c r="T2" s="128">
        <v>18</v>
      </c>
      <c r="U2" s="128">
        <v>19</v>
      </c>
      <c r="V2" s="128">
        <v>20</v>
      </c>
      <c r="W2" s="128">
        <v>21</v>
      </c>
      <c r="X2" s="174" t="s">
        <v>2</v>
      </c>
      <c r="Y2" s="126"/>
      <c r="AB2" s="200"/>
      <c r="AC2" s="126" t="s">
        <v>15</v>
      </c>
      <c r="AD2" s="126" t="s">
        <v>15</v>
      </c>
    </row>
    <row r="3" spans="1:30" ht="13.5" hidden="1" customHeight="1">
      <c r="A3" s="125">
        <v>1</v>
      </c>
      <c r="B3" s="129" t="str">
        <f t="shared" ref="B3:B19" ca="1" si="0">INDIRECT($AB3&amp;"!c1")</f>
        <v>Tour de Kruiskamp</v>
      </c>
      <c r="C3" s="142">
        <f ca="1">INDIRECT($AB3&amp;"!"&amp;C$1&amp;"22")+RAND()/10</f>
        <v>50.076419357216281</v>
      </c>
      <c r="D3" s="142">
        <f t="shared" ref="D3:M18" ca="1" si="1">INDIRECT($AB3&amp;"!"&amp;D$1&amp;"22")</f>
        <v>68</v>
      </c>
      <c r="E3" s="142">
        <f t="shared" ca="1" si="1"/>
        <v>75</v>
      </c>
      <c r="F3" s="142">
        <f t="shared" ca="1" si="1"/>
        <v>0.1</v>
      </c>
      <c r="G3" s="142">
        <f t="shared" ca="1" si="1"/>
        <v>153</v>
      </c>
      <c r="H3" s="142">
        <f t="shared" ca="1" si="1"/>
        <v>193</v>
      </c>
      <c r="I3" s="142">
        <f t="shared" ca="1" si="1"/>
        <v>108</v>
      </c>
      <c r="J3" s="142">
        <f t="shared" ca="1" si="1"/>
        <v>200</v>
      </c>
      <c r="K3" s="142">
        <f t="shared" ca="1" si="1"/>
        <v>145</v>
      </c>
      <c r="L3" s="142">
        <f t="shared" ca="1" si="1"/>
        <v>183</v>
      </c>
      <c r="M3" s="142">
        <f t="shared" ca="1" si="1"/>
        <v>174</v>
      </c>
      <c r="N3" s="142">
        <f t="shared" ref="N3:X18" ca="1" si="2">INDIRECT($AB3&amp;"!"&amp;N$1&amp;"22")</f>
        <v>178</v>
      </c>
      <c r="O3" s="142">
        <f t="shared" ca="1" si="2"/>
        <v>146</v>
      </c>
      <c r="P3" s="142">
        <f t="shared" ca="1" si="2"/>
        <v>55</v>
      </c>
      <c r="Q3" s="142">
        <f t="shared" ca="1" si="2"/>
        <v>182</v>
      </c>
      <c r="R3" s="142">
        <f t="shared" ca="1" si="2"/>
        <v>58</v>
      </c>
      <c r="S3" s="142">
        <f t="shared" ca="1" si="2"/>
        <v>203</v>
      </c>
      <c r="T3" s="142">
        <f t="shared" ca="1" si="2"/>
        <v>205</v>
      </c>
      <c r="U3" s="142">
        <f t="shared" ca="1" si="2"/>
        <v>64</v>
      </c>
      <c r="V3" s="142">
        <f t="shared" ca="1" si="2"/>
        <v>218</v>
      </c>
      <c r="W3" s="142">
        <f t="shared" ca="1" si="2"/>
        <v>191</v>
      </c>
      <c r="X3" s="176">
        <f t="shared" ca="1" si="2"/>
        <v>325</v>
      </c>
      <c r="Y3" s="204">
        <f t="shared" ref="Y3:Y12" ca="1" si="3">SUM(C3:X3)</f>
        <v>3174.1764193572162</v>
      </c>
      <c r="Z3" s="125">
        <f ca="1">RANK(Y3,$Y$3:$Y$13)</f>
        <v>4</v>
      </c>
      <c r="AA3" s="131"/>
      <c r="AB3" s="201" t="str">
        <f t="shared" ref="AB3:AB19" si="4">INDEX(lijst_sheets,,A3)</f>
        <v>Tour</v>
      </c>
      <c r="AC3" s="132">
        <f ca="1">IF(AB3&lt;&gt;"",HLOOKUP(AB3,originaliteit!$B$1:$M$49,49,0),"")</f>
        <v>0.93149807938540341</v>
      </c>
      <c r="AD3" s="132" t="e">
        <f ca="1">IF(AC3&lt;&gt;"",HLOOKUP(AC3,originaliteit!$B$1:$M$49,46,0),"")</f>
        <v>#N/A</v>
      </c>
    </row>
    <row r="4" spans="1:30" ht="13.5" hidden="1" customHeight="1">
      <c r="A4" s="125">
        <v>2</v>
      </c>
      <c r="B4" s="129" t="str">
        <f t="shared" ca="1" si="0"/>
        <v>Special Victims Unit</v>
      </c>
      <c r="C4" s="142">
        <f t="shared" ref="C4:C19" ca="1" si="5">INDIRECT($AB4&amp;"!"&amp;C$1&amp;"22")+RAND()/10</f>
        <v>50.087138802688997</v>
      </c>
      <c r="D4" s="142">
        <f t="shared" ca="1" si="1"/>
        <v>73</v>
      </c>
      <c r="E4" s="142">
        <f t="shared" ca="1" si="1"/>
        <v>80</v>
      </c>
      <c r="F4" s="142">
        <f t="shared" ca="1" si="1"/>
        <v>0.1</v>
      </c>
      <c r="G4" s="142">
        <f t="shared" ca="1" si="1"/>
        <v>158</v>
      </c>
      <c r="H4" s="142">
        <f t="shared" ca="1" si="1"/>
        <v>198</v>
      </c>
      <c r="I4" s="142">
        <f t="shared" ca="1" si="1"/>
        <v>112</v>
      </c>
      <c r="J4" s="142">
        <f t="shared" ca="1" si="1"/>
        <v>182</v>
      </c>
      <c r="K4" s="142">
        <f t="shared" ca="1" si="1"/>
        <v>132</v>
      </c>
      <c r="L4" s="142">
        <f t="shared" ca="1" si="1"/>
        <v>182</v>
      </c>
      <c r="M4" s="142">
        <f t="shared" ca="1" si="1"/>
        <v>139</v>
      </c>
      <c r="N4" s="142">
        <f t="shared" ca="1" si="2"/>
        <v>169</v>
      </c>
      <c r="O4" s="142">
        <f t="shared" ca="1" si="2"/>
        <v>146</v>
      </c>
      <c r="P4" s="142">
        <f t="shared" ca="1" si="2"/>
        <v>55</v>
      </c>
      <c r="Q4" s="142">
        <f t="shared" ca="1" si="2"/>
        <v>145</v>
      </c>
      <c r="R4" s="142">
        <f t="shared" ca="1" si="2"/>
        <v>43</v>
      </c>
      <c r="S4" s="142">
        <f t="shared" ca="1" si="2"/>
        <v>207</v>
      </c>
      <c r="T4" s="142">
        <f t="shared" ca="1" si="2"/>
        <v>171</v>
      </c>
      <c r="U4" s="142">
        <f t="shared" ca="1" si="2"/>
        <v>68</v>
      </c>
      <c r="V4" s="142">
        <f t="shared" ca="1" si="2"/>
        <v>172</v>
      </c>
      <c r="W4" s="142">
        <f t="shared" ca="1" si="2"/>
        <v>180</v>
      </c>
      <c r="X4" s="176">
        <f t="shared" ca="1" si="2"/>
        <v>260</v>
      </c>
      <c r="Y4" s="204">
        <f t="shared" ca="1" si="3"/>
        <v>2922.1871388026889</v>
      </c>
      <c r="Z4" s="125">
        <f t="shared" ref="Z4:Z19" ca="1" si="6">RANK(Y4,$Y$3:$Y$13)</f>
        <v>6</v>
      </c>
      <c r="AA4" s="131"/>
      <c r="AB4" s="201" t="str">
        <f t="shared" si="4"/>
        <v>SVU</v>
      </c>
      <c r="AC4" s="132">
        <f ca="1">IF(AB4&lt;&gt;"",HLOOKUP(AB4,originaliteit!$B$1:$M$49,49,0),"")</f>
        <v>0.94480519480519476</v>
      </c>
      <c r="AD4" s="132" t="e">
        <f ca="1">IF(AC4&lt;&gt;"",HLOOKUP(AC4,originaliteit!$B$1:$M$49,46,0),"")</f>
        <v>#N/A</v>
      </c>
    </row>
    <row r="5" spans="1:30" ht="13.5" hidden="1" customHeight="1">
      <c r="A5" s="125">
        <v>3</v>
      </c>
      <c r="B5" s="129" t="str">
        <f t="shared" ca="1" si="0"/>
        <v>For Sale</v>
      </c>
      <c r="C5" s="142">
        <f t="shared" ca="1" si="5"/>
        <v>93.028324613685427</v>
      </c>
      <c r="D5" s="142">
        <f t="shared" ca="1" si="1"/>
        <v>48</v>
      </c>
      <c r="E5" s="142">
        <f t="shared" ca="1" si="1"/>
        <v>62</v>
      </c>
      <c r="F5" s="142">
        <f t="shared" ca="1" si="1"/>
        <v>0.1</v>
      </c>
      <c r="G5" s="142">
        <f t="shared" ca="1" si="1"/>
        <v>145</v>
      </c>
      <c r="H5" s="142">
        <f t="shared" ca="1" si="1"/>
        <v>197</v>
      </c>
      <c r="I5" s="142">
        <f t="shared" ca="1" si="1"/>
        <v>81</v>
      </c>
      <c r="J5" s="142">
        <f t="shared" ca="1" si="1"/>
        <v>183</v>
      </c>
      <c r="K5" s="142">
        <f t="shared" ca="1" si="1"/>
        <v>134</v>
      </c>
      <c r="L5" s="142">
        <f t="shared" ca="1" si="1"/>
        <v>203</v>
      </c>
      <c r="M5" s="142">
        <f t="shared" ca="1" si="1"/>
        <v>175</v>
      </c>
      <c r="N5" s="142">
        <f t="shared" ca="1" si="2"/>
        <v>194</v>
      </c>
      <c r="O5" s="142">
        <f t="shared" ca="1" si="2"/>
        <v>147</v>
      </c>
      <c r="P5" s="142">
        <f t="shared" ca="1" si="2"/>
        <v>46</v>
      </c>
      <c r="Q5" s="142">
        <f t="shared" ca="1" si="2"/>
        <v>146</v>
      </c>
      <c r="R5" s="142">
        <f t="shared" ca="1" si="2"/>
        <v>44</v>
      </c>
      <c r="S5" s="142">
        <f t="shared" ca="1" si="2"/>
        <v>160</v>
      </c>
      <c r="T5" s="142">
        <f t="shared" ca="1" si="2"/>
        <v>146</v>
      </c>
      <c r="U5" s="142">
        <f t="shared" ca="1" si="2"/>
        <v>69</v>
      </c>
      <c r="V5" s="142">
        <f t="shared" ca="1" si="2"/>
        <v>173</v>
      </c>
      <c r="W5" s="142">
        <f t="shared" ca="1" si="2"/>
        <v>201</v>
      </c>
      <c r="X5" s="176">
        <f t="shared" ca="1" si="2"/>
        <v>261</v>
      </c>
      <c r="Y5" s="204">
        <f t="shared" ca="1" si="3"/>
        <v>2908.1283246136854</v>
      </c>
      <c r="Z5" s="125">
        <f t="shared" ca="1" si="6"/>
        <v>7</v>
      </c>
      <c r="AA5" s="131"/>
      <c r="AB5" s="201" t="str">
        <f t="shared" si="4"/>
        <v>Sale</v>
      </c>
      <c r="AC5" s="132">
        <f ca="1">IF(AB5&lt;&gt;"",HLOOKUP(AB5,originaliteit!$B$1:$M$49,49,0),"")</f>
        <v>0.95849802371541515</v>
      </c>
      <c r="AD5" s="132" t="e">
        <f ca="1">IF(AC5&lt;&gt;"",HLOOKUP(AC5,originaliteit!$B$1:$M$49,46,0),"")</f>
        <v>#N/A</v>
      </c>
    </row>
    <row r="6" spans="1:30" ht="13.5" hidden="1" customHeight="1">
      <c r="A6" s="125">
        <v>4</v>
      </c>
      <c r="B6" s="129" t="str">
        <f t="shared" ca="1" si="0"/>
        <v>Am Selfkant</v>
      </c>
      <c r="C6" s="142">
        <f t="shared" ca="1" si="5"/>
        <v>93.093438105797745</v>
      </c>
      <c r="D6" s="142">
        <f t="shared" ca="1" si="1"/>
        <v>70</v>
      </c>
      <c r="E6" s="142">
        <f t="shared" ca="1" si="1"/>
        <v>63</v>
      </c>
      <c r="F6" s="142">
        <f t="shared" ca="1" si="1"/>
        <v>0.1</v>
      </c>
      <c r="G6" s="142">
        <f t="shared" ca="1" si="1"/>
        <v>176</v>
      </c>
      <c r="H6" s="142">
        <f t="shared" ca="1" si="1"/>
        <v>206</v>
      </c>
      <c r="I6" s="142">
        <f t="shared" ca="1" si="1"/>
        <v>108</v>
      </c>
      <c r="J6" s="142">
        <f t="shared" ca="1" si="1"/>
        <v>212</v>
      </c>
      <c r="K6" s="142">
        <f t="shared" ca="1" si="1"/>
        <v>122</v>
      </c>
      <c r="L6" s="142">
        <f t="shared" ca="1" si="1"/>
        <v>204</v>
      </c>
      <c r="M6" s="142">
        <f t="shared" ca="1" si="1"/>
        <v>189</v>
      </c>
      <c r="N6" s="142">
        <f t="shared" ca="1" si="2"/>
        <v>197</v>
      </c>
      <c r="O6" s="142">
        <f t="shared" ca="1" si="2"/>
        <v>147</v>
      </c>
      <c r="P6" s="142">
        <f t="shared" ca="1" si="2"/>
        <v>72</v>
      </c>
      <c r="Q6" s="142">
        <f t="shared" ca="1" si="2"/>
        <v>183</v>
      </c>
      <c r="R6" s="142">
        <f t="shared" ca="1" si="2"/>
        <v>59</v>
      </c>
      <c r="S6" s="142">
        <f t="shared" ca="1" si="2"/>
        <v>205</v>
      </c>
      <c r="T6" s="142">
        <f t="shared" ca="1" si="2"/>
        <v>187</v>
      </c>
      <c r="U6" s="142">
        <f t="shared" ca="1" si="2"/>
        <v>65</v>
      </c>
      <c r="V6" s="142">
        <f t="shared" ca="1" si="2"/>
        <v>240</v>
      </c>
      <c r="W6" s="142">
        <f t="shared" ca="1" si="2"/>
        <v>213</v>
      </c>
      <c r="X6" s="176">
        <f t="shared" ca="1" si="2"/>
        <v>358</v>
      </c>
      <c r="Y6" s="204">
        <f t="shared" ca="1" si="3"/>
        <v>3369.1934381057977</v>
      </c>
      <c r="Z6" s="125">
        <f t="shared" ca="1" si="6"/>
        <v>1</v>
      </c>
      <c r="AA6" s="131"/>
      <c r="AB6" s="201" t="str">
        <f t="shared" si="4"/>
        <v>Selfkant</v>
      </c>
      <c r="AC6" s="132">
        <f ca="1">IF(AB6&lt;&gt;"",HLOOKUP(AB6,originaliteit!$B$1:$M$49,49,0),"")</f>
        <v>0.96549435965494368</v>
      </c>
      <c r="AD6" s="132" t="e">
        <f ca="1">IF(AC6&lt;&gt;"",HLOOKUP(AC6,originaliteit!$B$1:$M$49,46,0),"")</f>
        <v>#N/A</v>
      </c>
    </row>
    <row r="7" spans="1:30" ht="13.5" hidden="1" customHeight="1">
      <c r="A7" s="125">
        <v>5</v>
      </c>
      <c r="B7" s="129" t="str">
        <f t="shared" ca="1" si="0"/>
        <v>De Lange Man</v>
      </c>
      <c r="C7" s="142">
        <f t="shared" ca="1" si="5"/>
        <v>50.062790092452751</v>
      </c>
      <c r="D7" s="142">
        <f t="shared" ca="1" si="1"/>
        <v>72</v>
      </c>
      <c r="E7" s="142">
        <f t="shared" ca="1" si="1"/>
        <v>65</v>
      </c>
      <c r="F7" s="142">
        <f t="shared" ca="1" si="1"/>
        <v>0.1</v>
      </c>
      <c r="G7" s="142">
        <f t="shared" ca="1" si="1"/>
        <v>144</v>
      </c>
      <c r="H7" s="142">
        <f t="shared" ca="1" si="1"/>
        <v>189</v>
      </c>
      <c r="I7" s="142">
        <f t="shared" ca="1" si="1"/>
        <v>82</v>
      </c>
      <c r="J7" s="142">
        <f t="shared" ca="1" si="1"/>
        <v>201</v>
      </c>
      <c r="K7" s="142">
        <f t="shared" ca="1" si="1"/>
        <v>151</v>
      </c>
      <c r="L7" s="142">
        <f t="shared" ca="1" si="1"/>
        <v>187</v>
      </c>
      <c r="M7" s="142">
        <f t="shared" ca="1" si="1"/>
        <v>180</v>
      </c>
      <c r="N7" s="142">
        <f t="shared" ca="1" si="2"/>
        <v>168</v>
      </c>
      <c r="O7" s="142">
        <f t="shared" ca="1" si="2"/>
        <v>186</v>
      </c>
      <c r="P7" s="142">
        <f t="shared" ca="1" si="2"/>
        <v>69</v>
      </c>
      <c r="Q7" s="142">
        <f t="shared" ca="1" si="2"/>
        <v>208</v>
      </c>
      <c r="R7" s="142">
        <f t="shared" ca="1" si="2"/>
        <v>62</v>
      </c>
      <c r="S7" s="142">
        <f t="shared" ca="1" si="2"/>
        <v>205</v>
      </c>
      <c r="T7" s="142">
        <f t="shared" ca="1" si="2"/>
        <v>194</v>
      </c>
      <c r="U7" s="142">
        <f t="shared" ca="1" si="2"/>
        <v>73</v>
      </c>
      <c r="V7" s="142">
        <f t="shared" ca="1" si="2"/>
        <v>221</v>
      </c>
      <c r="W7" s="142">
        <f t="shared" ca="1" si="2"/>
        <v>196</v>
      </c>
      <c r="X7" s="176">
        <f t="shared" ca="1" si="2"/>
        <v>352</v>
      </c>
      <c r="Y7" s="204">
        <f t="shared" ca="1" si="3"/>
        <v>3255.1627900924527</v>
      </c>
      <c r="Z7" s="125">
        <f t="shared" ca="1" si="6"/>
        <v>3</v>
      </c>
      <c r="AA7" s="131"/>
      <c r="AB7" s="201" t="str">
        <f t="shared" si="4"/>
        <v>Lange</v>
      </c>
      <c r="AC7" s="132">
        <f ca="1">IF(AB7&lt;&gt;"",HLOOKUP(AB7,originaliteit!$B$1:$M$49,49,0),"")</f>
        <v>0.98710990502035278</v>
      </c>
      <c r="AD7" s="132" t="e">
        <f ca="1">IF(AC7&lt;&gt;"",HLOOKUP(AC7,originaliteit!$B$1:$M$49,46,0),"")</f>
        <v>#N/A</v>
      </c>
    </row>
    <row r="8" spans="1:30" ht="13.5" hidden="1" customHeight="1">
      <c r="A8" s="125">
        <v>6</v>
      </c>
      <c r="B8" s="129" t="str">
        <f t="shared" ca="1" si="0"/>
        <v>Vorwärts Kinder des Vaterlandes!</v>
      </c>
      <c r="C8" s="142">
        <f t="shared" ca="1" si="5"/>
        <v>69.023791046695749</v>
      </c>
      <c r="D8" s="142">
        <f t="shared" ca="1" si="1"/>
        <v>72</v>
      </c>
      <c r="E8" s="142">
        <f t="shared" ca="1" si="1"/>
        <v>91</v>
      </c>
      <c r="F8" s="142">
        <f t="shared" ca="1" si="1"/>
        <v>0.1</v>
      </c>
      <c r="G8" s="142">
        <f t="shared" ca="1" si="1"/>
        <v>160</v>
      </c>
      <c r="H8" s="142">
        <f t="shared" ca="1" si="1"/>
        <v>208</v>
      </c>
      <c r="I8" s="142">
        <f t="shared" ca="1" si="1"/>
        <v>112</v>
      </c>
      <c r="J8" s="142">
        <f t="shared" ca="1" si="1"/>
        <v>162</v>
      </c>
      <c r="K8" s="142">
        <f t="shared" ca="1" si="1"/>
        <v>109</v>
      </c>
      <c r="L8" s="142">
        <f t="shared" ca="1" si="1"/>
        <v>190</v>
      </c>
      <c r="M8" s="142">
        <f t="shared" ca="1" si="1"/>
        <v>154</v>
      </c>
      <c r="N8" s="142">
        <f t="shared" ca="1" si="2"/>
        <v>167</v>
      </c>
      <c r="O8" s="142">
        <f t="shared" ca="1" si="2"/>
        <v>140</v>
      </c>
      <c r="P8" s="142">
        <f t="shared" ca="1" si="2"/>
        <v>69</v>
      </c>
      <c r="Q8" s="142">
        <f t="shared" ca="1" si="2"/>
        <v>132</v>
      </c>
      <c r="R8" s="142">
        <f t="shared" ca="1" si="2"/>
        <v>78</v>
      </c>
      <c r="S8" s="142">
        <f t="shared" ca="1" si="2"/>
        <v>148</v>
      </c>
      <c r="T8" s="142">
        <f t="shared" ca="1" si="2"/>
        <v>122</v>
      </c>
      <c r="U8" s="142">
        <f t="shared" ca="1" si="2"/>
        <v>103</v>
      </c>
      <c r="V8" s="142">
        <f t="shared" ca="1" si="2"/>
        <v>145</v>
      </c>
      <c r="W8" s="142">
        <f t="shared" ca="1" si="2"/>
        <v>184</v>
      </c>
      <c r="X8" s="176">
        <f t="shared" ca="1" si="2"/>
        <v>236</v>
      </c>
      <c r="Y8" s="204">
        <f t="shared" ca="1" si="3"/>
        <v>2851.1237910466957</v>
      </c>
      <c r="Z8" s="125">
        <f t="shared" ca="1" si="6"/>
        <v>9</v>
      </c>
      <c r="AA8" s="131"/>
      <c r="AB8" s="201" t="str">
        <f t="shared" si="4"/>
        <v>Lothar</v>
      </c>
      <c r="AC8" s="132">
        <f ca="1">IF(AB8&lt;&gt;"",HLOOKUP(AB8,originaliteit!$B$1:$M$49,49,0),"")</f>
        <v>0.98710990502035278</v>
      </c>
      <c r="AD8" s="132" t="e">
        <f ca="1">IF(AC8&lt;&gt;"",HLOOKUP(AC8,originaliteit!$B$1:$M$49,46,0),"")</f>
        <v>#N/A</v>
      </c>
    </row>
    <row r="9" spans="1:30" ht="13.5" hidden="1" customHeight="1">
      <c r="A9" s="125">
        <v>7</v>
      </c>
      <c r="B9" s="129" t="str">
        <f t="shared" ca="1" si="0"/>
        <v>El Gran</v>
      </c>
      <c r="C9" s="142">
        <f t="shared" ca="1" si="5"/>
        <v>69.099077855888069</v>
      </c>
      <c r="D9" s="142">
        <f t="shared" ca="1" si="1"/>
        <v>67</v>
      </c>
      <c r="E9" s="142">
        <f t="shared" ca="1" si="1"/>
        <v>86</v>
      </c>
      <c r="F9" s="142">
        <f t="shared" ca="1" si="1"/>
        <v>0.1</v>
      </c>
      <c r="G9" s="142">
        <f t="shared" ca="1" si="1"/>
        <v>155</v>
      </c>
      <c r="H9" s="142">
        <f t="shared" ca="1" si="1"/>
        <v>203</v>
      </c>
      <c r="I9" s="142">
        <f t="shared" ca="1" si="1"/>
        <v>78</v>
      </c>
      <c r="J9" s="142">
        <f t="shared" ca="1" si="1"/>
        <v>189</v>
      </c>
      <c r="K9" s="142">
        <f t="shared" ca="1" si="1"/>
        <v>133</v>
      </c>
      <c r="L9" s="142">
        <f t="shared" ca="1" si="1"/>
        <v>191</v>
      </c>
      <c r="M9" s="142">
        <f t="shared" ca="1" si="1"/>
        <v>154</v>
      </c>
      <c r="N9" s="142">
        <f t="shared" ca="1" si="2"/>
        <v>176</v>
      </c>
      <c r="O9" s="142">
        <f t="shared" ca="1" si="2"/>
        <v>169</v>
      </c>
      <c r="P9" s="142">
        <f t="shared" ca="1" si="2"/>
        <v>84</v>
      </c>
      <c r="Q9" s="142">
        <f t="shared" ca="1" si="2"/>
        <v>192</v>
      </c>
      <c r="R9" s="142">
        <f t="shared" ca="1" si="2"/>
        <v>89</v>
      </c>
      <c r="S9" s="142">
        <f t="shared" ca="1" si="2"/>
        <v>202</v>
      </c>
      <c r="T9" s="142">
        <f t="shared" ca="1" si="2"/>
        <v>207</v>
      </c>
      <c r="U9" s="142">
        <f t="shared" ca="1" si="2"/>
        <v>99</v>
      </c>
      <c r="V9" s="142">
        <f t="shared" ca="1" si="2"/>
        <v>204</v>
      </c>
      <c r="W9" s="142">
        <f t="shared" ca="1" si="2"/>
        <v>199</v>
      </c>
      <c r="X9" s="176">
        <f t="shared" ca="1" si="2"/>
        <v>327</v>
      </c>
      <c r="Y9" s="204">
        <f t="shared" ca="1" si="3"/>
        <v>3273.1990778558879</v>
      </c>
      <c r="Z9" s="125">
        <f t="shared" ca="1" si="6"/>
        <v>2</v>
      </c>
      <c r="AA9" s="131"/>
      <c r="AB9" s="201" t="str">
        <f t="shared" si="4"/>
        <v>Gran</v>
      </c>
      <c r="AC9" s="132">
        <f ca="1">IF(AB9&lt;&gt;"",HLOOKUP(AB9,originaliteit!$B$1:$M$49,49,0),"")</f>
        <v>1.0020661157024793</v>
      </c>
      <c r="AD9" s="132" t="e">
        <f ca="1">IF(AC9&lt;&gt;"",HLOOKUP(AC9,originaliteit!$B$1:$M$49,46,0),"")</f>
        <v>#N/A</v>
      </c>
    </row>
    <row r="10" spans="1:30" ht="13.5" hidden="1" customHeight="1">
      <c r="A10" s="125">
        <v>8</v>
      </c>
      <c r="B10" s="129" t="str">
        <f t="shared" ca="1" si="0"/>
        <v>IJffjes Boys</v>
      </c>
      <c r="C10" s="142">
        <f t="shared" ca="1" si="5"/>
        <v>50.038878030415773</v>
      </c>
      <c r="D10" s="142">
        <f t="shared" ca="1" si="1"/>
        <v>68</v>
      </c>
      <c r="E10" s="142">
        <f t="shared" ca="1" si="1"/>
        <v>75</v>
      </c>
      <c r="F10" s="142">
        <f t="shared" ca="1" si="1"/>
        <v>0.1</v>
      </c>
      <c r="G10" s="142">
        <f t="shared" ca="1" si="1"/>
        <v>155</v>
      </c>
      <c r="H10" s="142">
        <f t="shared" ca="1" si="1"/>
        <v>184</v>
      </c>
      <c r="I10" s="142">
        <f t="shared" ca="1" si="1"/>
        <v>110</v>
      </c>
      <c r="J10" s="142">
        <f t="shared" ca="1" si="1"/>
        <v>175</v>
      </c>
      <c r="K10" s="142">
        <f t="shared" ca="1" si="1"/>
        <v>129</v>
      </c>
      <c r="L10" s="142">
        <f t="shared" ca="1" si="1"/>
        <v>161</v>
      </c>
      <c r="M10" s="142">
        <f t="shared" ca="1" si="1"/>
        <v>196</v>
      </c>
      <c r="N10" s="142">
        <f t="shared" ca="1" si="2"/>
        <v>155</v>
      </c>
      <c r="O10" s="142">
        <f t="shared" ca="1" si="2"/>
        <v>176</v>
      </c>
      <c r="P10" s="142">
        <f t="shared" ca="1" si="2"/>
        <v>59</v>
      </c>
      <c r="Q10" s="142">
        <f t="shared" ca="1" si="2"/>
        <v>157</v>
      </c>
      <c r="R10" s="142">
        <f t="shared" ca="1" si="2"/>
        <v>61</v>
      </c>
      <c r="S10" s="142">
        <f t="shared" ca="1" si="2"/>
        <v>180</v>
      </c>
      <c r="T10" s="142">
        <f t="shared" ca="1" si="2"/>
        <v>156</v>
      </c>
      <c r="U10" s="142">
        <f t="shared" ca="1" si="2"/>
        <v>59</v>
      </c>
      <c r="V10" s="142">
        <f t="shared" ca="1" si="2"/>
        <v>157</v>
      </c>
      <c r="W10" s="142">
        <f t="shared" ca="1" si="2"/>
        <v>165</v>
      </c>
      <c r="X10" s="176">
        <f t="shared" ca="1" si="2"/>
        <v>259</v>
      </c>
      <c r="Y10" s="204">
        <f t="shared" ca="1" si="3"/>
        <v>2887.138878030416</v>
      </c>
      <c r="Z10" s="125">
        <f t="shared" ca="1" si="6"/>
        <v>8</v>
      </c>
      <c r="AA10" s="131"/>
      <c r="AB10" s="201" t="str">
        <f t="shared" si="4"/>
        <v>IJff</v>
      </c>
      <c r="AC10" s="132">
        <f ca="1">IF(AB10&lt;&gt;"",HLOOKUP(AB10,originaliteit!$B$1:$M$49,49,0),"")</f>
        <v>1.0097154753643303</v>
      </c>
      <c r="AD10" s="132" t="e">
        <f ca="1">IF(AC10&lt;&gt;"",HLOOKUP(AC10,originaliteit!$B$1:$M$49,46,0),"")</f>
        <v>#N/A</v>
      </c>
    </row>
    <row r="11" spans="1:30" ht="13.5" hidden="1" customHeight="1">
      <c r="A11" s="125">
        <v>9</v>
      </c>
      <c r="B11" s="129" t="str">
        <f t="shared" ca="1" si="0"/>
        <v>TinTopTeam</v>
      </c>
      <c r="C11" s="142">
        <f t="shared" ca="1" si="5"/>
        <v>112.02391979255034</v>
      </c>
      <c r="D11" s="142">
        <f t="shared" ca="1" si="1"/>
        <v>42</v>
      </c>
      <c r="E11" s="142">
        <f t="shared" ca="1" si="1"/>
        <v>68</v>
      </c>
      <c r="F11" s="142">
        <f t="shared" ca="1" si="1"/>
        <v>0.1</v>
      </c>
      <c r="G11" s="142">
        <f t="shared" ca="1" si="1"/>
        <v>156</v>
      </c>
      <c r="H11" s="142">
        <f t="shared" ca="1" si="1"/>
        <v>202</v>
      </c>
      <c r="I11" s="142">
        <f t="shared" ca="1" si="1"/>
        <v>77</v>
      </c>
      <c r="J11" s="142">
        <f t="shared" ca="1" si="1"/>
        <v>167</v>
      </c>
      <c r="K11" s="142">
        <f t="shared" ca="1" si="1"/>
        <v>138</v>
      </c>
      <c r="L11" s="142">
        <f t="shared" ca="1" si="1"/>
        <v>211</v>
      </c>
      <c r="M11" s="142">
        <f t="shared" ca="1" si="1"/>
        <v>153</v>
      </c>
      <c r="N11" s="142">
        <f t="shared" ca="1" si="2"/>
        <v>199</v>
      </c>
      <c r="O11" s="142">
        <f t="shared" ca="1" si="2"/>
        <v>147</v>
      </c>
      <c r="P11" s="142">
        <f t="shared" ca="1" si="2"/>
        <v>80</v>
      </c>
      <c r="Q11" s="142">
        <f t="shared" ca="1" si="2"/>
        <v>170</v>
      </c>
      <c r="R11" s="142">
        <f t="shared" ca="1" si="2"/>
        <v>52</v>
      </c>
      <c r="S11" s="142">
        <f t="shared" ca="1" si="2"/>
        <v>193</v>
      </c>
      <c r="T11" s="142">
        <f t="shared" ca="1" si="2"/>
        <v>188</v>
      </c>
      <c r="U11" s="142">
        <f t="shared" ca="1" si="2"/>
        <v>55</v>
      </c>
      <c r="V11" s="142">
        <f t="shared" ca="1" si="2"/>
        <v>192</v>
      </c>
      <c r="W11" s="142">
        <f t="shared" ca="1" si="2"/>
        <v>216</v>
      </c>
      <c r="X11" s="176">
        <f t="shared" ca="1" si="2"/>
        <v>302</v>
      </c>
      <c r="Y11" s="204">
        <f t="shared" ca="1" si="3"/>
        <v>3120.1239197925506</v>
      </c>
      <c r="Z11" s="125">
        <f t="shared" ca="1" si="6"/>
        <v>5</v>
      </c>
      <c r="AA11" s="131"/>
      <c r="AB11" s="201" t="str">
        <f t="shared" si="4"/>
        <v>Tin</v>
      </c>
      <c r="AC11" s="132">
        <f ca="1">IF(AB11&lt;&gt;"",HLOOKUP(AB11,originaliteit!$B$1:$M$49,49,0),"")</f>
        <v>1.0097154753643303</v>
      </c>
      <c r="AD11" s="132" t="e">
        <f ca="1">IF(AC11&lt;&gt;"",HLOOKUP(AC11,originaliteit!$B$1:$M$49,46,0),"")</f>
        <v>#N/A</v>
      </c>
    </row>
    <row r="12" spans="1:30" ht="13.5" hidden="1" customHeight="1">
      <c r="A12" s="125">
        <v>10</v>
      </c>
      <c r="B12" s="129" t="str">
        <f t="shared" ca="1" si="0"/>
        <v>Equipe l'Ami</v>
      </c>
      <c r="C12" s="142">
        <f t="shared" ca="1" si="5"/>
        <v>50.004890316884179</v>
      </c>
      <c r="D12" s="142">
        <f t="shared" ca="1" si="1"/>
        <v>68</v>
      </c>
      <c r="E12" s="142">
        <f t="shared" ca="1" si="1"/>
        <v>75</v>
      </c>
      <c r="F12" s="142">
        <f t="shared" ca="1" si="1"/>
        <v>0.1</v>
      </c>
      <c r="G12" s="142">
        <f t="shared" ca="1" si="1"/>
        <v>142</v>
      </c>
      <c r="H12" s="142">
        <f t="shared" ca="1" si="1"/>
        <v>177</v>
      </c>
      <c r="I12" s="142">
        <f t="shared" ca="1" si="1"/>
        <v>96</v>
      </c>
      <c r="J12" s="142">
        <f t="shared" ca="1" si="1"/>
        <v>143</v>
      </c>
      <c r="K12" s="142">
        <f t="shared" ca="1" si="1"/>
        <v>124</v>
      </c>
      <c r="L12" s="142">
        <f t="shared" ca="1" si="1"/>
        <v>159</v>
      </c>
      <c r="M12" s="142">
        <f t="shared" ca="1" si="1"/>
        <v>161</v>
      </c>
      <c r="N12" s="142">
        <f t="shared" ca="1" si="2"/>
        <v>161</v>
      </c>
      <c r="O12" s="142">
        <f t="shared" ca="1" si="2"/>
        <v>149</v>
      </c>
      <c r="P12" s="142">
        <f t="shared" ca="1" si="2"/>
        <v>47</v>
      </c>
      <c r="Q12" s="142">
        <f t="shared" ca="1" si="2"/>
        <v>132</v>
      </c>
      <c r="R12" s="142">
        <f t="shared" ca="1" si="2"/>
        <v>41</v>
      </c>
      <c r="S12" s="142">
        <f t="shared" ca="1" si="2"/>
        <v>173</v>
      </c>
      <c r="T12" s="142">
        <f t="shared" ca="1" si="2"/>
        <v>149</v>
      </c>
      <c r="U12" s="142">
        <f t="shared" ca="1" si="2"/>
        <v>54</v>
      </c>
      <c r="V12" s="142">
        <f t="shared" ca="1" si="2"/>
        <v>162</v>
      </c>
      <c r="W12" s="142">
        <f t="shared" ca="1" si="2"/>
        <v>163</v>
      </c>
      <c r="X12" s="176">
        <f t="shared" ca="1" si="2"/>
        <v>241</v>
      </c>
      <c r="Y12" s="204">
        <f t="shared" ca="1" si="3"/>
        <v>2667.1048903168839</v>
      </c>
      <c r="Z12" s="125">
        <f t="shared" ca="1" si="6"/>
        <v>10</v>
      </c>
      <c r="AA12" s="131"/>
      <c r="AB12" s="201" t="str">
        <f t="shared" si="4"/>
        <v>Ami</v>
      </c>
      <c r="AC12" s="132">
        <f ca="1">IF(AB12&lt;&gt;"",HLOOKUP(AB12,originaliteit!$B$1:$M$49,49,0),"")</f>
        <v>1.0753880266075388</v>
      </c>
      <c r="AD12" s="132" t="e">
        <f ca="1">IF(AC12&lt;&gt;"",HLOOKUP(AC12,originaliteit!$B$1:$M$49,46,0),"")</f>
        <v>#N/A</v>
      </c>
    </row>
    <row r="13" spans="1:30" ht="13.5" hidden="1" customHeight="1">
      <c r="A13" s="125">
        <v>11</v>
      </c>
      <c r="B13" s="129" t="str">
        <f t="shared" ca="1" si="0"/>
        <v>Niet geschoten</v>
      </c>
      <c r="C13" s="142">
        <f t="shared" ca="1" si="5"/>
        <v>69.041544990530198</v>
      </c>
      <c r="D13" s="142">
        <f t="shared" ca="1" si="1"/>
        <v>76</v>
      </c>
      <c r="E13" s="142">
        <f t="shared" ca="1" si="1"/>
        <v>123</v>
      </c>
      <c r="F13" s="142">
        <f t="shared" ca="1" si="1"/>
        <v>0.1</v>
      </c>
      <c r="G13" s="142">
        <f t="shared" ca="1" si="1"/>
        <v>166</v>
      </c>
      <c r="H13" s="142">
        <f t="shared" ca="1" si="1"/>
        <v>191</v>
      </c>
      <c r="I13" s="142">
        <f t="shared" ca="1" si="1"/>
        <v>114</v>
      </c>
      <c r="J13" s="142">
        <f t="shared" ca="1" si="1"/>
        <v>135</v>
      </c>
      <c r="K13" s="142">
        <f t="shared" ca="1" si="1"/>
        <v>114</v>
      </c>
      <c r="L13" s="142">
        <f t="shared" ca="1" si="1"/>
        <v>173</v>
      </c>
      <c r="M13" s="142">
        <f t="shared" ca="1" si="1"/>
        <v>142</v>
      </c>
      <c r="N13" s="142">
        <f t="shared" ca="1" si="2"/>
        <v>180</v>
      </c>
      <c r="O13" s="142">
        <f t="shared" ca="1" si="2"/>
        <v>137</v>
      </c>
      <c r="P13" s="142">
        <f t="shared" ca="1" si="2"/>
        <v>60</v>
      </c>
      <c r="Q13" s="142">
        <f t="shared" ca="1" si="2"/>
        <v>105</v>
      </c>
      <c r="R13" s="142">
        <f t="shared" ca="1" si="2"/>
        <v>55</v>
      </c>
      <c r="S13" s="142">
        <f t="shared" ca="1" si="2"/>
        <v>136</v>
      </c>
      <c r="T13" s="142">
        <f t="shared" ca="1" si="2"/>
        <v>99</v>
      </c>
      <c r="U13" s="142">
        <f t="shared" ca="1" si="2"/>
        <v>48</v>
      </c>
      <c r="V13" s="142">
        <f t="shared" ca="1" si="2"/>
        <v>107</v>
      </c>
      <c r="W13" s="142">
        <f t="shared" ca="1" si="2"/>
        <v>160</v>
      </c>
      <c r="X13" s="176">
        <f t="shared" ca="1" si="2"/>
        <v>198</v>
      </c>
      <c r="Y13" s="204">
        <f t="shared" ref="Y13:Y19" ca="1" si="7">SUM(C13:X13)</f>
        <v>2588.1415449905303</v>
      </c>
      <c r="Z13" s="125">
        <f t="shared" ca="1" si="6"/>
        <v>11</v>
      </c>
      <c r="AA13" s="131"/>
      <c r="AB13" s="201" t="str">
        <f t="shared" si="4"/>
        <v>Niet</v>
      </c>
      <c r="AC13" s="132">
        <f ca="1">IF(AB13&lt;&gt;"",HLOOKUP(AB13,originaliteit!$B$1:$M$49,49,0),"")</f>
        <v>1.1705551086082058</v>
      </c>
      <c r="AD13" s="132" t="e">
        <f ca="1">IF(AC13&lt;&gt;"",HLOOKUP(AC13,originaliteit!$B$1:$M$49,41,0),"")</f>
        <v>#N/A</v>
      </c>
    </row>
    <row r="14" spans="1:30" ht="13.5" hidden="1" customHeight="1">
      <c r="A14" s="125">
        <v>12</v>
      </c>
      <c r="B14" s="129" t="e">
        <f t="shared" ca="1" si="0"/>
        <v>#REF!</v>
      </c>
      <c r="C14" s="142" t="e">
        <f t="shared" ca="1" si="5"/>
        <v>#REF!</v>
      </c>
      <c r="D14" s="142" t="e">
        <f t="shared" ca="1" si="1"/>
        <v>#REF!</v>
      </c>
      <c r="E14" s="142" t="e">
        <f t="shared" ca="1" si="1"/>
        <v>#REF!</v>
      </c>
      <c r="F14" s="142" t="e">
        <f t="shared" ca="1" si="1"/>
        <v>#REF!</v>
      </c>
      <c r="G14" s="142" t="e">
        <f t="shared" ca="1" si="1"/>
        <v>#REF!</v>
      </c>
      <c r="H14" s="142" t="e">
        <f t="shared" ca="1" si="1"/>
        <v>#REF!</v>
      </c>
      <c r="I14" s="142" t="e">
        <f t="shared" ca="1" si="1"/>
        <v>#REF!</v>
      </c>
      <c r="J14" s="142" t="e">
        <f t="shared" ca="1" si="1"/>
        <v>#REF!</v>
      </c>
      <c r="K14" s="142" t="e">
        <f t="shared" ca="1" si="1"/>
        <v>#REF!</v>
      </c>
      <c r="L14" s="142" t="e">
        <f t="shared" ca="1" si="1"/>
        <v>#REF!</v>
      </c>
      <c r="M14" s="142" t="e">
        <f t="shared" ca="1" si="1"/>
        <v>#REF!</v>
      </c>
      <c r="N14" s="142" t="e">
        <f t="shared" ca="1" si="2"/>
        <v>#REF!</v>
      </c>
      <c r="O14" s="142" t="e">
        <f t="shared" ca="1" si="2"/>
        <v>#REF!</v>
      </c>
      <c r="P14" s="142" t="e">
        <f t="shared" ca="1" si="2"/>
        <v>#REF!</v>
      </c>
      <c r="Q14" s="142" t="e">
        <f t="shared" ca="1" si="2"/>
        <v>#REF!</v>
      </c>
      <c r="R14" s="142" t="e">
        <f t="shared" ca="1" si="2"/>
        <v>#REF!</v>
      </c>
      <c r="S14" s="142" t="e">
        <f t="shared" ca="1" si="2"/>
        <v>#REF!</v>
      </c>
      <c r="T14" s="142" t="e">
        <f t="shared" ca="1" si="2"/>
        <v>#REF!</v>
      </c>
      <c r="U14" s="142" t="e">
        <f t="shared" ca="1" si="2"/>
        <v>#REF!</v>
      </c>
      <c r="V14" s="142" t="e">
        <f t="shared" ca="1" si="2"/>
        <v>#REF!</v>
      </c>
      <c r="W14" s="142" t="e">
        <f t="shared" ca="1" si="2"/>
        <v>#REF!</v>
      </c>
      <c r="X14" s="176" t="e">
        <f t="shared" ca="1" si="2"/>
        <v>#REF!</v>
      </c>
      <c r="Y14" s="204" t="e">
        <f t="shared" ca="1" si="7"/>
        <v>#REF!</v>
      </c>
      <c r="Z14" s="125" t="e">
        <f t="shared" ca="1" si="6"/>
        <v>#REF!</v>
      </c>
      <c r="AA14" s="131"/>
      <c r="AB14" s="201" t="e">
        <f t="shared" si="4"/>
        <v>#REF!</v>
      </c>
      <c r="AC14" s="132" t="e">
        <f>IF(AB14&lt;&gt;"",HLOOKUP(AB14,originaliteit!$B$1:$M$49,48,0),"")</f>
        <v>#REF!</v>
      </c>
      <c r="AD14" s="132" t="e">
        <f>IF(AC14&lt;&gt;"",HLOOKUP(AC14,originaliteit!$B$1:$M$49,41,0),"")</f>
        <v>#REF!</v>
      </c>
    </row>
    <row r="15" spans="1:30" ht="13.5" hidden="1" customHeight="1">
      <c r="A15" s="125">
        <v>13</v>
      </c>
      <c r="B15" s="129" t="e">
        <f t="shared" ca="1" si="0"/>
        <v>#REF!</v>
      </c>
      <c r="C15" s="142" t="e">
        <f t="shared" ca="1" si="5"/>
        <v>#REF!</v>
      </c>
      <c r="D15" s="142" t="e">
        <f t="shared" ca="1" si="1"/>
        <v>#REF!</v>
      </c>
      <c r="E15" s="142" t="e">
        <f t="shared" ca="1" si="1"/>
        <v>#REF!</v>
      </c>
      <c r="F15" s="142" t="e">
        <f t="shared" ca="1" si="1"/>
        <v>#REF!</v>
      </c>
      <c r="G15" s="142" t="e">
        <f t="shared" ca="1" si="1"/>
        <v>#REF!</v>
      </c>
      <c r="H15" s="142" t="e">
        <f t="shared" ca="1" si="1"/>
        <v>#REF!</v>
      </c>
      <c r="I15" s="142" t="e">
        <f t="shared" ca="1" si="1"/>
        <v>#REF!</v>
      </c>
      <c r="J15" s="142" t="e">
        <f t="shared" ca="1" si="1"/>
        <v>#REF!</v>
      </c>
      <c r="K15" s="142" t="e">
        <f t="shared" ca="1" si="1"/>
        <v>#REF!</v>
      </c>
      <c r="L15" s="142" t="e">
        <f t="shared" ca="1" si="1"/>
        <v>#REF!</v>
      </c>
      <c r="M15" s="142" t="e">
        <f t="shared" ca="1" si="1"/>
        <v>#REF!</v>
      </c>
      <c r="N15" s="142" t="e">
        <f t="shared" ca="1" si="2"/>
        <v>#REF!</v>
      </c>
      <c r="O15" s="142" t="e">
        <f t="shared" ca="1" si="2"/>
        <v>#REF!</v>
      </c>
      <c r="P15" s="142" t="e">
        <f t="shared" ca="1" si="2"/>
        <v>#REF!</v>
      </c>
      <c r="Q15" s="142" t="e">
        <f t="shared" ca="1" si="2"/>
        <v>#REF!</v>
      </c>
      <c r="R15" s="142" t="e">
        <f t="shared" ca="1" si="2"/>
        <v>#REF!</v>
      </c>
      <c r="S15" s="142" t="e">
        <f t="shared" ca="1" si="2"/>
        <v>#REF!</v>
      </c>
      <c r="T15" s="142" t="e">
        <f t="shared" ca="1" si="2"/>
        <v>#REF!</v>
      </c>
      <c r="U15" s="142" t="e">
        <f t="shared" ca="1" si="2"/>
        <v>#REF!</v>
      </c>
      <c r="V15" s="142" t="e">
        <f t="shared" ca="1" si="2"/>
        <v>#REF!</v>
      </c>
      <c r="W15" s="142" t="e">
        <f t="shared" ca="1" si="2"/>
        <v>#REF!</v>
      </c>
      <c r="X15" s="176" t="e">
        <f t="shared" ca="1" si="2"/>
        <v>#REF!</v>
      </c>
      <c r="Y15" s="204" t="e">
        <f t="shared" ca="1" si="7"/>
        <v>#REF!</v>
      </c>
      <c r="Z15" s="125" t="e">
        <f t="shared" ca="1" si="6"/>
        <v>#REF!</v>
      </c>
      <c r="AA15" s="131"/>
      <c r="AB15" s="201" t="e">
        <f t="shared" si="4"/>
        <v>#REF!</v>
      </c>
      <c r="AC15" s="132" t="e">
        <f>IF(AB15&lt;&gt;"",HLOOKUP(AB15,originaliteit!$B$1:$M$49,48,0),"")</f>
        <v>#REF!</v>
      </c>
      <c r="AD15" s="132" t="e">
        <f>IF(AC15&lt;&gt;"",HLOOKUP(AC15,originaliteit!$B$1:$M$49,41,0),"")</f>
        <v>#REF!</v>
      </c>
    </row>
    <row r="16" spans="1:30" ht="13.5" hidden="1" customHeight="1">
      <c r="A16" s="125">
        <v>14</v>
      </c>
      <c r="B16" s="129" t="e">
        <f t="shared" ca="1" si="0"/>
        <v>#REF!</v>
      </c>
      <c r="C16" s="142" t="e">
        <f t="shared" ca="1" si="5"/>
        <v>#REF!</v>
      </c>
      <c r="D16" s="142" t="e">
        <f t="shared" ca="1" si="1"/>
        <v>#REF!</v>
      </c>
      <c r="E16" s="142" t="e">
        <f t="shared" ca="1" si="1"/>
        <v>#REF!</v>
      </c>
      <c r="F16" s="142" t="e">
        <f t="shared" ca="1" si="1"/>
        <v>#REF!</v>
      </c>
      <c r="G16" s="142" t="e">
        <f t="shared" ca="1" si="1"/>
        <v>#REF!</v>
      </c>
      <c r="H16" s="142" t="e">
        <f t="shared" ca="1" si="1"/>
        <v>#REF!</v>
      </c>
      <c r="I16" s="142" t="e">
        <f t="shared" ca="1" si="1"/>
        <v>#REF!</v>
      </c>
      <c r="J16" s="142" t="e">
        <f t="shared" ca="1" si="1"/>
        <v>#REF!</v>
      </c>
      <c r="K16" s="142" t="e">
        <f t="shared" ca="1" si="1"/>
        <v>#REF!</v>
      </c>
      <c r="L16" s="142" t="e">
        <f t="shared" ca="1" si="1"/>
        <v>#REF!</v>
      </c>
      <c r="M16" s="142" t="e">
        <f t="shared" ca="1" si="1"/>
        <v>#REF!</v>
      </c>
      <c r="N16" s="142" t="e">
        <f t="shared" ca="1" si="2"/>
        <v>#REF!</v>
      </c>
      <c r="O16" s="142" t="e">
        <f t="shared" ca="1" si="2"/>
        <v>#REF!</v>
      </c>
      <c r="P16" s="142" t="e">
        <f t="shared" ca="1" si="2"/>
        <v>#REF!</v>
      </c>
      <c r="Q16" s="142" t="e">
        <f t="shared" ca="1" si="2"/>
        <v>#REF!</v>
      </c>
      <c r="R16" s="142" t="e">
        <f t="shared" ca="1" si="2"/>
        <v>#REF!</v>
      </c>
      <c r="S16" s="142" t="e">
        <f t="shared" ca="1" si="2"/>
        <v>#REF!</v>
      </c>
      <c r="T16" s="142" t="e">
        <f t="shared" ca="1" si="2"/>
        <v>#REF!</v>
      </c>
      <c r="U16" s="142" t="e">
        <f t="shared" ca="1" si="2"/>
        <v>#REF!</v>
      </c>
      <c r="V16" s="142" t="e">
        <f t="shared" ca="1" si="2"/>
        <v>#REF!</v>
      </c>
      <c r="W16" s="142" t="e">
        <f t="shared" ca="1" si="2"/>
        <v>#REF!</v>
      </c>
      <c r="X16" s="176" t="e">
        <f t="shared" ca="1" si="2"/>
        <v>#REF!</v>
      </c>
      <c r="Y16" s="204" t="e">
        <f t="shared" ca="1" si="7"/>
        <v>#REF!</v>
      </c>
      <c r="Z16" s="125" t="e">
        <f t="shared" ca="1" si="6"/>
        <v>#REF!</v>
      </c>
      <c r="AA16" s="131"/>
      <c r="AB16" s="201" t="e">
        <f t="shared" si="4"/>
        <v>#REF!</v>
      </c>
      <c r="AC16" s="132" t="e">
        <f>IF(AB16&lt;&gt;"",HLOOKUP(AB16,originaliteit!$B$1:$M$49,48,0),"")</f>
        <v>#REF!</v>
      </c>
      <c r="AD16" s="132" t="e">
        <f>IF(AC16&lt;&gt;"",HLOOKUP(AC16,originaliteit!$B$1:$M$49,41,0),"")</f>
        <v>#REF!</v>
      </c>
    </row>
    <row r="17" spans="1:50" ht="13.5" hidden="1" customHeight="1">
      <c r="A17" s="125">
        <v>15</v>
      </c>
      <c r="B17" s="129" t="e">
        <f t="shared" ca="1" si="0"/>
        <v>#REF!</v>
      </c>
      <c r="C17" s="142" t="e">
        <f t="shared" ca="1" si="5"/>
        <v>#REF!</v>
      </c>
      <c r="D17" s="142" t="e">
        <f t="shared" ca="1" si="1"/>
        <v>#REF!</v>
      </c>
      <c r="E17" s="142" t="e">
        <f t="shared" ca="1" si="1"/>
        <v>#REF!</v>
      </c>
      <c r="F17" s="142" t="e">
        <f t="shared" ca="1" si="1"/>
        <v>#REF!</v>
      </c>
      <c r="G17" s="142" t="e">
        <f t="shared" ca="1" si="1"/>
        <v>#REF!</v>
      </c>
      <c r="H17" s="142" t="e">
        <f t="shared" ca="1" si="1"/>
        <v>#REF!</v>
      </c>
      <c r="I17" s="142" t="e">
        <f t="shared" ca="1" si="1"/>
        <v>#REF!</v>
      </c>
      <c r="J17" s="142" t="e">
        <f t="shared" ca="1" si="1"/>
        <v>#REF!</v>
      </c>
      <c r="K17" s="142" t="e">
        <f t="shared" ca="1" si="1"/>
        <v>#REF!</v>
      </c>
      <c r="L17" s="142" t="e">
        <f t="shared" ca="1" si="1"/>
        <v>#REF!</v>
      </c>
      <c r="M17" s="142" t="e">
        <f t="shared" ca="1" si="1"/>
        <v>#REF!</v>
      </c>
      <c r="N17" s="142" t="e">
        <f t="shared" ca="1" si="2"/>
        <v>#REF!</v>
      </c>
      <c r="O17" s="142" t="e">
        <f t="shared" ca="1" si="2"/>
        <v>#REF!</v>
      </c>
      <c r="P17" s="142" t="e">
        <f t="shared" ca="1" si="2"/>
        <v>#REF!</v>
      </c>
      <c r="Q17" s="142" t="e">
        <f t="shared" ca="1" si="2"/>
        <v>#REF!</v>
      </c>
      <c r="R17" s="142" t="e">
        <f t="shared" ca="1" si="2"/>
        <v>#REF!</v>
      </c>
      <c r="S17" s="142" t="e">
        <f t="shared" ca="1" si="2"/>
        <v>#REF!</v>
      </c>
      <c r="T17" s="142" t="e">
        <f t="shared" ca="1" si="2"/>
        <v>#REF!</v>
      </c>
      <c r="U17" s="142" t="e">
        <f t="shared" ca="1" si="2"/>
        <v>#REF!</v>
      </c>
      <c r="V17" s="142" t="e">
        <f t="shared" ca="1" si="2"/>
        <v>#REF!</v>
      </c>
      <c r="W17" s="142" t="e">
        <f t="shared" ca="1" si="2"/>
        <v>#REF!</v>
      </c>
      <c r="X17" s="176" t="e">
        <f t="shared" ca="1" si="2"/>
        <v>#REF!</v>
      </c>
      <c r="Y17" s="204" t="e">
        <f t="shared" ca="1" si="7"/>
        <v>#REF!</v>
      </c>
      <c r="Z17" s="125" t="e">
        <f t="shared" ca="1" si="6"/>
        <v>#REF!</v>
      </c>
      <c r="AA17" s="131"/>
      <c r="AB17" s="201" t="e">
        <f t="shared" si="4"/>
        <v>#REF!</v>
      </c>
      <c r="AC17" s="132" t="e">
        <f>IF(AB17&lt;&gt;"",HLOOKUP(AB17,originaliteit!$B$1:$M$49,48,0),"")</f>
        <v>#REF!</v>
      </c>
      <c r="AD17" s="132" t="e">
        <f>IF(AC17&lt;&gt;"",HLOOKUP(AC17,originaliteit!$B$1:$M$49,41,0),"")</f>
        <v>#REF!</v>
      </c>
    </row>
    <row r="18" spans="1:50" ht="13.5" hidden="1" customHeight="1">
      <c r="A18" s="125">
        <v>16</v>
      </c>
      <c r="B18" s="129" t="e">
        <f t="shared" ca="1" si="0"/>
        <v>#REF!</v>
      </c>
      <c r="C18" s="142" t="e">
        <f t="shared" ca="1" si="5"/>
        <v>#REF!</v>
      </c>
      <c r="D18" s="142" t="e">
        <f t="shared" ca="1" si="1"/>
        <v>#REF!</v>
      </c>
      <c r="E18" s="142" t="e">
        <f t="shared" ca="1" si="1"/>
        <v>#REF!</v>
      </c>
      <c r="F18" s="142" t="e">
        <f t="shared" ca="1" si="1"/>
        <v>#REF!</v>
      </c>
      <c r="G18" s="142" t="e">
        <f t="shared" ca="1" si="1"/>
        <v>#REF!</v>
      </c>
      <c r="H18" s="142" t="e">
        <f t="shared" ca="1" si="1"/>
        <v>#REF!</v>
      </c>
      <c r="I18" s="142" t="e">
        <f t="shared" ca="1" si="1"/>
        <v>#REF!</v>
      </c>
      <c r="J18" s="142" t="e">
        <f t="shared" ca="1" si="1"/>
        <v>#REF!</v>
      </c>
      <c r="K18" s="142" t="e">
        <f t="shared" ca="1" si="1"/>
        <v>#REF!</v>
      </c>
      <c r="L18" s="142" t="e">
        <f t="shared" ca="1" si="1"/>
        <v>#REF!</v>
      </c>
      <c r="M18" s="142" t="e">
        <f t="shared" ca="1" si="1"/>
        <v>#REF!</v>
      </c>
      <c r="N18" s="142" t="e">
        <f t="shared" ca="1" si="2"/>
        <v>#REF!</v>
      </c>
      <c r="O18" s="142" t="e">
        <f t="shared" ca="1" si="2"/>
        <v>#REF!</v>
      </c>
      <c r="P18" s="142" t="e">
        <f t="shared" ca="1" si="2"/>
        <v>#REF!</v>
      </c>
      <c r="Q18" s="142" t="e">
        <f t="shared" ca="1" si="2"/>
        <v>#REF!</v>
      </c>
      <c r="R18" s="142" t="e">
        <f t="shared" ca="1" si="2"/>
        <v>#REF!</v>
      </c>
      <c r="S18" s="142" t="e">
        <f t="shared" ca="1" si="2"/>
        <v>#REF!</v>
      </c>
      <c r="T18" s="142" t="e">
        <f t="shared" ca="1" si="2"/>
        <v>#REF!</v>
      </c>
      <c r="U18" s="142" t="e">
        <f t="shared" ca="1" si="2"/>
        <v>#REF!</v>
      </c>
      <c r="V18" s="142" t="e">
        <f t="shared" ca="1" si="2"/>
        <v>#REF!</v>
      </c>
      <c r="W18" s="142" t="e">
        <f t="shared" ca="1" si="2"/>
        <v>#REF!</v>
      </c>
      <c r="X18" s="176" t="e">
        <f t="shared" ca="1" si="2"/>
        <v>#REF!</v>
      </c>
      <c r="Y18" s="204" t="e">
        <f t="shared" ca="1" si="7"/>
        <v>#REF!</v>
      </c>
      <c r="Z18" s="125" t="e">
        <f t="shared" ca="1" si="6"/>
        <v>#REF!</v>
      </c>
      <c r="AA18" s="131"/>
      <c r="AB18" s="201" t="e">
        <f t="shared" si="4"/>
        <v>#REF!</v>
      </c>
      <c r="AC18" s="132" t="e">
        <f>IF(AB18&lt;&gt;"",HLOOKUP(AB18,originaliteit!$B$1:$M$49,48,0),"")</f>
        <v>#REF!</v>
      </c>
      <c r="AD18" s="132" t="e">
        <f>IF(AC18&lt;&gt;"",HLOOKUP(AC18,originaliteit!$B$1:$M$49,41,0),"")</f>
        <v>#REF!</v>
      </c>
    </row>
    <row r="19" spans="1:50" ht="13.5" hidden="1" customHeight="1">
      <c r="A19" s="125">
        <v>17</v>
      </c>
      <c r="B19" s="129" t="e">
        <f t="shared" ca="1" si="0"/>
        <v>#REF!</v>
      </c>
      <c r="C19" s="142" t="e">
        <f t="shared" ca="1" si="5"/>
        <v>#REF!</v>
      </c>
      <c r="D19" s="142" t="e">
        <f t="shared" ref="D19:X19" ca="1" si="8">INDIRECT($AB19&amp;"!"&amp;D$1&amp;"22")</f>
        <v>#REF!</v>
      </c>
      <c r="E19" s="142" t="e">
        <f t="shared" ca="1" si="8"/>
        <v>#REF!</v>
      </c>
      <c r="F19" s="142" t="e">
        <f t="shared" ca="1" si="8"/>
        <v>#REF!</v>
      </c>
      <c r="G19" s="142" t="e">
        <f t="shared" ca="1" si="8"/>
        <v>#REF!</v>
      </c>
      <c r="H19" s="142" t="e">
        <f t="shared" ca="1" si="8"/>
        <v>#REF!</v>
      </c>
      <c r="I19" s="142" t="e">
        <f t="shared" ca="1" si="8"/>
        <v>#REF!</v>
      </c>
      <c r="J19" s="142" t="e">
        <f t="shared" ca="1" si="8"/>
        <v>#REF!</v>
      </c>
      <c r="K19" s="142" t="e">
        <f t="shared" ca="1" si="8"/>
        <v>#REF!</v>
      </c>
      <c r="L19" s="142" t="e">
        <f t="shared" ca="1" si="8"/>
        <v>#REF!</v>
      </c>
      <c r="M19" s="142" t="e">
        <f t="shared" ca="1" si="8"/>
        <v>#REF!</v>
      </c>
      <c r="N19" s="142" t="e">
        <f t="shared" ca="1" si="8"/>
        <v>#REF!</v>
      </c>
      <c r="O19" s="142" t="e">
        <f t="shared" ca="1" si="8"/>
        <v>#REF!</v>
      </c>
      <c r="P19" s="142" t="e">
        <f t="shared" ca="1" si="8"/>
        <v>#REF!</v>
      </c>
      <c r="Q19" s="142" t="e">
        <f t="shared" ca="1" si="8"/>
        <v>#REF!</v>
      </c>
      <c r="R19" s="142" t="e">
        <f t="shared" ca="1" si="8"/>
        <v>#REF!</v>
      </c>
      <c r="S19" s="142" t="e">
        <f t="shared" ca="1" si="8"/>
        <v>#REF!</v>
      </c>
      <c r="T19" s="142" t="e">
        <f t="shared" ca="1" si="8"/>
        <v>#REF!</v>
      </c>
      <c r="U19" s="142" t="e">
        <f t="shared" ca="1" si="8"/>
        <v>#REF!</v>
      </c>
      <c r="V19" s="142" t="e">
        <f t="shared" ca="1" si="8"/>
        <v>#REF!</v>
      </c>
      <c r="W19" s="142" t="e">
        <f t="shared" ca="1" si="8"/>
        <v>#REF!</v>
      </c>
      <c r="X19" s="176" t="e">
        <f t="shared" ca="1" si="8"/>
        <v>#REF!</v>
      </c>
      <c r="Y19" s="204" t="e">
        <f t="shared" ca="1" si="7"/>
        <v>#REF!</v>
      </c>
      <c r="Z19" s="125" t="e">
        <f t="shared" ca="1" si="6"/>
        <v>#REF!</v>
      </c>
      <c r="AB19" s="201" t="e">
        <f t="shared" si="4"/>
        <v>#REF!</v>
      </c>
      <c r="AC19" s="132" t="e">
        <f>IF(AB19&lt;&gt;"",HLOOKUP(AB19,originaliteit!$B$1:$M$49,48,0),"")</f>
        <v>#REF!</v>
      </c>
    </row>
    <row r="20" spans="1:50" ht="12" customHeight="1">
      <c r="B20" s="134" t="s">
        <v>6</v>
      </c>
      <c r="AB20" s="134" t="s">
        <v>8</v>
      </c>
    </row>
    <row r="21" spans="1:50" s="126" customFormat="1" ht="12" customHeight="1" thickBot="1">
      <c r="C21" s="128">
        <f>C2</f>
        <v>1</v>
      </c>
      <c r="D21" s="128">
        <f t="shared" ref="D21" si="9">D2</f>
        <v>2</v>
      </c>
      <c r="E21" s="128">
        <f t="shared" ref="E21:X21" si="10">E2</f>
        <v>3</v>
      </c>
      <c r="F21" s="128">
        <f t="shared" si="10"/>
        <v>4</v>
      </c>
      <c r="G21" s="128">
        <f t="shared" si="10"/>
        <v>5</v>
      </c>
      <c r="H21" s="128">
        <f t="shared" si="10"/>
        <v>6</v>
      </c>
      <c r="I21" s="128">
        <f t="shared" si="10"/>
        <v>7</v>
      </c>
      <c r="J21" s="128">
        <f t="shared" si="10"/>
        <v>8</v>
      </c>
      <c r="K21" s="128">
        <f t="shared" si="10"/>
        <v>9</v>
      </c>
      <c r="L21" s="128">
        <f t="shared" si="10"/>
        <v>10</v>
      </c>
      <c r="M21" s="128">
        <f t="shared" si="10"/>
        <v>11</v>
      </c>
      <c r="N21" s="128">
        <f t="shared" si="10"/>
        <v>12</v>
      </c>
      <c r="O21" s="128">
        <f t="shared" si="10"/>
        <v>13</v>
      </c>
      <c r="P21" s="128">
        <f t="shared" si="10"/>
        <v>14</v>
      </c>
      <c r="Q21" s="128">
        <f t="shared" si="10"/>
        <v>15</v>
      </c>
      <c r="R21" s="128">
        <f t="shared" si="10"/>
        <v>16</v>
      </c>
      <c r="S21" s="128">
        <f t="shared" si="10"/>
        <v>17</v>
      </c>
      <c r="T21" s="128">
        <f t="shared" si="10"/>
        <v>18</v>
      </c>
      <c r="U21" s="128">
        <f t="shared" si="10"/>
        <v>19</v>
      </c>
      <c r="V21" s="128">
        <f t="shared" si="10"/>
        <v>20</v>
      </c>
      <c r="W21" s="128">
        <f t="shared" si="10"/>
        <v>21</v>
      </c>
      <c r="X21" s="174" t="str">
        <f t="shared" si="10"/>
        <v>B</v>
      </c>
      <c r="AC21" s="128">
        <f>C21</f>
        <v>1</v>
      </c>
      <c r="AD21" s="128">
        <f>D21</f>
        <v>2</v>
      </c>
      <c r="AE21" s="128">
        <f t="shared" ref="AE21:AX21" si="11">E21</f>
        <v>3</v>
      </c>
      <c r="AF21" s="128">
        <f t="shared" si="11"/>
        <v>4</v>
      </c>
      <c r="AG21" s="128">
        <f t="shared" si="11"/>
        <v>5</v>
      </c>
      <c r="AH21" s="128">
        <f t="shared" si="11"/>
        <v>6</v>
      </c>
      <c r="AI21" s="128">
        <f t="shared" si="11"/>
        <v>7</v>
      </c>
      <c r="AJ21" s="128">
        <f t="shared" si="11"/>
        <v>8</v>
      </c>
      <c r="AK21" s="128">
        <f t="shared" si="11"/>
        <v>9</v>
      </c>
      <c r="AL21" s="128">
        <f t="shared" si="11"/>
        <v>10</v>
      </c>
      <c r="AM21" s="128">
        <f t="shared" si="11"/>
        <v>11</v>
      </c>
      <c r="AN21" s="128">
        <f t="shared" si="11"/>
        <v>12</v>
      </c>
      <c r="AO21" s="128">
        <f t="shared" si="11"/>
        <v>13</v>
      </c>
      <c r="AP21" s="128">
        <f t="shared" si="11"/>
        <v>14</v>
      </c>
      <c r="AQ21" s="128">
        <f t="shared" si="11"/>
        <v>15</v>
      </c>
      <c r="AR21" s="128">
        <f t="shared" si="11"/>
        <v>16</v>
      </c>
      <c r="AS21" s="128">
        <f t="shared" si="11"/>
        <v>17</v>
      </c>
      <c r="AT21" s="128">
        <f t="shared" si="11"/>
        <v>18</v>
      </c>
      <c r="AU21" s="128">
        <f t="shared" si="11"/>
        <v>19</v>
      </c>
      <c r="AV21" s="128">
        <f t="shared" si="11"/>
        <v>20</v>
      </c>
      <c r="AW21" s="128">
        <f t="shared" si="11"/>
        <v>21</v>
      </c>
      <c r="AX21" s="128" t="str">
        <f t="shared" si="11"/>
        <v>B</v>
      </c>
    </row>
    <row r="22" spans="1:50" ht="12" customHeight="1">
      <c r="A22" s="129"/>
      <c r="B22" s="135" t="str">
        <f ca="1">B3</f>
        <v>Tour de Kruiskamp</v>
      </c>
      <c r="C22" s="142">
        <f t="shared" ref="C22:C32" ca="1" si="12">C3+RAND()/10</f>
        <v>50.164953830301997</v>
      </c>
      <c r="D22" s="142">
        <f t="shared" ref="D22:D32" ca="1" si="13">IF(D3=0,,D3+C22)</f>
        <v>118.164953830302</v>
      </c>
      <c r="E22" s="142">
        <f t="shared" ref="E22:E32" ca="1" si="14">IF(E3=0,,E3+D22)</f>
        <v>193.16495383030201</v>
      </c>
      <c r="F22" s="142">
        <f t="shared" ref="F22:F32" ca="1" si="15">IF(F3=0,,F3+E22)</f>
        <v>193.26495383030201</v>
      </c>
      <c r="G22" s="142">
        <f t="shared" ref="G22:G32" ca="1" si="16">IF(G3=0,,G3+F22)</f>
        <v>346.26495383030203</v>
      </c>
      <c r="H22" s="142">
        <f t="shared" ref="H22:H32" ca="1" si="17">IF(H3=0,,H3+G22)</f>
        <v>539.26495383030203</v>
      </c>
      <c r="I22" s="142">
        <f t="shared" ref="I22:I32" ca="1" si="18">IF(I3=0,,I3+H22)</f>
        <v>647.26495383030203</v>
      </c>
      <c r="J22" s="142">
        <f t="shared" ref="J22:J32" ca="1" si="19">IF(J3=0,,J3+I22)</f>
        <v>847.26495383030203</v>
      </c>
      <c r="K22" s="142">
        <f t="shared" ref="K22:K32" ca="1" si="20">IF(K3=0,,K3+J22)</f>
        <v>992.26495383030203</v>
      </c>
      <c r="L22" s="142">
        <f t="shared" ref="L22:L32" ca="1" si="21">IF(L3=0,,L3+K22)</f>
        <v>1175.2649538303021</v>
      </c>
      <c r="M22" s="142">
        <f t="shared" ref="M22:M32" ca="1" si="22">IF(M3=0,,M3+L22)</f>
        <v>1349.2649538303021</v>
      </c>
      <c r="N22" s="142">
        <f t="shared" ref="N22:N32" ca="1" si="23">IF(N3=0,,N3+M22)</f>
        <v>1527.2649538303021</v>
      </c>
      <c r="O22" s="142">
        <f t="shared" ref="O22:O32" ca="1" si="24">IF(O3=0,,O3+N22)</f>
        <v>1673.2649538303021</v>
      </c>
      <c r="P22" s="142">
        <f t="shared" ref="P22:P32" ca="1" si="25">IF(P3=0,,P3+O22)</f>
        <v>1728.2649538303021</v>
      </c>
      <c r="Q22" s="142">
        <f t="shared" ref="Q22:Q32" ca="1" si="26">IF(Q3=0,,Q3+P22)</f>
        <v>1910.2649538303021</v>
      </c>
      <c r="R22" s="142">
        <f t="shared" ref="R22:R32" ca="1" si="27">IF(R3=0,,R3+Q22)</f>
        <v>1968.2649538303021</v>
      </c>
      <c r="S22" s="142">
        <f t="shared" ref="S22:S32" ca="1" si="28">IF(S3=0,,S3+R22)</f>
        <v>2171.2649538303021</v>
      </c>
      <c r="T22" s="142">
        <f t="shared" ref="T22:T32" ca="1" si="29">IF(T3=0,,T3+S22)</f>
        <v>2376.2649538303021</v>
      </c>
      <c r="U22" s="142">
        <f t="shared" ref="U22:U32" ca="1" si="30">IF(U3=0,,U3+T22)</f>
        <v>2440.2649538303021</v>
      </c>
      <c r="V22" s="142">
        <f t="shared" ref="V22:V32" ca="1" si="31">IF(V3=0,,V3+U22)</f>
        <v>2658.2649538303021</v>
      </c>
      <c r="W22" s="142">
        <f t="shared" ref="W22:W32" ca="1" si="32">IF(W3=0,,W3+V22)</f>
        <v>2849.2649538303021</v>
      </c>
      <c r="X22" s="142">
        <f t="shared" ref="X22:X32" ca="1" si="33">IF(X3=0,,X3+W22)</f>
        <v>3174.2649538303021</v>
      </c>
      <c r="Z22" s="126"/>
      <c r="AB22" s="136" t="str">
        <f t="shared" ref="AB22:AB32" ca="1" si="34">B22</f>
        <v>Tour de Kruiskamp</v>
      </c>
      <c r="AC22" s="137">
        <f t="shared" ref="AC22:AC30" ca="1" si="35">C22-AC$33</f>
        <v>-18.562690508049059</v>
      </c>
      <c r="AD22" s="137">
        <f ca="1">IF(D22&gt;0,D22-AD$33,"")</f>
        <v>-16.380872326230886</v>
      </c>
      <c r="AE22" s="137">
        <f t="shared" ref="AE22:AX32" ca="1" si="36">IF(E22&gt;0,E22-AE$33,"")</f>
        <v>-19.835417780776368</v>
      </c>
      <c r="AF22" s="137">
        <f t="shared" ca="1" si="36"/>
        <v>-19.835417780776368</v>
      </c>
      <c r="AG22" s="137">
        <f t="shared" ca="1" si="36"/>
        <v>-22.289963235321807</v>
      </c>
      <c r="AH22" s="137">
        <f t="shared" ca="1" si="36"/>
        <v>-24.562690508048945</v>
      </c>
      <c r="AI22" s="137">
        <f t="shared" ca="1" si="36"/>
        <v>-14.562690508048945</v>
      </c>
      <c r="AJ22" s="137">
        <f t="shared" ca="1" si="36"/>
        <v>8.2554913101328111</v>
      </c>
      <c r="AK22" s="137">
        <f t="shared" ca="1" si="36"/>
        <v>23.164582219223689</v>
      </c>
      <c r="AL22" s="137">
        <f t="shared" ca="1" si="36"/>
        <v>20.346400401042047</v>
      </c>
      <c r="AM22" s="137">
        <f t="shared" ca="1" si="36"/>
        <v>29.164582219223803</v>
      </c>
      <c r="AN22" s="137">
        <f t="shared" ca="1" si="36"/>
        <v>30.437309491951055</v>
      </c>
      <c r="AO22" s="137">
        <f t="shared" ca="1" si="36"/>
        <v>22.800945855587315</v>
      </c>
      <c r="AP22" s="137">
        <f t="shared" ca="1" si="36"/>
        <v>14.528218582860063</v>
      </c>
      <c r="AQ22" s="137">
        <f t="shared" ca="1" si="36"/>
        <v>37.255491310132811</v>
      </c>
      <c r="AR22" s="137">
        <f t="shared" ca="1" si="36"/>
        <v>36.891854946496551</v>
      </c>
      <c r="AS22" s="137">
        <f t="shared" ca="1" si="36"/>
        <v>56.982764037405559</v>
      </c>
      <c r="AT22" s="137">
        <f t="shared" ca="1" si="36"/>
        <v>96.164582219223576</v>
      </c>
      <c r="AU22" s="137">
        <f t="shared" ca="1" si="36"/>
        <v>91.346400401042047</v>
      </c>
      <c r="AV22" s="137">
        <f t="shared" ca="1" si="36"/>
        <v>128.34640040104205</v>
      </c>
      <c r="AW22" s="137">
        <f t="shared" ca="1" si="36"/>
        <v>131.34640040104205</v>
      </c>
      <c r="AX22" s="137">
        <f t="shared" ca="1" si="36"/>
        <v>172.80094585558754</v>
      </c>
    </row>
    <row r="23" spans="1:50" ht="12" customHeight="1">
      <c r="A23" s="129"/>
      <c r="B23" s="135" t="str">
        <f t="shared" ref="B23:B32" ca="1" si="37">B4</f>
        <v>Special Victims Unit</v>
      </c>
      <c r="C23" s="142">
        <f t="shared" ca="1" si="12"/>
        <v>50.087358482524628</v>
      </c>
      <c r="D23" s="142">
        <f t="shared" ca="1" si="13"/>
        <v>123.08735848252462</v>
      </c>
      <c r="E23" s="142">
        <f t="shared" ca="1" si="14"/>
        <v>203.08735848252462</v>
      </c>
      <c r="F23" s="142">
        <f t="shared" ca="1" si="15"/>
        <v>203.18735848252462</v>
      </c>
      <c r="G23" s="142">
        <f t="shared" ca="1" si="16"/>
        <v>361.18735848252459</v>
      </c>
      <c r="H23" s="142">
        <f t="shared" ca="1" si="17"/>
        <v>559.18735848252459</v>
      </c>
      <c r="I23" s="142">
        <f t="shared" ca="1" si="18"/>
        <v>671.18735848252459</v>
      </c>
      <c r="J23" s="142">
        <f t="shared" ca="1" si="19"/>
        <v>853.18735848252459</v>
      </c>
      <c r="K23" s="142">
        <f t="shared" ca="1" si="20"/>
        <v>985.18735848252459</v>
      </c>
      <c r="L23" s="142">
        <f t="shared" ca="1" si="21"/>
        <v>1167.1873584825246</v>
      </c>
      <c r="M23" s="142">
        <f t="shared" ca="1" si="22"/>
        <v>1306.1873584825246</v>
      </c>
      <c r="N23" s="142">
        <f t="shared" ca="1" si="23"/>
        <v>1475.1873584825246</v>
      </c>
      <c r="O23" s="142">
        <f t="shared" ca="1" si="24"/>
        <v>1621.1873584825246</v>
      </c>
      <c r="P23" s="142">
        <f t="shared" ca="1" si="25"/>
        <v>1676.1873584825246</v>
      </c>
      <c r="Q23" s="142">
        <f t="shared" ca="1" si="26"/>
        <v>1821.1873584825246</v>
      </c>
      <c r="R23" s="142">
        <f t="shared" ca="1" si="27"/>
        <v>1864.1873584825246</v>
      </c>
      <c r="S23" s="142">
        <f t="shared" ca="1" si="28"/>
        <v>2071.1873584825244</v>
      </c>
      <c r="T23" s="142">
        <f t="shared" ca="1" si="29"/>
        <v>2242.1873584825244</v>
      </c>
      <c r="U23" s="142">
        <f t="shared" ca="1" si="30"/>
        <v>2310.1873584825244</v>
      </c>
      <c r="V23" s="142">
        <f t="shared" ca="1" si="31"/>
        <v>2482.1873584825244</v>
      </c>
      <c r="W23" s="142">
        <f t="shared" ca="1" si="32"/>
        <v>2662.1873584825244</v>
      </c>
      <c r="X23" s="142">
        <f t="shared" ca="1" si="33"/>
        <v>2922.1873584825244</v>
      </c>
      <c r="Z23" s="126"/>
      <c r="AB23" s="136" t="str">
        <f ca="1">B23</f>
        <v>Special Victims Unit</v>
      </c>
      <c r="AC23" s="137">
        <f t="shared" ca="1" si="35"/>
        <v>-18.640285855826427</v>
      </c>
      <c r="AD23" s="137">
        <f t="shared" ref="AD23:AD32" ca="1" si="38">IF(D23&gt;0,D23-AD$33,"")</f>
        <v>-11.458467674008261</v>
      </c>
      <c r="AE23" s="137">
        <f t="shared" ca="1" si="36"/>
        <v>-9.9130131285537573</v>
      </c>
      <c r="AF23" s="137">
        <f t="shared" ca="1" si="36"/>
        <v>-9.9130131285537573</v>
      </c>
      <c r="AG23" s="137">
        <f t="shared" ca="1" si="36"/>
        <v>-7.3675585830992532</v>
      </c>
      <c r="AH23" s="137">
        <f t="shared" ca="1" si="36"/>
        <v>-4.6402858558263915</v>
      </c>
      <c r="AI23" s="137">
        <f t="shared" ca="1" si="36"/>
        <v>9.3597141441736085</v>
      </c>
      <c r="AJ23" s="137">
        <f t="shared" ca="1" si="36"/>
        <v>14.177895962355365</v>
      </c>
      <c r="AK23" s="137">
        <f t="shared" ca="1" si="36"/>
        <v>16.086986871446243</v>
      </c>
      <c r="AL23" s="137">
        <f t="shared" ca="1" si="36"/>
        <v>12.268805053264487</v>
      </c>
      <c r="AM23" s="137">
        <f t="shared" ca="1" si="36"/>
        <v>-13.913013128553757</v>
      </c>
      <c r="AN23" s="137">
        <f t="shared" ca="1" si="36"/>
        <v>-21.640285855826505</v>
      </c>
      <c r="AO23" s="137">
        <f t="shared" ca="1" si="36"/>
        <v>-29.276649492190245</v>
      </c>
      <c r="AP23" s="137">
        <f t="shared" ca="1" si="36"/>
        <v>-37.549376764917497</v>
      </c>
      <c r="AQ23" s="137">
        <f t="shared" ca="1" si="36"/>
        <v>-51.822104037644749</v>
      </c>
      <c r="AR23" s="137">
        <f t="shared" ca="1" si="36"/>
        <v>-67.185740401281009</v>
      </c>
      <c r="AS23" s="137">
        <f t="shared" ca="1" si="36"/>
        <v>-43.094831310372228</v>
      </c>
      <c r="AT23" s="137">
        <f t="shared" ca="1" si="36"/>
        <v>-37.913013128554212</v>
      </c>
      <c r="AU23" s="137">
        <f t="shared" ca="1" si="36"/>
        <v>-38.731194946735741</v>
      </c>
      <c r="AV23" s="137">
        <f t="shared" ca="1" si="36"/>
        <v>-47.731194946735741</v>
      </c>
      <c r="AW23" s="137">
        <f t="shared" ca="1" si="36"/>
        <v>-55.731194946735741</v>
      </c>
      <c r="AX23" s="137">
        <f t="shared" ca="1" si="36"/>
        <v>-79.276649492190245</v>
      </c>
    </row>
    <row r="24" spans="1:50" ht="12" customHeight="1">
      <c r="A24" s="129"/>
      <c r="B24" s="135" t="str">
        <f t="shared" ca="1" si="37"/>
        <v>For Sale</v>
      </c>
      <c r="C24" s="142">
        <f t="shared" ca="1" si="12"/>
        <v>93.029733110495442</v>
      </c>
      <c r="D24" s="142">
        <f t="shared" ca="1" si="13"/>
        <v>141.02973311049544</v>
      </c>
      <c r="E24" s="142">
        <f t="shared" ca="1" si="14"/>
        <v>203.02973311049544</v>
      </c>
      <c r="F24" s="142">
        <f t="shared" ca="1" si="15"/>
        <v>203.12973311049544</v>
      </c>
      <c r="G24" s="142">
        <f t="shared" ca="1" si="16"/>
        <v>348.12973311049541</v>
      </c>
      <c r="H24" s="142">
        <f t="shared" ca="1" si="17"/>
        <v>545.12973311049541</v>
      </c>
      <c r="I24" s="142">
        <f t="shared" ca="1" si="18"/>
        <v>626.12973311049541</v>
      </c>
      <c r="J24" s="142">
        <f t="shared" ca="1" si="19"/>
        <v>809.12973311049541</v>
      </c>
      <c r="K24" s="142">
        <f t="shared" ca="1" si="20"/>
        <v>943.12973311049541</v>
      </c>
      <c r="L24" s="142">
        <f t="shared" ca="1" si="21"/>
        <v>1146.1297331104954</v>
      </c>
      <c r="M24" s="142">
        <f t="shared" ca="1" si="22"/>
        <v>1321.1297331104954</v>
      </c>
      <c r="N24" s="142">
        <f t="shared" ca="1" si="23"/>
        <v>1515.1297331104954</v>
      </c>
      <c r="O24" s="142">
        <f t="shared" ca="1" si="24"/>
        <v>1662.1297331104954</v>
      </c>
      <c r="P24" s="142">
        <f t="shared" ca="1" si="25"/>
        <v>1708.1297331104954</v>
      </c>
      <c r="Q24" s="142">
        <f t="shared" ca="1" si="26"/>
        <v>1854.1297331104954</v>
      </c>
      <c r="R24" s="142">
        <f t="shared" ca="1" si="27"/>
        <v>1898.1297331104954</v>
      </c>
      <c r="S24" s="142">
        <f t="shared" ca="1" si="28"/>
        <v>2058.1297331104952</v>
      </c>
      <c r="T24" s="142">
        <f t="shared" ca="1" si="29"/>
        <v>2204.1297331104952</v>
      </c>
      <c r="U24" s="142">
        <f t="shared" ca="1" si="30"/>
        <v>2273.1297331104952</v>
      </c>
      <c r="V24" s="142">
        <f t="shared" ca="1" si="31"/>
        <v>2446.1297331104952</v>
      </c>
      <c r="W24" s="142">
        <f t="shared" ca="1" si="32"/>
        <v>2647.1297331104952</v>
      </c>
      <c r="X24" s="142">
        <f t="shared" ca="1" si="33"/>
        <v>2908.1297331104952</v>
      </c>
      <c r="Z24" s="126"/>
      <c r="AB24" s="136" t="str">
        <f t="shared" ca="1" si="34"/>
        <v>For Sale</v>
      </c>
      <c r="AC24" s="137">
        <f t="shared" ca="1" si="35"/>
        <v>24.302088772144387</v>
      </c>
      <c r="AD24" s="137">
        <f t="shared" ca="1" si="38"/>
        <v>6.4839069539625598</v>
      </c>
      <c r="AE24" s="137">
        <f t="shared" ca="1" si="36"/>
        <v>-9.9706385005829361</v>
      </c>
      <c r="AF24" s="137">
        <f t="shared" ca="1" si="36"/>
        <v>-9.9706385005829361</v>
      </c>
      <c r="AG24" s="137">
        <f t="shared" ca="1" si="36"/>
        <v>-20.425183955128432</v>
      </c>
      <c r="AH24" s="137">
        <f t="shared" ca="1" si="36"/>
        <v>-18.69791122785557</v>
      </c>
      <c r="AI24" s="137">
        <f t="shared" ca="1" si="36"/>
        <v>-35.69791122785557</v>
      </c>
      <c r="AJ24" s="137">
        <f t="shared" ca="1" si="36"/>
        <v>-29.879729409673814</v>
      </c>
      <c r="AK24" s="137">
        <f t="shared" ca="1" si="36"/>
        <v>-25.970638500582936</v>
      </c>
      <c r="AL24" s="137">
        <f t="shared" ca="1" si="36"/>
        <v>-8.7888203187646923</v>
      </c>
      <c r="AM24" s="137">
        <f t="shared" ca="1" si="36"/>
        <v>1.0293614994170639</v>
      </c>
      <c r="AN24" s="137">
        <f t="shared" ca="1" si="36"/>
        <v>18.302088772144316</v>
      </c>
      <c r="AO24" s="137">
        <f t="shared" ca="1" si="36"/>
        <v>11.665725135780576</v>
      </c>
      <c r="AP24" s="137">
        <f t="shared" ca="1" si="36"/>
        <v>-5.6070021369466758</v>
      </c>
      <c r="AQ24" s="137">
        <f t="shared" ca="1" si="36"/>
        <v>-18.879729409673928</v>
      </c>
      <c r="AR24" s="137">
        <f t="shared" ca="1" si="36"/>
        <v>-33.243365773310188</v>
      </c>
      <c r="AS24" s="137">
        <f t="shared" ca="1" si="36"/>
        <v>-56.152456682401407</v>
      </c>
      <c r="AT24" s="137">
        <f t="shared" ca="1" si="36"/>
        <v>-75.970638500583391</v>
      </c>
      <c r="AU24" s="137">
        <f t="shared" ca="1" si="36"/>
        <v>-75.78882031876492</v>
      </c>
      <c r="AV24" s="137">
        <f t="shared" ca="1" si="36"/>
        <v>-83.78882031876492</v>
      </c>
      <c r="AW24" s="137">
        <f t="shared" ca="1" si="36"/>
        <v>-70.78882031876492</v>
      </c>
      <c r="AX24" s="137">
        <f t="shared" ca="1" si="36"/>
        <v>-93.334274864219424</v>
      </c>
    </row>
    <row r="25" spans="1:50" ht="12" customHeight="1">
      <c r="A25" s="129"/>
      <c r="B25" s="135" t="str">
        <f t="shared" ca="1" si="37"/>
        <v>Am Selfkant</v>
      </c>
      <c r="C25" s="142">
        <f t="shared" ca="1" si="12"/>
        <v>93.103533312042856</v>
      </c>
      <c r="D25" s="142">
        <f t="shared" ca="1" si="13"/>
        <v>163.10353331204286</v>
      </c>
      <c r="E25" s="142">
        <f t="shared" ca="1" si="14"/>
        <v>226.10353331204286</v>
      </c>
      <c r="F25" s="142">
        <f t="shared" ca="1" si="15"/>
        <v>226.20353331204285</v>
      </c>
      <c r="G25" s="142">
        <f t="shared" ca="1" si="16"/>
        <v>402.20353331204285</v>
      </c>
      <c r="H25" s="142">
        <f t="shared" ca="1" si="17"/>
        <v>608.20353331204285</v>
      </c>
      <c r="I25" s="142">
        <f t="shared" ca="1" si="18"/>
        <v>716.20353331204285</v>
      </c>
      <c r="J25" s="278">
        <f t="shared" ca="1" si="19"/>
        <v>928.20353331204285</v>
      </c>
      <c r="K25" s="278">
        <f t="shared" ca="1" si="20"/>
        <v>1050.203533312043</v>
      </c>
      <c r="L25" s="278">
        <f t="shared" ca="1" si="21"/>
        <v>1254.203533312043</v>
      </c>
      <c r="M25" s="278">
        <f t="shared" ca="1" si="22"/>
        <v>1443.203533312043</v>
      </c>
      <c r="N25" s="278">
        <f t="shared" ca="1" si="23"/>
        <v>1640.203533312043</v>
      </c>
      <c r="O25" s="278">
        <f t="shared" ca="1" si="24"/>
        <v>1787.203533312043</v>
      </c>
      <c r="P25" s="278">
        <f t="shared" ca="1" si="25"/>
        <v>1859.203533312043</v>
      </c>
      <c r="Q25" s="278">
        <f t="shared" ca="1" si="26"/>
        <v>2042.203533312043</v>
      </c>
      <c r="R25" s="278">
        <f t="shared" ca="1" si="27"/>
        <v>2101.203533312043</v>
      </c>
      <c r="S25" s="278">
        <f t="shared" ca="1" si="28"/>
        <v>2306.203533312043</v>
      </c>
      <c r="T25" s="278">
        <f t="shared" ca="1" si="29"/>
        <v>2493.203533312043</v>
      </c>
      <c r="U25" s="278">
        <f t="shared" ca="1" si="30"/>
        <v>2558.203533312043</v>
      </c>
      <c r="V25" s="278">
        <f t="shared" ca="1" si="31"/>
        <v>2798.203533312043</v>
      </c>
      <c r="W25" s="278">
        <f t="shared" ca="1" si="32"/>
        <v>3011.203533312043</v>
      </c>
      <c r="X25" s="278">
        <f t="shared" ca="1" si="33"/>
        <v>3369.203533312043</v>
      </c>
      <c r="Z25" s="126"/>
      <c r="AB25" s="136" t="str">
        <f t="shared" ca="1" si="34"/>
        <v>Am Selfkant</v>
      </c>
      <c r="AC25" s="137">
        <f t="shared" ca="1" si="35"/>
        <v>24.375888973691801</v>
      </c>
      <c r="AD25" s="137">
        <f t="shared" ca="1" si="38"/>
        <v>28.557707155509974</v>
      </c>
      <c r="AE25" s="137">
        <f t="shared" ca="1" si="36"/>
        <v>13.103161700964478</v>
      </c>
      <c r="AF25" s="137">
        <f t="shared" ca="1" si="36"/>
        <v>13.103161700964478</v>
      </c>
      <c r="AG25" s="137">
        <f t="shared" ca="1" si="36"/>
        <v>33.64861624641901</v>
      </c>
      <c r="AH25" s="137">
        <f t="shared" ca="1" si="36"/>
        <v>44.375888973691872</v>
      </c>
      <c r="AI25" s="137">
        <f t="shared" ca="1" si="36"/>
        <v>54.375888973691872</v>
      </c>
      <c r="AJ25" s="137">
        <f t="shared" ca="1" si="36"/>
        <v>89.194070791873628</v>
      </c>
      <c r="AK25" s="137">
        <f t="shared" ca="1" si="36"/>
        <v>81.10316170096462</v>
      </c>
      <c r="AL25" s="137">
        <f t="shared" ca="1" si="36"/>
        <v>99.284979882782864</v>
      </c>
      <c r="AM25" s="137">
        <f t="shared" ca="1" si="36"/>
        <v>123.10316170096462</v>
      </c>
      <c r="AN25" s="137">
        <f t="shared" ca="1" si="36"/>
        <v>143.37588897369187</v>
      </c>
      <c r="AO25" s="137">
        <f t="shared" ca="1" si="36"/>
        <v>136.73952533732813</v>
      </c>
      <c r="AP25" s="137">
        <f t="shared" ca="1" si="36"/>
        <v>145.46679806460088</v>
      </c>
      <c r="AQ25" s="137">
        <f t="shared" ca="1" si="36"/>
        <v>169.19407079187363</v>
      </c>
      <c r="AR25" s="137">
        <f t="shared" ca="1" si="36"/>
        <v>169.83043442823737</v>
      </c>
      <c r="AS25" s="137">
        <f t="shared" ca="1" si="36"/>
        <v>191.92134351914638</v>
      </c>
      <c r="AT25" s="137">
        <f t="shared" ca="1" si="36"/>
        <v>213.10316170096439</v>
      </c>
      <c r="AU25" s="137">
        <f t="shared" ca="1" si="36"/>
        <v>209.28497988278286</v>
      </c>
      <c r="AV25" s="137">
        <f t="shared" ca="1" si="36"/>
        <v>268.28497988278286</v>
      </c>
      <c r="AW25" s="137">
        <f t="shared" ca="1" si="36"/>
        <v>293.28497988278286</v>
      </c>
      <c r="AX25" s="137">
        <f t="shared" ca="1" si="36"/>
        <v>367.73952533732836</v>
      </c>
    </row>
    <row r="26" spans="1:50" ht="12" customHeight="1">
      <c r="A26" s="129"/>
      <c r="B26" s="135" t="str">
        <f t="shared" ca="1" si="37"/>
        <v>De Lange Man</v>
      </c>
      <c r="C26" s="142">
        <f t="shared" ca="1" si="12"/>
        <v>50.139951885264423</v>
      </c>
      <c r="D26" s="142">
        <f t="shared" ca="1" si="13"/>
        <v>122.13995188526442</v>
      </c>
      <c r="E26" s="142">
        <f t="shared" ca="1" si="14"/>
        <v>187.13995188526442</v>
      </c>
      <c r="F26" s="142">
        <f t="shared" ca="1" si="15"/>
        <v>187.23995188526442</v>
      </c>
      <c r="G26" s="142">
        <f t="shared" ca="1" si="16"/>
        <v>331.23995188526442</v>
      </c>
      <c r="H26" s="142">
        <f t="shared" ca="1" si="17"/>
        <v>520.23995188526442</v>
      </c>
      <c r="I26" s="142">
        <f t="shared" ca="1" si="18"/>
        <v>602.23995188526442</v>
      </c>
      <c r="J26" s="142">
        <f t="shared" ca="1" si="19"/>
        <v>803.23995188526442</v>
      </c>
      <c r="K26" s="142">
        <f t="shared" ca="1" si="20"/>
        <v>954.23995188526442</v>
      </c>
      <c r="L26" s="142">
        <f t="shared" ca="1" si="21"/>
        <v>1141.2399518852644</v>
      </c>
      <c r="M26" s="142">
        <f t="shared" ca="1" si="22"/>
        <v>1321.2399518852644</v>
      </c>
      <c r="N26" s="142">
        <f t="shared" ca="1" si="23"/>
        <v>1489.2399518852644</v>
      </c>
      <c r="O26" s="142">
        <f t="shared" ca="1" si="24"/>
        <v>1675.2399518852644</v>
      </c>
      <c r="P26" s="142">
        <f t="shared" ca="1" si="25"/>
        <v>1744.2399518852644</v>
      </c>
      <c r="Q26" s="142">
        <f t="shared" ca="1" si="26"/>
        <v>1952.2399518852644</v>
      </c>
      <c r="R26" s="142">
        <f t="shared" ca="1" si="27"/>
        <v>2014.2399518852644</v>
      </c>
      <c r="S26" s="142">
        <f t="shared" ca="1" si="28"/>
        <v>2219.2399518852644</v>
      </c>
      <c r="T26" s="142">
        <f t="shared" ca="1" si="29"/>
        <v>2413.2399518852644</v>
      </c>
      <c r="U26" s="142">
        <f t="shared" ca="1" si="30"/>
        <v>2486.2399518852644</v>
      </c>
      <c r="V26" s="142">
        <f t="shared" ca="1" si="31"/>
        <v>2707.2399518852644</v>
      </c>
      <c r="W26" s="142">
        <f t="shared" ca="1" si="32"/>
        <v>2903.2399518852644</v>
      </c>
      <c r="X26" s="142">
        <f t="shared" ca="1" si="33"/>
        <v>3255.2399518852644</v>
      </c>
      <c r="Z26" s="126"/>
      <c r="AB26" s="136" t="str">
        <f t="shared" ca="1" si="34"/>
        <v>De Lange Man</v>
      </c>
      <c r="AC26" s="137">
        <f t="shared" ca="1" si="35"/>
        <v>-18.587692453086632</v>
      </c>
      <c r="AD26" s="137">
        <f t="shared" ca="1" si="38"/>
        <v>-12.405874271268459</v>
      </c>
      <c r="AE26" s="137">
        <f t="shared" ca="1" si="36"/>
        <v>-25.860419725813955</v>
      </c>
      <c r="AF26" s="137">
        <f t="shared" ca="1" si="36"/>
        <v>-25.860419725813955</v>
      </c>
      <c r="AG26" s="137">
        <f t="shared" ca="1" si="36"/>
        <v>-37.314965180359422</v>
      </c>
      <c r="AH26" s="137">
        <f t="shared" ca="1" si="36"/>
        <v>-43.587692453086561</v>
      </c>
      <c r="AI26" s="137">
        <f t="shared" ca="1" si="36"/>
        <v>-59.587692453086561</v>
      </c>
      <c r="AJ26" s="137">
        <f t="shared" ca="1" si="36"/>
        <v>-35.769510634904805</v>
      </c>
      <c r="AK26" s="137">
        <f t="shared" ca="1" si="36"/>
        <v>-14.860419725813927</v>
      </c>
      <c r="AL26" s="137">
        <f t="shared" ca="1" si="36"/>
        <v>-13.678601543995683</v>
      </c>
      <c r="AM26" s="137">
        <f t="shared" ca="1" si="36"/>
        <v>1.1395802741860734</v>
      </c>
      <c r="AN26" s="137">
        <f t="shared" ca="1" si="36"/>
        <v>-7.5876924530866745</v>
      </c>
      <c r="AO26" s="137">
        <f t="shared" ca="1" si="36"/>
        <v>24.775943910549586</v>
      </c>
      <c r="AP26" s="137">
        <f t="shared" ca="1" si="36"/>
        <v>30.503216637822334</v>
      </c>
      <c r="AQ26" s="137">
        <f t="shared" ca="1" si="36"/>
        <v>79.230489365095082</v>
      </c>
      <c r="AR26" s="137">
        <f t="shared" ca="1" si="36"/>
        <v>82.866853001458821</v>
      </c>
      <c r="AS26" s="137">
        <f t="shared" ca="1" si="36"/>
        <v>104.95776209236783</v>
      </c>
      <c r="AT26" s="137">
        <f t="shared" ca="1" si="36"/>
        <v>133.13958027418585</v>
      </c>
      <c r="AU26" s="137">
        <f t="shared" ca="1" si="36"/>
        <v>137.32139845600432</v>
      </c>
      <c r="AV26" s="137">
        <f t="shared" ca="1" si="36"/>
        <v>177.32139845600432</v>
      </c>
      <c r="AW26" s="137">
        <f t="shared" ca="1" si="36"/>
        <v>185.32139845600432</v>
      </c>
      <c r="AX26" s="137">
        <f t="shared" ca="1" si="36"/>
        <v>253.77594391054981</v>
      </c>
    </row>
    <row r="27" spans="1:50" ht="12" customHeight="1">
      <c r="A27" s="129"/>
      <c r="B27" s="135" t="str">
        <f t="shared" ca="1" si="37"/>
        <v>Vorwärts Kinder des Vaterlandes!</v>
      </c>
      <c r="C27" s="142">
        <f t="shared" ca="1" si="12"/>
        <v>69.033434868461072</v>
      </c>
      <c r="D27" s="142">
        <f t="shared" ca="1" si="13"/>
        <v>141.03343486846109</v>
      </c>
      <c r="E27" s="142">
        <f t="shared" ca="1" si="14"/>
        <v>232.03343486846109</v>
      </c>
      <c r="F27" s="142">
        <f t="shared" ca="1" si="15"/>
        <v>232.13343486846108</v>
      </c>
      <c r="G27" s="142">
        <f t="shared" ca="1" si="16"/>
        <v>392.13343486846111</v>
      </c>
      <c r="H27" s="142">
        <f t="shared" ca="1" si="17"/>
        <v>600.13343486846111</v>
      </c>
      <c r="I27" s="142">
        <f t="shared" ca="1" si="18"/>
        <v>712.13343486846111</v>
      </c>
      <c r="J27" s="142">
        <f t="shared" ca="1" si="19"/>
        <v>874.13343486846111</v>
      </c>
      <c r="K27" s="142">
        <f t="shared" ca="1" si="20"/>
        <v>983.13343486846111</v>
      </c>
      <c r="L27" s="142">
        <f t="shared" ca="1" si="21"/>
        <v>1173.1334348684611</v>
      </c>
      <c r="M27" s="142">
        <f t="shared" ca="1" si="22"/>
        <v>1327.1334348684611</v>
      </c>
      <c r="N27" s="142">
        <f t="shared" ca="1" si="23"/>
        <v>1494.1334348684611</v>
      </c>
      <c r="O27" s="142">
        <f t="shared" ca="1" si="24"/>
        <v>1634.1334348684611</v>
      </c>
      <c r="P27" s="142">
        <f t="shared" ca="1" si="25"/>
        <v>1703.1334348684611</v>
      </c>
      <c r="Q27" s="142">
        <f t="shared" ca="1" si="26"/>
        <v>1835.1334348684611</v>
      </c>
      <c r="R27" s="142">
        <f t="shared" ca="1" si="27"/>
        <v>1913.1334348684611</v>
      </c>
      <c r="S27" s="142">
        <f t="shared" ca="1" si="28"/>
        <v>2061.1334348684613</v>
      </c>
      <c r="T27" s="142">
        <f t="shared" ca="1" si="29"/>
        <v>2183.1334348684613</v>
      </c>
      <c r="U27" s="142">
        <f t="shared" ca="1" si="30"/>
        <v>2286.1334348684613</v>
      </c>
      <c r="V27" s="142">
        <f t="shared" ca="1" si="31"/>
        <v>2431.1334348684613</v>
      </c>
      <c r="W27" s="142">
        <f t="shared" ca="1" si="32"/>
        <v>2615.1334348684613</v>
      </c>
      <c r="X27" s="142">
        <f t="shared" ca="1" si="33"/>
        <v>2851.1334348684613</v>
      </c>
      <c r="Z27" s="126"/>
      <c r="AB27" s="136" t="str">
        <f t="shared" ca="1" si="34"/>
        <v>Vorwärts Kinder des Vaterlandes!</v>
      </c>
      <c r="AC27" s="137">
        <f t="shared" ca="1" si="35"/>
        <v>0.30579053011001633</v>
      </c>
      <c r="AD27" s="137">
        <f t="shared" ca="1" si="38"/>
        <v>6.4876087119282033</v>
      </c>
      <c r="AE27" s="137">
        <f t="shared" ca="1" si="36"/>
        <v>19.033063257382707</v>
      </c>
      <c r="AF27" s="137">
        <f t="shared" ca="1" si="36"/>
        <v>19.033063257382707</v>
      </c>
      <c r="AG27" s="137">
        <f t="shared" ca="1" si="36"/>
        <v>23.578517802837268</v>
      </c>
      <c r="AH27" s="137">
        <f t="shared" ca="1" si="36"/>
        <v>36.30579053011013</v>
      </c>
      <c r="AI27" s="137">
        <f t="shared" ca="1" si="36"/>
        <v>50.30579053011013</v>
      </c>
      <c r="AJ27" s="137">
        <f t="shared" ca="1" si="36"/>
        <v>35.123972348291886</v>
      </c>
      <c r="AK27" s="137">
        <f t="shared" ca="1" si="36"/>
        <v>14.033063257382764</v>
      </c>
      <c r="AL27" s="137">
        <f t="shared" ca="1" si="36"/>
        <v>18.214881439201008</v>
      </c>
      <c r="AM27" s="137">
        <f t="shared" ca="1" si="36"/>
        <v>7.0330632573827643</v>
      </c>
      <c r="AN27" s="137">
        <f t="shared" ca="1" si="36"/>
        <v>-2.6942094698899837</v>
      </c>
      <c r="AO27" s="137">
        <f t="shared" ca="1" si="36"/>
        <v>-16.330573106253723</v>
      </c>
      <c r="AP27" s="137">
        <f t="shared" ca="1" si="36"/>
        <v>-10.603300378980975</v>
      </c>
      <c r="AQ27" s="137">
        <f t="shared" ca="1" si="36"/>
        <v>-37.876027651708227</v>
      </c>
      <c r="AR27" s="137">
        <f t="shared" ca="1" si="36"/>
        <v>-18.239664015344488</v>
      </c>
      <c r="AS27" s="137">
        <f t="shared" ca="1" si="36"/>
        <v>-53.148754924435252</v>
      </c>
      <c r="AT27" s="137">
        <f t="shared" ca="1" si="36"/>
        <v>-96.966936742617236</v>
      </c>
      <c r="AU27" s="137">
        <f t="shared" ca="1" si="36"/>
        <v>-62.785118560798765</v>
      </c>
      <c r="AV27" s="137">
        <f t="shared" ca="1" si="36"/>
        <v>-98.785118560798765</v>
      </c>
      <c r="AW27" s="137">
        <f t="shared" ca="1" si="36"/>
        <v>-102.78511856079876</v>
      </c>
      <c r="AX27" s="137">
        <f t="shared" ca="1" si="36"/>
        <v>-150.33057310625327</v>
      </c>
    </row>
    <row r="28" spans="1:50" ht="12" customHeight="1">
      <c r="A28" s="129"/>
      <c r="B28" s="135" t="str">
        <f t="shared" ca="1" si="37"/>
        <v>El Gran</v>
      </c>
      <c r="C28" s="142">
        <f t="shared" ca="1" si="12"/>
        <v>69.113182356864485</v>
      </c>
      <c r="D28" s="142">
        <f t="shared" ca="1" si="13"/>
        <v>136.11318235686448</v>
      </c>
      <c r="E28" s="142">
        <f t="shared" ca="1" si="14"/>
        <v>222.11318235686448</v>
      </c>
      <c r="F28" s="142">
        <f t="shared" ca="1" si="15"/>
        <v>222.21318235686448</v>
      </c>
      <c r="G28" s="142">
        <f t="shared" ca="1" si="16"/>
        <v>377.21318235686448</v>
      </c>
      <c r="H28" s="142">
        <f t="shared" ca="1" si="17"/>
        <v>580.21318235686454</v>
      </c>
      <c r="I28" s="142">
        <f t="shared" ca="1" si="18"/>
        <v>658.21318235686454</v>
      </c>
      <c r="J28" s="142">
        <f t="shared" ca="1" si="19"/>
        <v>847.21318235686454</v>
      </c>
      <c r="K28" s="142">
        <f t="shared" ca="1" si="20"/>
        <v>980.21318235686454</v>
      </c>
      <c r="L28" s="142">
        <f t="shared" ca="1" si="21"/>
        <v>1171.2131823568645</v>
      </c>
      <c r="M28" s="142">
        <f t="shared" ca="1" si="22"/>
        <v>1325.2131823568645</v>
      </c>
      <c r="N28" s="142">
        <f t="shared" ca="1" si="23"/>
        <v>1501.2131823568645</v>
      </c>
      <c r="O28" s="142">
        <f t="shared" ca="1" si="24"/>
        <v>1670.2131823568645</v>
      </c>
      <c r="P28" s="142">
        <f t="shared" ca="1" si="25"/>
        <v>1754.2131823568645</v>
      </c>
      <c r="Q28" s="142">
        <f t="shared" ca="1" si="26"/>
        <v>1946.2131823568645</v>
      </c>
      <c r="R28" s="142">
        <f t="shared" ca="1" si="27"/>
        <v>2035.2131823568645</v>
      </c>
      <c r="S28" s="142">
        <f t="shared" ca="1" si="28"/>
        <v>2237.2131823568643</v>
      </c>
      <c r="T28" s="142">
        <f t="shared" ca="1" si="29"/>
        <v>2444.2131823568643</v>
      </c>
      <c r="U28" s="142">
        <f t="shared" ca="1" si="30"/>
        <v>2543.2131823568643</v>
      </c>
      <c r="V28" s="142">
        <f t="shared" ca="1" si="31"/>
        <v>2747.2131823568643</v>
      </c>
      <c r="W28" s="142">
        <f t="shared" ca="1" si="32"/>
        <v>2946.2131823568643</v>
      </c>
      <c r="X28" s="142">
        <f t="shared" ca="1" si="33"/>
        <v>3273.2131823568643</v>
      </c>
      <c r="Z28" s="126"/>
      <c r="AB28" s="136" t="str">
        <f t="shared" ca="1" si="34"/>
        <v>El Gran</v>
      </c>
      <c r="AC28" s="137">
        <f t="shared" ca="1" si="35"/>
        <v>0.38553801851342939</v>
      </c>
      <c r="AD28" s="137">
        <f t="shared" ca="1" si="38"/>
        <v>1.5673562003316022</v>
      </c>
      <c r="AE28" s="137">
        <f t="shared" ca="1" si="36"/>
        <v>9.1128107457861063</v>
      </c>
      <c r="AF28" s="137">
        <f t="shared" ca="1" si="36"/>
        <v>9.1128107457861063</v>
      </c>
      <c r="AG28" s="137">
        <f t="shared" ca="1" si="36"/>
        <v>8.6582652912406388</v>
      </c>
      <c r="AH28" s="137">
        <f t="shared" ca="1" si="36"/>
        <v>16.385538018513557</v>
      </c>
      <c r="AI28" s="137">
        <f t="shared" ca="1" si="36"/>
        <v>-3.6144619814864427</v>
      </c>
      <c r="AJ28" s="137">
        <f t="shared" ca="1" si="36"/>
        <v>8.2037198366953135</v>
      </c>
      <c r="AK28" s="137">
        <f t="shared" ca="1" si="36"/>
        <v>11.112810745786192</v>
      </c>
      <c r="AL28" s="137">
        <f t="shared" ca="1" si="36"/>
        <v>16.294628927604435</v>
      </c>
      <c r="AM28" s="137">
        <f t="shared" ca="1" si="36"/>
        <v>5.1128107457861915</v>
      </c>
      <c r="AN28" s="137">
        <f t="shared" ca="1" si="36"/>
        <v>4.3855380185134436</v>
      </c>
      <c r="AO28" s="137">
        <f t="shared" ca="1" si="36"/>
        <v>19.749174382149704</v>
      </c>
      <c r="AP28" s="137">
        <f t="shared" ca="1" si="36"/>
        <v>40.476447109422452</v>
      </c>
      <c r="AQ28" s="137">
        <f t="shared" ca="1" si="36"/>
        <v>73.2037198366952</v>
      </c>
      <c r="AR28" s="137">
        <f t="shared" ca="1" si="36"/>
        <v>103.84008347305894</v>
      </c>
      <c r="AS28" s="137">
        <f t="shared" ca="1" si="36"/>
        <v>122.93099256396772</v>
      </c>
      <c r="AT28" s="137">
        <f t="shared" ca="1" si="36"/>
        <v>164.11281074578574</v>
      </c>
      <c r="AU28" s="137">
        <f t="shared" ca="1" si="36"/>
        <v>194.29462892760421</v>
      </c>
      <c r="AV28" s="137">
        <f t="shared" ca="1" si="36"/>
        <v>217.29462892760421</v>
      </c>
      <c r="AW28" s="137">
        <f t="shared" ca="1" si="36"/>
        <v>228.29462892760421</v>
      </c>
      <c r="AX28" s="137">
        <f t="shared" ca="1" si="36"/>
        <v>271.7491743821497</v>
      </c>
    </row>
    <row r="29" spans="1:50" ht="12" customHeight="1">
      <c r="A29" s="129"/>
      <c r="B29" s="135" t="str">
        <f t="shared" ca="1" si="37"/>
        <v>IJffjes Boys</v>
      </c>
      <c r="C29" s="142">
        <f t="shared" ca="1" si="12"/>
        <v>50.044578335645539</v>
      </c>
      <c r="D29" s="142">
        <f t="shared" ca="1" si="13"/>
        <v>118.04457833564554</v>
      </c>
      <c r="E29" s="142">
        <f t="shared" ca="1" si="14"/>
        <v>193.04457833564555</v>
      </c>
      <c r="F29" s="142">
        <f t="shared" ca="1" si="15"/>
        <v>193.14457833564555</v>
      </c>
      <c r="G29" s="142">
        <f t="shared" ca="1" si="16"/>
        <v>348.14457833564552</v>
      </c>
      <c r="H29" s="142">
        <f t="shared" ca="1" si="17"/>
        <v>532.14457833564552</v>
      </c>
      <c r="I29" s="142">
        <f t="shared" ca="1" si="18"/>
        <v>642.14457833564552</v>
      </c>
      <c r="J29" s="142">
        <f t="shared" ca="1" si="19"/>
        <v>817.14457833564552</v>
      </c>
      <c r="K29" s="142">
        <f t="shared" ca="1" si="20"/>
        <v>946.14457833564552</v>
      </c>
      <c r="L29" s="142">
        <f t="shared" ca="1" si="21"/>
        <v>1107.1445783356455</v>
      </c>
      <c r="M29" s="142">
        <f t="shared" ca="1" si="22"/>
        <v>1303.1445783356455</v>
      </c>
      <c r="N29" s="142">
        <f t="shared" ca="1" si="23"/>
        <v>1458.1445783356455</v>
      </c>
      <c r="O29" s="142">
        <f t="shared" ca="1" si="24"/>
        <v>1634.1445783356455</v>
      </c>
      <c r="P29" s="142">
        <f t="shared" ca="1" si="25"/>
        <v>1693.1445783356455</v>
      </c>
      <c r="Q29" s="142">
        <f t="shared" ca="1" si="26"/>
        <v>1850.1445783356455</v>
      </c>
      <c r="R29" s="142">
        <f t="shared" ca="1" si="27"/>
        <v>1911.1445783356455</v>
      </c>
      <c r="S29" s="142">
        <f t="shared" ca="1" si="28"/>
        <v>2091.1445783356457</v>
      </c>
      <c r="T29" s="142">
        <f t="shared" ca="1" si="29"/>
        <v>2247.1445783356457</v>
      </c>
      <c r="U29" s="142">
        <f t="shared" ca="1" si="30"/>
        <v>2306.1445783356457</v>
      </c>
      <c r="V29" s="142">
        <f t="shared" ca="1" si="31"/>
        <v>2463.1445783356457</v>
      </c>
      <c r="W29" s="142">
        <f t="shared" ca="1" si="32"/>
        <v>2628.1445783356457</v>
      </c>
      <c r="X29" s="142">
        <f t="shared" ca="1" si="33"/>
        <v>2887.1445783356457</v>
      </c>
      <c r="Z29" s="126"/>
      <c r="AB29" s="136" t="str">
        <f t="shared" ref="AB29" ca="1" si="39">B29</f>
        <v>IJffjes Boys</v>
      </c>
      <c r="AC29" s="137">
        <f ca="1">IF(C29&lt;&gt;0,C29-AC$33,"")</f>
        <v>-18.683066002705516</v>
      </c>
      <c r="AD29" s="137">
        <f t="shared" ca="1" si="38"/>
        <v>-16.501247820887343</v>
      </c>
      <c r="AE29" s="137">
        <f t="shared" ca="1" si="36"/>
        <v>-19.955793275432825</v>
      </c>
      <c r="AF29" s="137">
        <f t="shared" ca="1" si="36"/>
        <v>-19.955793275432825</v>
      </c>
      <c r="AG29" s="137">
        <f t="shared" ca="1" si="36"/>
        <v>-20.410338729978321</v>
      </c>
      <c r="AH29" s="137">
        <f t="shared" ca="1" si="36"/>
        <v>-31.683066002705459</v>
      </c>
      <c r="AI29" s="137">
        <f t="shared" ca="1" si="36"/>
        <v>-19.683066002705459</v>
      </c>
      <c r="AJ29" s="137">
        <f t="shared" ca="1" si="36"/>
        <v>-21.864884184523703</v>
      </c>
      <c r="AK29" s="137">
        <f t="shared" ca="1" si="36"/>
        <v>-22.955793275432825</v>
      </c>
      <c r="AL29" s="137">
        <f t="shared" ca="1" si="36"/>
        <v>-47.773975093614581</v>
      </c>
      <c r="AM29" s="137">
        <f t="shared" ca="1" si="36"/>
        <v>-16.955793275432825</v>
      </c>
      <c r="AN29" s="137">
        <f t="shared" ca="1" si="36"/>
        <v>-38.683066002705573</v>
      </c>
      <c r="AO29" s="137">
        <f t="shared" ca="1" si="36"/>
        <v>-16.319429639069313</v>
      </c>
      <c r="AP29" s="137">
        <f t="shared" ca="1" si="36"/>
        <v>-20.592156911796565</v>
      </c>
      <c r="AQ29" s="137">
        <f t="shared" ca="1" si="36"/>
        <v>-22.864884184523817</v>
      </c>
      <c r="AR29" s="137">
        <f t="shared" ca="1" si="36"/>
        <v>-20.228520548160077</v>
      </c>
      <c r="AS29" s="137">
        <f t="shared" ca="1" si="36"/>
        <v>-23.137611457250841</v>
      </c>
      <c r="AT29" s="137">
        <f t="shared" ca="1" si="36"/>
        <v>-32.955793275432825</v>
      </c>
      <c r="AU29" s="137">
        <f t="shared" ca="1" si="36"/>
        <v>-42.773975093614354</v>
      </c>
      <c r="AV29" s="137">
        <f t="shared" ca="1" si="36"/>
        <v>-66.773975093614354</v>
      </c>
      <c r="AW29" s="137">
        <f t="shared" ca="1" si="36"/>
        <v>-89.773975093614354</v>
      </c>
      <c r="AX29" s="137">
        <f t="shared" ca="1" si="36"/>
        <v>-114.31942963906886</v>
      </c>
    </row>
    <row r="30" spans="1:50" ht="12" customHeight="1">
      <c r="A30" s="129"/>
      <c r="B30" s="135" t="str">
        <f t="shared" ca="1" si="37"/>
        <v>TinTopTeam</v>
      </c>
      <c r="C30" s="278">
        <f t="shared" ca="1" si="12"/>
        <v>112.10405276295913</v>
      </c>
      <c r="D30" s="142">
        <f t="shared" ca="1" si="13"/>
        <v>154.10405276295913</v>
      </c>
      <c r="E30" s="142">
        <f t="shared" ca="1" si="14"/>
        <v>222.10405276295913</v>
      </c>
      <c r="F30" s="142">
        <f t="shared" ca="1" si="15"/>
        <v>222.20405276295912</v>
      </c>
      <c r="G30" s="142">
        <f t="shared" ca="1" si="16"/>
        <v>378.20405276295912</v>
      </c>
      <c r="H30" s="142">
        <f t="shared" ca="1" si="17"/>
        <v>580.20405276295912</v>
      </c>
      <c r="I30" s="142">
        <f t="shared" ca="1" si="18"/>
        <v>657.20405276295912</v>
      </c>
      <c r="J30" s="142">
        <f t="shared" ca="1" si="19"/>
        <v>824.20405276295912</v>
      </c>
      <c r="K30" s="142">
        <f t="shared" ca="1" si="20"/>
        <v>962.20405276295912</v>
      </c>
      <c r="L30" s="142">
        <f t="shared" ca="1" si="21"/>
        <v>1173.2040527629592</v>
      </c>
      <c r="M30" s="142">
        <f t="shared" ca="1" si="22"/>
        <v>1326.2040527629592</v>
      </c>
      <c r="N30" s="142">
        <f t="shared" ca="1" si="23"/>
        <v>1525.2040527629592</v>
      </c>
      <c r="O30" s="142">
        <f t="shared" ca="1" si="24"/>
        <v>1672.2040527629592</v>
      </c>
      <c r="P30" s="142">
        <f t="shared" ca="1" si="25"/>
        <v>1752.2040527629592</v>
      </c>
      <c r="Q30" s="142">
        <f t="shared" ca="1" si="26"/>
        <v>1922.2040527629592</v>
      </c>
      <c r="R30" s="142">
        <f t="shared" ca="1" si="27"/>
        <v>1974.2040527629592</v>
      </c>
      <c r="S30" s="142">
        <f t="shared" ca="1" si="28"/>
        <v>2167.2040527629592</v>
      </c>
      <c r="T30" s="142">
        <f t="shared" ca="1" si="29"/>
        <v>2355.2040527629592</v>
      </c>
      <c r="U30" s="142">
        <f t="shared" ca="1" si="30"/>
        <v>2410.2040527629592</v>
      </c>
      <c r="V30" s="142">
        <f t="shared" ca="1" si="31"/>
        <v>2602.2040527629592</v>
      </c>
      <c r="W30" s="142">
        <f t="shared" ca="1" si="32"/>
        <v>2818.2040527629592</v>
      </c>
      <c r="X30" s="142">
        <f t="shared" ca="1" si="33"/>
        <v>3120.2040527629592</v>
      </c>
      <c r="Z30" s="126"/>
      <c r="AB30" s="136" t="str">
        <f t="shared" ca="1" si="34"/>
        <v>TinTopTeam</v>
      </c>
      <c r="AC30" s="137">
        <f t="shared" ca="1" si="35"/>
        <v>43.376408424608073</v>
      </c>
      <c r="AD30" s="137">
        <f t="shared" ca="1" si="38"/>
        <v>19.558226606426246</v>
      </c>
      <c r="AE30" s="137">
        <f t="shared" ca="1" si="36"/>
        <v>9.1036811518807497</v>
      </c>
      <c r="AF30" s="137">
        <f t="shared" ca="1" si="36"/>
        <v>9.1036811518807497</v>
      </c>
      <c r="AG30" s="137">
        <f t="shared" ca="1" si="36"/>
        <v>9.6491356973352822</v>
      </c>
      <c r="AH30" s="137">
        <f t="shared" ca="1" si="36"/>
        <v>16.376408424608144</v>
      </c>
      <c r="AI30" s="137">
        <f t="shared" ca="1" si="36"/>
        <v>-4.6235915753918562</v>
      </c>
      <c r="AJ30" s="137">
        <f t="shared" ca="1" si="36"/>
        <v>-14.8054097572101</v>
      </c>
      <c r="AK30" s="137">
        <f t="shared" ca="1" si="36"/>
        <v>-6.8963188481192219</v>
      </c>
      <c r="AL30" s="137">
        <f t="shared" ca="1" si="36"/>
        <v>18.285499333699136</v>
      </c>
      <c r="AM30" s="137">
        <f t="shared" ca="1" si="36"/>
        <v>6.1036811518808918</v>
      </c>
      <c r="AN30" s="137">
        <f t="shared" ca="1" si="36"/>
        <v>28.376408424608144</v>
      </c>
      <c r="AO30" s="137">
        <f t="shared" ca="1" si="36"/>
        <v>21.740044788244404</v>
      </c>
      <c r="AP30" s="137">
        <f t="shared" ca="1" si="36"/>
        <v>38.467317515517152</v>
      </c>
      <c r="AQ30" s="137">
        <f t="shared" ca="1" si="36"/>
        <v>49.1945902427899</v>
      </c>
      <c r="AR30" s="137">
        <f t="shared" ca="1" si="36"/>
        <v>42.83095387915364</v>
      </c>
      <c r="AS30" s="137">
        <f t="shared" ca="1" si="36"/>
        <v>52.921862970062648</v>
      </c>
      <c r="AT30" s="137">
        <f t="shared" ca="1" si="36"/>
        <v>75.103681151880664</v>
      </c>
      <c r="AU30" s="137">
        <f t="shared" ca="1" si="36"/>
        <v>61.285499333699136</v>
      </c>
      <c r="AV30" s="137">
        <f t="shared" ca="1" si="36"/>
        <v>72.285499333699136</v>
      </c>
      <c r="AW30" s="137">
        <f t="shared" ca="1" si="36"/>
        <v>100.28549933369914</v>
      </c>
      <c r="AX30" s="137">
        <f t="shared" ca="1" si="36"/>
        <v>118.74004478824463</v>
      </c>
    </row>
    <row r="31" spans="1:50" ht="12" customHeight="1">
      <c r="A31" s="129"/>
      <c r="B31" s="135" t="str">
        <f t="shared" ca="1" si="37"/>
        <v>Equipe l'Ami</v>
      </c>
      <c r="C31" s="142">
        <f t="shared" ca="1" si="12"/>
        <v>50.077628742937847</v>
      </c>
      <c r="D31" s="142">
        <f t="shared" ca="1" si="13"/>
        <v>118.07762874293785</v>
      </c>
      <c r="E31" s="142">
        <f t="shared" ca="1" si="14"/>
        <v>193.07762874293786</v>
      </c>
      <c r="F31" s="142">
        <f t="shared" ca="1" si="15"/>
        <v>193.17762874293786</v>
      </c>
      <c r="G31" s="142">
        <f t="shared" ca="1" si="16"/>
        <v>335.17762874293783</v>
      </c>
      <c r="H31" s="142">
        <f t="shared" ca="1" si="17"/>
        <v>512.17762874293783</v>
      </c>
      <c r="I31" s="142">
        <f t="shared" ca="1" si="18"/>
        <v>608.17762874293783</v>
      </c>
      <c r="J31" s="142">
        <f t="shared" ca="1" si="19"/>
        <v>751.17762874293783</v>
      </c>
      <c r="K31" s="142">
        <f t="shared" ca="1" si="20"/>
        <v>875.17762874293783</v>
      </c>
      <c r="L31" s="142">
        <f t="shared" ca="1" si="21"/>
        <v>1034.1776287429379</v>
      </c>
      <c r="M31" s="142">
        <f t="shared" ca="1" si="22"/>
        <v>1195.1776287429379</v>
      </c>
      <c r="N31" s="142">
        <f t="shared" ca="1" si="23"/>
        <v>1356.1776287429379</v>
      </c>
      <c r="O31" s="142">
        <f t="shared" ca="1" si="24"/>
        <v>1505.1776287429379</v>
      </c>
      <c r="P31" s="142">
        <f t="shared" ca="1" si="25"/>
        <v>1552.1776287429379</v>
      </c>
      <c r="Q31" s="142">
        <f t="shared" ca="1" si="26"/>
        <v>1684.1776287429379</v>
      </c>
      <c r="R31" s="142">
        <f t="shared" ca="1" si="27"/>
        <v>1725.1776287429379</v>
      </c>
      <c r="S31" s="142">
        <f t="shared" ca="1" si="28"/>
        <v>1898.1776287429379</v>
      </c>
      <c r="T31" s="142">
        <f t="shared" ca="1" si="29"/>
        <v>2047.1776287429379</v>
      </c>
      <c r="U31" s="142">
        <f t="shared" ca="1" si="30"/>
        <v>2101.1776287429379</v>
      </c>
      <c r="V31" s="142">
        <f t="shared" ca="1" si="31"/>
        <v>2263.1776287429379</v>
      </c>
      <c r="W31" s="142">
        <f t="shared" ca="1" si="32"/>
        <v>2426.1776287429379</v>
      </c>
      <c r="X31" s="142">
        <f t="shared" ca="1" si="33"/>
        <v>2667.1776287429379</v>
      </c>
      <c r="Z31" s="126"/>
      <c r="AB31" s="136" t="str">
        <f t="shared" ca="1" si="34"/>
        <v>Equipe l'Ami</v>
      </c>
      <c r="AC31" s="137">
        <f ca="1">IF(C31&lt;&gt;0,C31-AC$33,"")</f>
        <v>-18.650015595413208</v>
      </c>
      <c r="AD31" s="137">
        <f t="shared" ca="1" si="38"/>
        <v>-16.468197413595036</v>
      </c>
      <c r="AE31" s="137">
        <f t="shared" ca="1" si="36"/>
        <v>-19.922742868140517</v>
      </c>
      <c r="AF31" s="137">
        <f t="shared" ca="1" si="36"/>
        <v>-19.922742868140517</v>
      </c>
      <c r="AG31" s="137">
        <f t="shared" ca="1" si="36"/>
        <v>-33.377288322686013</v>
      </c>
      <c r="AH31" s="137">
        <f t="shared" ca="1" si="36"/>
        <v>-51.650015595413151</v>
      </c>
      <c r="AI31" s="137">
        <f t="shared" ca="1" si="36"/>
        <v>-53.650015595413151</v>
      </c>
      <c r="AJ31" s="137">
        <f t="shared" ca="1" si="36"/>
        <v>-87.831833777231395</v>
      </c>
      <c r="AK31" s="137">
        <f t="shared" ca="1" si="36"/>
        <v>-93.922742868140517</v>
      </c>
      <c r="AL31" s="137">
        <f t="shared" ca="1" si="36"/>
        <v>-120.74092468632216</v>
      </c>
      <c r="AM31" s="137">
        <f t="shared" ca="1" si="36"/>
        <v>-124.9227428681404</v>
      </c>
      <c r="AN31" s="137">
        <f t="shared" ca="1" si="36"/>
        <v>-140.65001559541315</v>
      </c>
      <c r="AO31" s="137">
        <f t="shared" ca="1" si="36"/>
        <v>-145.28637923177689</v>
      </c>
      <c r="AP31" s="137">
        <f t="shared" ca="1" si="36"/>
        <v>-161.55910650450414</v>
      </c>
      <c r="AQ31" s="137">
        <f t="shared" ca="1" si="36"/>
        <v>-188.8318337772314</v>
      </c>
      <c r="AR31" s="137">
        <f t="shared" ca="1" si="36"/>
        <v>-206.19547014086766</v>
      </c>
      <c r="AS31" s="137">
        <f t="shared" ca="1" si="36"/>
        <v>-216.10456104995865</v>
      </c>
      <c r="AT31" s="137">
        <f t="shared" ca="1" si="36"/>
        <v>-232.92274286814063</v>
      </c>
      <c r="AU31" s="137">
        <f t="shared" ca="1" si="36"/>
        <v>-247.74092468632216</v>
      </c>
      <c r="AV31" s="137">
        <f t="shared" ca="1" si="36"/>
        <v>-266.74092468632216</v>
      </c>
      <c r="AW31" s="137">
        <f t="shared" ca="1" si="36"/>
        <v>-291.74092468632216</v>
      </c>
      <c r="AX31" s="137">
        <f t="shared" ca="1" si="36"/>
        <v>-334.28637923177666</v>
      </c>
    </row>
    <row r="32" spans="1:50" ht="12" customHeight="1">
      <c r="A32" s="129"/>
      <c r="B32" s="135" t="str">
        <f t="shared" ca="1" si="37"/>
        <v>Niet geschoten</v>
      </c>
      <c r="C32" s="142">
        <f t="shared" ca="1" si="12"/>
        <v>69.105680034364283</v>
      </c>
      <c r="D32" s="278">
        <f t="shared" ca="1" si="13"/>
        <v>145.1056800343643</v>
      </c>
      <c r="E32" s="278">
        <f t="shared" ca="1" si="14"/>
        <v>268.1056800343643</v>
      </c>
      <c r="F32" s="142">
        <f t="shared" ca="1" si="15"/>
        <v>268.20568003436432</v>
      </c>
      <c r="G32" s="278">
        <f t="shared" ca="1" si="16"/>
        <v>434.20568003436432</v>
      </c>
      <c r="H32" s="278">
        <f t="shared" ca="1" si="17"/>
        <v>625.20568003436438</v>
      </c>
      <c r="I32" s="278">
        <f t="shared" ca="1" si="18"/>
        <v>739.20568003436438</v>
      </c>
      <c r="J32" s="142">
        <f t="shared" ca="1" si="19"/>
        <v>874.20568003436438</v>
      </c>
      <c r="K32" s="142">
        <f t="shared" ca="1" si="20"/>
        <v>988.20568003436438</v>
      </c>
      <c r="L32" s="142">
        <f t="shared" ca="1" si="21"/>
        <v>1161.2056800343644</v>
      </c>
      <c r="M32" s="142">
        <f t="shared" ca="1" si="22"/>
        <v>1303.2056800343644</v>
      </c>
      <c r="N32" s="142">
        <f t="shared" ca="1" si="23"/>
        <v>1483.2056800343644</v>
      </c>
      <c r="O32" s="142">
        <f t="shared" ca="1" si="24"/>
        <v>1620.2056800343644</v>
      </c>
      <c r="P32" s="142">
        <f t="shared" ca="1" si="25"/>
        <v>1680.2056800343644</v>
      </c>
      <c r="Q32" s="142">
        <f t="shared" ca="1" si="26"/>
        <v>1785.2056800343644</v>
      </c>
      <c r="R32" s="142">
        <f t="shared" ca="1" si="27"/>
        <v>1840.2056800343644</v>
      </c>
      <c r="S32" s="142">
        <f t="shared" ca="1" si="28"/>
        <v>1976.2056800343644</v>
      </c>
      <c r="T32" s="142">
        <f t="shared" ca="1" si="29"/>
        <v>2075.2056800343644</v>
      </c>
      <c r="U32" s="142">
        <f t="shared" ca="1" si="30"/>
        <v>2123.2056800343644</v>
      </c>
      <c r="V32" s="142">
        <f t="shared" ca="1" si="31"/>
        <v>2230.2056800343644</v>
      </c>
      <c r="W32" s="142">
        <f t="shared" ca="1" si="32"/>
        <v>2390.2056800343644</v>
      </c>
      <c r="X32" s="142">
        <f t="shared" ca="1" si="33"/>
        <v>2588.2056800343644</v>
      </c>
      <c r="Z32" s="126"/>
      <c r="AB32" s="136" t="str">
        <f t="shared" ca="1" si="34"/>
        <v>Niet geschoten</v>
      </c>
      <c r="AC32" s="137">
        <f ca="1">IF(C32&lt;&gt;0,C32-AC$33,"")</f>
        <v>0.37803569601322806</v>
      </c>
      <c r="AD32" s="137">
        <f t="shared" ca="1" si="38"/>
        <v>10.559853877831415</v>
      </c>
      <c r="AE32" s="137">
        <f t="shared" ca="1" si="36"/>
        <v>55.105308423285919</v>
      </c>
      <c r="AF32" s="137">
        <f t="shared" ca="1" si="36"/>
        <v>55.105308423285948</v>
      </c>
      <c r="AG32" s="137">
        <f t="shared" ca="1" si="36"/>
        <v>65.65076296874048</v>
      </c>
      <c r="AH32" s="137">
        <f t="shared" ca="1" si="36"/>
        <v>61.378035696013399</v>
      </c>
      <c r="AI32" s="137">
        <f t="shared" ca="1" si="36"/>
        <v>77.378035696013399</v>
      </c>
      <c r="AJ32" s="137">
        <f t="shared" ca="1" si="36"/>
        <v>35.196217514195155</v>
      </c>
      <c r="AK32" s="137">
        <f t="shared" ca="1" si="36"/>
        <v>19.105308423286033</v>
      </c>
      <c r="AL32" s="137">
        <f t="shared" ca="1" si="36"/>
        <v>6.2871266051042767</v>
      </c>
      <c r="AM32" s="137">
        <f t="shared" ca="1" si="36"/>
        <v>-16.894691576713967</v>
      </c>
      <c r="AN32" s="137">
        <f t="shared" ca="1" si="36"/>
        <v>-13.621964303986715</v>
      </c>
      <c r="AO32" s="137">
        <f t="shared" ca="1" si="36"/>
        <v>-30.258327940350455</v>
      </c>
      <c r="AP32" s="137">
        <f t="shared" ca="1" si="36"/>
        <v>-33.531055213077707</v>
      </c>
      <c r="AQ32" s="137">
        <f t="shared" ca="1" si="36"/>
        <v>-87.803782485804959</v>
      </c>
      <c r="AR32" s="137">
        <f t="shared" ca="1" si="36"/>
        <v>-91.167418849441219</v>
      </c>
      <c r="AS32" s="137">
        <f t="shared" ca="1" si="36"/>
        <v>-138.07650975853221</v>
      </c>
      <c r="AT32" s="137">
        <f t="shared" ca="1" si="36"/>
        <v>-204.89469157671419</v>
      </c>
      <c r="AU32" s="137">
        <f t="shared" ca="1" si="36"/>
        <v>-225.71287339489572</v>
      </c>
      <c r="AV32" s="137">
        <f t="shared" ca="1" si="36"/>
        <v>-299.71287339489572</v>
      </c>
      <c r="AW32" s="137">
        <f t="shared" ca="1" si="36"/>
        <v>-327.71287339489572</v>
      </c>
      <c r="AX32" s="137">
        <f t="shared" ca="1" si="36"/>
        <v>-413.25832794035023</v>
      </c>
    </row>
    <row r="33" spans="1:60" ht="12" customHeight="1">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26"/>
      <c r="AC33" s="139">
        <f ca="1">AVERAGE(C22:C32)</f>
        <v>68.727644338351055</v>
      </c>
      <c r="AD33" s="139">
        <f ca="1">AVERAGE(D22:D32)</f>
        <v>134.54582615653288</v>
      </c>
      <c r="AE33" s="139">
        <f t="shared" ref="AE33:AX33" ca="1" si="40">AVERAGE(E22:E32)</f>
        <v>213.00037161107838</v>
      </c>
      <c r="AF33" s="139">
        <f t="shared" ca="1" si="40"/>
        <v>213.10037161107837</v>
      </c>
      <c r="AG33" s="139">
        <f t="shared" ca="1" si="40"/>
        <v>368.55491706562384</v>
      </c>
      <c r="AH33" s="139">
        <f t="shared" ca="1" si="40"/>
        <v>563.82764433835098</v>
      </c>
      <c r="AI33" s="139">
        <f t="shared" ca="1" si="40"/>
        <v>661.82764433835098</v>
      </c>
      <c r="AJ33" s="139">
        <f t="shared" ca="1" si="40"/>
        <v>839.00946252016922</v>
      </c>
      <c r="AK33" s="139">
        <f t="shared" ca="1" si="40"/>
        <v>969.10037161107834</v>
      </c>
      <c r="AL33" s="139">
        <f t="shared" ca="1" si="40"/>
        <v>1154.9185534292601</v>
      </c>
      <c r="AM33" s="139">
        <f t="shared" ca="1" si="40"/>
        <v>1320.1003716110783</v>
      </c>
      <c r="AN33" s="139">
        <f t="shared" ca="1" si="40"/>
        <v>1496.8276443383511</v>
      </c>
      <c r="AO33" s="139">
        <f t="shared" ca="1" si="40"/>
        <v>1650.4640079747148</v>
      </c>
      <c r="AP33" s="139">
        <f t="shared" ca="1" si="40"/>
        <v>1713.7367352474421</v>
      </c>
      <c r="AQ33" s="139">
        <f t="shared" ca="1" si="40"/>
        <v>1873.0094625201693</v>
      </c>
      <c r="AR33" s="139">
        <f t="shared" ca="1" si="40"/>
        <v>1931.3730988838056</v>
      </c>
      <c r="AS33" s="139">
        <f t="shared" ca="1" si="40"/>
        <v>2114.2821897928966</v>
      </c>
      <c r="AT33" s="139">
        <f t="shared" ca="1" si="40"/>
        <v>2280.1003716110786</v>
      </c>
      <c r="AU33" s="139">
        <f t="shared" ca="1" si="40"/>
        <v>2348.9185534292601</v>
      </c>
      <c r="AV33" s="139">
        <f t="shared" ca="1" si="40"/>
        <v>2529.9185534292601</v>
      </c>
      <c r="AW33" s="139">
        <f t="shared" ca="1" si="40"/>
        <v>2717.9185534292601</v>
      </c>
      <c r="AX33" s="139">
        <f t="shared" ca="1" si="40"/>
        <v>3001.4640079747146</v>
      </c>
    </row>
    <row r="34" spans="1:60" ht="12" customHeight="1">
      <c r="F34" s="126"/>
      <c r="L34" s="125"/>
      <c r="AX34" s="137"/>
    </row>
    <row r="35" spans="1:60" ht="12" customHeight="1">
      <c r="B35" s="140" t="s">
        <v>16</v>
      </c>
      <c r="AB35" s="140" t="s">
        <v>91</v>
      </c>
    </row>
    <row r="36" spans="1:60" s="126" customFormat="1" ht="12" customHeight="1" thickBot="1">
      <c r="C36" s="128">
        <f>C2</f>
        <v>1</v>
      </c>
      <c r="D36" s="128">
        <f t="shared" ref="D36:X36" si="41">D2</f>
        <v>2</v>
      </c>
      <c r="E36" s="128">
        <f t="shared" si="41"/>
        <v>3</v>
      </c>
      <c r="F36" s="128">
        <f t="shared" si="41"/>
        <v>4</v>
      </c>
      <c r="G36" s="128">
        <f t="shared" si="41"/>
        <v>5</v>
      </c>
      <c r="H36" s="128">
        <f t="shared" si="41"/>
        <v>6</v>
      </c>
      <c r="I36" s="128">
        <f t="shared" si="41"/>
        <v>7</v>
      </c>
      <c r="J36" s="128">
        <f t="shared" si="41"/>
        <v>8</v>
      </c>
      <c r="K36" s="128">
        <f t="shared" si="41"/>
        <v>9</v>
      </c>
      <c r="L36" s="128">
        <f t="shared" si="41"/>
        <v>10</v>
      </c>
      <c r="M36" s="128">
        <f t="shared" si="41"/>
        <v>11</v>
      </c>
      <c r="N36" s="128">
        <f t="shared" si="41"/>
        <v>12</v>
      </c>
      <c r="O36" s="128">
        <f t="shared" si="41"/>
        <v>13</v>
      </c>
      <c r="P36" s="128">
        <f t="shared" si="41"/>
        <v>14</v>
      </c>
      <c r="Q36" s="128">
        <f t="shared" si="41"/>
        <v>15</v>
      </c>
      <c r="R36" s="128">
        <f t="shared" si="41"/>
        <v>16</v>
      </c>
      <c r="S36" s="128">
        <f t="shared" si="41"/>
        <v>17</v>
      </c>
      <c r="T36" s="128">
        <f t="shared" si="41"/>
        <v>18</v>
      </c>
      <c r="U36" s="128">
        <f t="shared" si="41"/>
        <v>19</v>
      </c>
      <c r="V36" s="128">
        <f t="shared" si="41"/>
        <v>20</v>
      </c>
      <c r="W36" s="128">
        <f t="shared" si="41"/>
        <v>21</v>
      </c>
      <c r="X36" s="174" t="str">
        <f t="shared" si="41"/>
        <v>B</v>
      </c>
      <c r="AC36" s="128">
        <f>C36</f>
        <v>1</v>
      </c>
      <c r="AD36" s="128">
        <f>D36</f>
        <v>2</v>
      </c>
      <c r="AE36" s="128">
        <f t="shared" ref="AE36:AX36" si="42">E36</f>
        <v>3</v>
      </c>
      <c r="AF36" s="128">
        <f t="shared" si="42"/>
        <v>4</v>
      </c>
      <c r="AG36" s="128">
        <f t="shared" si="42"/>
        <v>5</v>
      </c>
      <c r="AH36" s="128">
        <f t="shared" si="42"/>
        <v>6</v>
      </c>
      <c r="AI36" s="128">
        <f t="shared" si="42"/>
        <v>7</v>
      </c>
      <c r="AJ36" s="128">
        <f t="shared" si="42"/>
        <v>8</v>
      </c>
      <c r="AK36" s="128">
        <f t="shared" si="42"/>
        <v>9</v>
      </c>
      <c r="AL36" s="128">
        <f t="shared" si="42"/>
        <v>10</v>
      </c>
      <c r="AM36" s="128">
        <f t="shared" si="42"/>
        <v>11</v>
      </c>
      <c r="AN36" s="128">
        <f t="shared" si="42"/>
        <v>12</v>
      </c>
      <c r="AO36" s="128">
        <f t="shared" si="42"/>
        <v>13</v>
      </c>
      <c r="AP36" s="128">
        <f t="shared" si="42"/>
        <v>14</v>
      </c>
      <c r="AQ36" s="128">
        <f t="shared" si="42"/>
        <v>15</v>
      </c>
      <c r="AR36" s="128">
        <f t="shared" si="42"/>
        <v>16</v>
      </c>
      <c r="AS36" s="128">
        <f t="shared" si="42"/>
        <v>17</v>
      </c>
      <c r="AT36" s="128">
        <f t="shared" si="42"/>
        <v>18</v>
      </c>
      <c r="AU36" s="128">
        <f t="shared" si="42"/>
        <v>19</v>
      </c>
      <c r="AV36" s="128">
        <f t="shared" si="42"/>
        <v>20</v>
      </c>
      <c r="AW36" s="128">
        <f t="shared" si="42"/>
        <v>21</v>
      </c>
      <c r="AX36" s="128" t="str">
        <f t="shared" si="42"/>
        <v>B</v>
      </c>
      <c r="AZ36" s="141"/>
      <c r="BA36" s="141"/>
      <c r="BB36" s="141"/>
      <c r="BC36" s="141"/>
      <c r="BD36" s="141"/>
      <c r="BE36" s="141"/>
      <c r="BF36" s="141"/>
      <c r="BG36" s="141"/>
      <c r="BH36" s="141"/>
    </row>
    <row r="37" spans="1:60" ht="12" customHeight="1">
      <c r="A37" s="129"/>
      <c r="B37" s="135" t="str">
        <f ca="1">B22</f>
        <v>Tour de Kruiskamp</v>
      </c>
      <c r="C37" s="142">
        <f t="shared" ref="C37" ca="1" si="43">IF($AC3&lt;&gt;"",C22*$AC3,"")</f>
        <v>46.728558145383744</v>
      </c>
      <c r="D37" s="142">
        <f ca="1">IF($AC3&lt;&gt;"",D22*$AC3,"")</f>
        <v>110.07042754359118</v>
      </c>
      <c r="E37" s="142">
        <f t="shared" ref="E37:Y37" ca="1" si="44">IF($AC3&lt;&gt;"",E22*$AC3,"")</f>
        <v>179.93278349749644</v>
      </c>
      <c r="F37" s="142">
        <f t="shared" ca="1" si="44"/>
        <v>180.02593330543499</v>
      </c>
      <c r="G37" s="142">
        <f t="shared" ca="1" si="44"/>
        <v>322.54513945140172</v>
      </c>
      <c r="H37" s="142">
        <f t="shared" ca="1" si="44"/>
        <v>502.32426877278459</v>
      </c>
      <c r="I37" s="142">
        <f t="shared" ca="1" si="44"/>
        <v>602.92606134640812</v>
      </c>
      <c r="J37" s="142">
        <f t="shared" ca="1" si="44"/>
        <v>789.22567722348879</v>
      </c>
      <c r="K37" s="142">
        <f t="shared" ca="1" si="44"/>
        <v>924.29289873437233</v>
      </c>
      <c r="L37" s="142">
        <f t="shared" ca="1" si="44"/>
        <v>1094.7570472619013</v>
      </c>
      <c r="M37" s="142">
        <f t="shared" ca="1" si="44"/>
        <v>1256.8377130749614</v>
      </c>
      <c r="N37" s="142">
        <f t="shared" ca="1" si="44"/>
        <v>1422.6443712055632</v>
      </c>
      <c r="O37" s="142">
        <f t="shared" ca="1" si="44"/>
        <v>1558.6430907958322</v>
      </c>
      <c r="P37" s="142">
        <f t="shared" ca="1" si="44"/>
        <v>1609.8754851620292</v>
      </c>
      <c r="Q37" s="142">
        <f t="shared" ca="1" si="44"/>
        <v>1779.4081356101728</v>
      </c>
      <c r="R37" s="142">
        <f t="shared" ca="1" si="44"/>
        <v>1833.4350242145263</v>
      </c>
      <c r="S37" s="142">
        <f t="shared" ca="1" si="44"/>
        <v>2022.5291343297631</v>
      </c>
      <c r="T37" s="142">
        <f t="shared" ca="1" si="44"/>
        <v>2213.486240603771</v>
      </c>
      <c r="U37" s="142">
        <f t="shared" ca="1" si="44"/>
        <v>2273.1021176844365</v>
      </c>
      <c r="V37" s="142">
        <f t="shared" ca="1" si="44"/>
        <v>2476.1686989904547</v>
      </c>
      <c r="W37" s="142">
        <f t="shared" ca="1" si="44"/>
        <v>2654.0848321530666</v>
      </c>
      <c r="X37" s="142">
        <f t="shared" ca="1" si="44"/>
        <v>2956.8217079533229</v>
      </c>
      <c r="Y37" s="142">
        <f t="shared" ca="1" si="44"/>
        <v>0</v>
      </c>
      <c r="Z37" s="126"/>
      <c r="AA37" s="126"/>
      <c r="AB37" s="136" t="str">
        <f t="shared" ref="AB37:AB48" ca="1" si="45">B37</f>
        <v>Tour de Kruiskamp</v>
      </c>
      <c r="AC37" s="137">
        <f t="shared" ref="AC37:AD47" ca="1" si="46">C37-AC$48</f>
        <v>-22.223549690050646</v>
      </c>
      <c r="AD37" s="137">
        <f t="shared" ca="1" si="46"/>
        <v>-25.094834052005197</v>
      </c>
      <c r="AE37" s="137">
        <f t="shared" ref="AE37:AE47" ca="1" si="47">E37-AE$48</f>
        <v>-34.767779746463589</v>
      </c>
      <c r="AF37" s="137">
        <f t="shared" ref="AF37:AF47" ca="1" si="48">F37-AF$48</f>
        <v>-34.77501135370008</v>
      </c>
      <c r="AG37" s="137">
        <f t="shared" ref="AG37:AG47" ca="1" si="49">G37-AG$48</f>
        <v>-48.36017496853367</v>
      </c>
      <c r="AH37" s="137">
        <f t="shared" ref="AH37:AH47" ca="1" si="50">H37-AH$48</f>
        <v>-64.357267499758279</v>
      </c>
      <c r="AI37" s="137">
        <f t="shared" ref="AI37:AI47" ca="1" si="51">I37-AI$48</f>
        <v>-62.254521342772819</v>
      </c>
      <c r="AJ37" s="137">
        <f t="shared" ref="AJ37:AJ47" ca="1" si="52">J37-AJ$48</f>
        <v>-52.607961406613867</v>
      </c>
      <c r="AK37" s="137">
        <f t="shared" ref="AK37:AK47" ca="1" si="53">K37-AK$48</f>
        <v>-47.751590130058275</v>
      </c>
      <c r="AL37" s="137">
        <f t="shared" ref="AL37:AL47" ca="1" si="54">L37-AL$48</f>
        <v>-63.341677176448002</v>
      </c>
      <c r="AM37" s="137">
        <f t="shared" ref="AM37:AM47" ca="1" si="55">M37-AM$48</f>
        <v>-66.659562701504001</v>
      </c>
      <c r="AN37" s="137">
        <f t="shared" ref="AN37:AN47" ca="1" si="56">N37-AN$48</f>
        <v>-78.121256040285061</v>
      </c>
      <c r="AO37" s="137">
        <f t="shared" ref="AO37:AO47" ca="1" si="57">O37-AO$48</f>
        <v>-96.18172966493853</v>
      </c>
      <c r="AP37" s="137">
        <f t="shared" ref="AP37:AP47" ca="1" si="58">P37-AP$48</f>
        <v>-108.43341698247355</v>
      </c>
      <c r="AQ37" s="137">
        <f t="shared" ref="AQ37:AQ47" ca="1" si="59">Q37-AQ$48</f>
        <v>-97.646776648529112</v>
      </c>
      <c r="AR37" s="137">
        <f t="shared" ref="AR37:AR47" ca="1" si="60">R37-AR$48</f>
        <v>-102.14172004644865</v>
      </c>
      <c r="AS37" s="137">
        <f t="shared" ref="AS37:AS47" ca="1" si="61">S37-AS$48</f>
        <v>-95.655197248705917</v>
      </c>
      <c r="AT37" s="137">
        <f t="shared" ref="AT37:AT47" ca="1" si="62">T37-AT$48</f>
        <v>-69.772751200383482</v>
      </c>
      <c r="AU37" s="137">
        <f t="shared" ref="AU37:AU47" ca="1" si="63">U37-AU$48</f>
        <v>-78.798435839809827</v>
      </c>
      <c r="AV37" s="137">
        <f t="shared" ref="AV37:AV47" ca="1" si="64">V37-AV$48</f>
        <v>-55.792631798053208</v>
      </c>
      <c r="AW37" s="137">
        <f t="shared" ref="AW37:AW47" ca="1" si="65">W37-AW$48</f>
        <v>-65.883867031943282</v>
      </c>
      <c r="AX37" s="137">
        <f t="shared" ref="AX37:AX47" ca="1" si="66">X37-AX$48</f>
        <v>-45.8457405933882</v>
      </c>
      <c r="AZ37" s="143"/>
      <c r="BC37" s="143"/>
      <c r="BD37" s="144"/>
      <c r="BE37" s="144"/>
    </row>
    <row r="38" spans="1:60" ht="12" customHeight="1">
      <c r="A38" s="129"/>
      <c r="B38" s="135" t="str">
        <f t="shared" ref="B38:B47" ca="1" si="67">B23</f>
        <v>Special Victims Unit</v>
      </c>
      <c r="C38" s="142">
        <f t="shared" ref="C38:D38" ca="1" si="68">IF($AC4&lt;&gt;"",C23*$AC4,"")</f>
        <v>47.322796488359309</v>
      </c>
      <c r="D38" s="142">
        <f t="shared" ca="1" si="68"/>
        <v>116.29357570913852</v>
      </c>
      <c r="E38" s="142">
        <f t="shared" ref="E38:Y38" ca="1" si="69">IF($AC4&lt;&gt;"",E23*$AC4,"")</f>
        <v>191.87799129355409</v>
      </c>
      <c r="F38" s="142">
        <f t="shared" ca="1" si="69"/>
        <v>191.97247181303462</v>
      </c>
      <c r="G38" s="142">
        <f t="shared" ca="1" si="69"/>
        <v>341.25169259225538</v>
      </c>
      <c r="H38" s="142">
        <f t="shared" ca="1" si="69"/>
        <v>528.32312116368394</v>
      </c>
      <c r="I38" s="142">
        <f t="shared" ca="1" si="69"/>
        <v>634.14130298186569</v>
      </c>
      <c r="J38" s="142">
        <f t="shared" ca="1" si="69"/>
        <v>806.09584843641119</v>
      </c>
      <c r="K38" s="142">
        <f t="shared" ca="1" si="69"/>
        <v>930.81013415069685</v>
      </c>
      <c r="L38" s="142">
        <f t="shared" ca="1" si="69"/>
        <v>1102.7646796052422</v>
      </c>
      <c r="M38" s="142">
        <f t="shared" ca="1" si="69"/>
        <v>1234.0926016831645</v>
      </c>
      <c r="N38" s="142">
        <f t="shared" ca="1" si="69"/>
        <v>1393.7646796052422</v>
      </c>
      <c r="O38" s="142">
        <f t="shared" ca="1" si="69"/>
        <v>1531.7062380468008</v>
      </c>
      <c r="P38" s="142">
        <f t="shared" ca="1" si="69"/>
        <v>1583.6705237610865</v>
      </c>
      <c r="Q38" s="142">
        <f t="shared" ca="1" si="69"/>
        <v>1720.6672770078396</v>
      </c>
      <c r="R38" s="142">
        <f t="shared" ca="1" si="69"/>
        <v>1761.2939003844631</v>
      </c>
      <c r="S38" s="142">
        <f t="shared" ca="1" si="69"/>
        <v>1956.8685757091382</v>
      </c>
      <c r="T38" s="142">
        <f t="shared" ca="1" si="69"/>
        <v>2118.4302640208266</v>
      </c>
      <c r="U38" s="142">
        <f t="shared" ca="1" si="69"/>
        <v>2182.6770172675797</v>
      </c>
      <c r="V38" s="142">
        <f t="shared" ca="1" si="69"/>
        <v>2345.1835107740731</v>
      </c>
      <c r="W38" s="142">
        <f t="shared" ca="1" si="69"/>
        <v>2515.2484458390081</v>
      </c>
      <c r="X38" s="142">
        <f t="shared" ca="1" si="69"/>
        <v>2760.8977964883588</v>
      </c>
      <c r="Y38" s="142">
        <f t="shared" ca="1" si="69"/>
        <v>0</v>
      </c>
      <c r="Z38" s="126"/>
      <c r="AA38" s="126"/>
      <c r="AB38" s="136" t="str">
        <f ca="1">B38</f>
        <v>Special Victims Unit</v>
      </c>
      <c r="AC38" s="137">
        <f t="shared" ca="1" si="46"/>
        <v>-21.629311347075081</v>
      </c>
      <c r="AD38" s="137">
        <f t="shared" ca="1" si="46"/>
        <v>-18.871685886457854</v>
      </c>
      <c r="AE38" s="137">
        <f t="shared" ca="1" si="47"/>
        <v>-22.822571950405944</v>
      </c>
      <c r="AF38" s="137">
        <f t="shared" ca="1" si="48"/>
        <v>-22.828472846100453</v>
      </c>
      <c r="AG38" s="137">
        <f t="shared" ca="1" si="49"/>
        <v>-29.653621827680013</v>
      </c>
      <c r="AH38" s="137">
        <f t="shared" ca="1" si="50"/>
        <v>-38.358415108858935</v>
      </c>
      <c r="AI38" s="137">
        <f t="shared" ca="1" si="51"/>
        <v>-31.039279707315245</v>
      </c>
      <c r="AJ38" s="137">
        <f t="shared" ca="1" si="52"/>
        <v>-35.737790193691467</v>
      </c>
      <c r="AK38" s="137">
        <f t="shared" ca="1" si="53"/>
        <v>-41.234354713733751</v>
      </c>
      <c r="AL38" s="137">
        <f t="shared" ca="1" si="54"/>
        <v>-55.3340448331071</v>
      </c>
      <c r="AM38" s="137">
        <f t="shared" ca="1" si="55"/>
        <v>-89.404674093300855</v>
      </c>
      <c r="AN38" s="137">
        <f t="shared" ca="1" si="56"/>
        <v>-107.000947640606</v>
      </c>
      <c r="AO38" s="137">
        <f t="shared" ca="1" si="57"/>
        <v>-123.11858241396999</v>
      </c>
      <c r="AP38" s="137">
        <f t="shared" ca="1" si="58"/>
        <v>-134.63837838341624</v>
      </c>
      <c r="AQ38" s="137">
        <f t="shared" ca="1" si="59"/>
        <v>-156.38763525086233</v>
      </c>
      <c r="AR38" s="137">
        <f t="shared" ca="1" si="60"/>
        <v>-174.28284387651183</v>
      </c>
      <c r="AS38" s="137">
        <f t="shared" ca="1" si="61"/>
        <v>-161.31575586933081</v>
      </c>
      <c r="AT38" s="137">
        <f t="shared" ca="1" si="62"/>
        <v>-164.82872778332785</v>
      </c>
      <c r="AU38" s="137">
        <f t="shared" ca="1" si="63"/>
        <v>-169.22353625666665</v>
      </c>
      <c r="AV38" s="137">
        <f t="shared" ca="1" si="64"/>
        <v>-186.77782001443484</v>
      </c>
      <c r="AW38" s="137">
        <f t="shared" ca="1" si="65"/>
        <v>-204.72025334600175</v>
      </c>
      <c r="AX38" s="137">
        <f t="shared" ca="1" si="66"/>
        <v>-241.76965205835222</v>
      </c>
      <c r="AZ38" s="143"/>
      <c r="BC38" s="143"/>
      <c r="BD38" s="144"/>
      <c r="BE38" s="144"/>
    </row>
    <row r="39" spans="1:60" ht="12" customHeight="1">
      <c r="A39" s="129"/>
      <c r="B39" s="135" t="str">
        <f t="shared" ca="1" si="67"/>
        <v>For Sale</v>
      </c>
      <c r="C39" s="142">
        <f t="shared" ref="C39:D39" ca="1" si="70">IF($AC5&lt;&gt;"",C24*$AC5,"")</f>
        <v>89.168815333182408</v>
      </c>
      <c r="D39" s="142">
        <f t="shared" ca="1" si="70"/>
        <v>135.17672047152232</v>
      </c>
      <c r="E39" s="142">
        <f t="shared" ref="E39:Y39" ca="1" si="71">IF($AC5&lt;&gt;"",E24*$AC5,"")</f>
        <v>194.60359794187806</v>
      </c>
      <c r="F39" s="142">
        <f t="shared" ca="1" si="71"/>
        <v>194.6994477442496</v>
      </c>
      <c r="G39" s="142">
        <f t="shared" ca="1" si="71"/>
        <v>333.68166118298478</v>
      </c>
      <c r="H39" s="142">
        <f t="shared" ca="1" si="71"/>
        <v>522.50577185492159</v>
      </c>
      <c r="I39" s="142">
        <f t="shared" ca="1" si="71"/>
        <v>600.14411177587021</v>
      </c>
      <c r="J39" s="142">
        <f t="shared" ca="1" si="71"/>
        <v>775.54925011579121</v>
      </c>
      <c r="K39" s="142">
        <f t="shared" ca="1" si="71"/>
        <v>903.98798529365683</v>
      </c>
      <c r="L39" s="142">
        <f t="shared" ca="1" si="71"/>
        <v>1098.563084107886</v>
      </c>
      <c r="M39" s="142">
        <f t="shared" ca="1" si="71"/>
        <v>1266.3002382580837</v>
      </c>
      <c r="N39" s="142">
        <f t="shared" ca="1" si="71"/>
        <v>1452.2488548588742</v>
      </c>
      <c r="O39" s="142">
        <f t="shared" ca="1" si="71"/>
        <v>1593.1480643450402</v>
      </c>
      <c r="P39" s="142">
        <f t="shared" ca="1" si="71"/>
        <v>1637.2389734359494</v>
      </c>
      <c r="Q39" s="142">
        <f t="shared" ca="1" si="71"/>
        <v>1777.1796848984</v>
      </c>
      <c r="R39" s="142">
        <f t="shared" ca="1" si="71"/>
        <v>1819.3535979418782</v>
      </c>
      <c r="S39" s="142">
        <f t="shared" ca="1" si="71"/>
        <v>1972.7132817363445</v>
      </c>
      <c r="T39" s="142">
        <f t="shared" ca="1" si="71"/>
        <v>2112.653993198795</v>
      </c>
      <c r="U39" s="142">
        <f t="shared" ca="1" si="71"/>
        <v>2178.7903568351585</v>
      </c>
      <c r="V39" s="142">
        <f t="shared" ca="1" si="71"/>
        <v>2344.6105149379255</v>
      </c>
      <c r="W39" s="142">
        <f t="shared" ca="1" si="71"/>
        <v>2537.268617704724</v>
      </c>
      <c r="X39" s="142">
        <f t="shared" ca="1" si="71"/>
        <v>2787.4366018944474</v>
      </c>
      <c r="Y39" s="142">
        <f t="shared" ca="1" si="71"/>
        <v>0</v>
      </c>
      <c r="Z39" s="126"/>
      <c r="AA39" s="126"/>
      <c r="AB39" s="136" t="str">
        <f t="shared" ca="1" si="45"/>
        <v>For Sale</v>
      </c>
      <c r="AC39" s="137">
        <f t="shared" ca="1" si="46"/>
        <v>20.216707497748018</v>
      </c>
      <c r="AD39" s="137">
        <f t="shared" ca="1" si="46"/>
        <v>1.1458875925939083E-2</v>
      </c>
      <c r="AE39" s="137">
        <f t="shared" ca="1" si="47"/>
        <v>-20.096965302081969</v>
      </c>
      <c r="AF39" s="137">
        <f t="shared" ca="1" si="48"/>
        <v>-20.101496914885473</v>
      </c>
      <c r="AG39" s="137">
        <f t="shared" ca="1" si="49"/>
        <v>-37.223653236950611</v>
      </c>
      <c r="AH39" s="137">
        <f t="shared" ca="1" si="50"/>
        <v>-44.175764417621281</v>
      </c>
      <c r="AI39" s="137">
        <f t="shared" ca="1" si="51"/>
        <v>-65.036470913310723</v>
      </c>
      <c r="AJ39" s="137">
        <f t="shared" ca="1" si="52"/>
        <v>-66.284388514311445</v>
      </c>
      <c r="AK39" s="137">
        <f t="shared" ca="1" si="53"/>
        <v>-68.056503570773771</v>
      </c>
      <c r="AL39" s="137">
        <f t="shared" ca="1" si="54"/>
        <v>-59.535640330463366</v>
      </c>
      <c r="AM39" s="137">
        <f t="shared" ca="1" si="55"/>
        <v>-57.197037518381649</v>
      </c>
      <c r="AN39" s="137">
        <f t="shared" ca="1" si="56"/>
        <v>-48.516772386974026</v>
      </c>
      <c r="AO39" s="137">
        <f t="shared" ca="1" si="57"/>
        <v>-61.676756115730541</v>
      </c>
      <c r="AP39" s="137">
        <f t="shared" ca="1" si="58"/>
        <v>-81.069928708553334</v>
      </c>
      <c r="AQ39" s="137">
        <f t="shared" ca="1" si="59"/>
        <v>-99.875227360302006</v>
      </c>
      <c r="AR39" s="137">
        <f t="shared" ca="1" si="60"/>
        <v>-116.22314631909671</v>
      </c>
      <c r="AS39" s="137">
        <f t="shared" ca="1" si="61"/>
        <v>-145.47104984212456</v>
      </c>
      <c r="AT39" s="137">
        <f t="shared" ca="1" si="62"/>
        <v>-170.60499860535947</v>
      </c>
      <c r="AU39" s="137">
        <f t="shared" ca="1" si="63"/>
        <v>-173.11019668908784</v>
      </c>
      <c r="AV39" s="137">
        <f t="shared" ca="1" si="64"/>
        <v>-187.35081585058242</v>
      </c>
      <c r="AW39" s="137">
        <f t="shared" ca="1" si="65"/>
        <v>-182.70008148028592</v>
      </c>
      <c r="AX39" s="137">
        <f t="shared" ca="1" si="66"/>
        <v>-215.23084665226361</v>
      </c>
      <c r="AZ39" s="143"/>
      <c r="BC39" s="143"/>
      <c r="BD39" s="144"/>
      <c r="BE39" s="144"/>
    </row>
    <row r="40" spans="1:60" ht="12" customHeight="1">
      <c r="A40" s="129"/>
      <c r="B40" s="135" t="str">
        <f t="shared" ca="1" si="67"/>
        <v>Am Selfkant</v>
      </c>
      <c r="C40" s="142">
        <f t="shared" ref="C40:D40" ca="1" si="72">IF($AC6&lt;&gt;"",C25*$AC6,"")</f>
        <v>89.890936276723536</v>
      </c>
      <c r="D40" s="142">
        <f t="shared" ca="1" si="72"/>
        <v>157.47554145256959</v>
      </c>
      <c r="E40" s="142">
        <f t="shared" ref="E40:Y40" ca="1" si="73">IF($AC6&lt;&gt;"",E25*$AC6,"")</f>
        <v>218.30168611083104</v>
      </c>
      <c r="F40" s="142">
        <f t="shared" ca="1" si="73"/>
        <v>218.39823554679654</v>
      </c>
      <c r="G40" s="142">
        <f t="shared" ca="1" si="73"/>
        <v>388.3252428460666</v>
      </c>
      <c r="H40" s="142">
        <f t="shared" ca="1" si="73"/>
        <v>587.21708093498501</v>
      </c>
      <c r="I40" s="142">
        <f t="shared" ca="1" si="73"/>
        <v>691.49047177771888</v>
      </c>
      <c r="J40" s="142">
        <f t="shared" ca="1" si="73"/>
        <v>896.17527602456698</v>
      </c>
      <c r="K40" s="142">
        <f t="shared" ca="1" si="73"/>
        <v>1013.9655879024702</v>
      </c>
      <c r="L40" s="142">
        <f t="shared" ca="1" si="73"/>
        <v>1210.9264372720788</v>
      </c>
      <c r="M40" s="142">
        <f t="shared" ca="1" si="73"/>
        <v>1393.4048712468632</v>
      </c>
      <c r="N40" s="142">
        <f t="shared" ca="1" si="73"/>
        <v>1583.6072600988871</v>
      </c>
      <c r="O40" s="142">
        <f t="shared" ca="1" si="73"/>
        <v>1725.5349309681637</v>
      </c>
      <c r="P40" s="142">
        <f t="shared" ca="1" si="73"/>
        <v>1795.0505248633197</v>
      </c>
      <c r="Q40" s="142">
        <f t="shared" ca="1" si="73"/>
        <v>1971.7359926801744</v>
      </c>
      <c r="R40" s="142">
        <f t="shared" ca="1" si="73"/>
        <v>2028.7001598998161</v>
      </c>
      <c r="S40" s="142">
        <f t="shared" ca="1" si="73"/>
        <v>2226.6265036290797</v>
      </c>
      <c r="T40" s="142">
        <f t="shared" ca="1" si="73"/>
        <v>2407.1739488845537</v>
      </c>
      <c r="U40" s="142">
        <f t="shared" ca="1" si="73"/>
        <v>2469.9310822621255</v>
      </c>
      <c r="V40" s="142">
        <f t="shared" ca="1" si="73"/>
        <v>2701.6497285793116</v>
      </c>
      <c r="W40" s="142">
        <f t="shared" ca="1" si="73"/>
        <v>2907.300027185815</v>
      </c>
      <c r="X40" s="142">
        <f t="shared" ca="1" si="73"/>
        <v>3252.9470079422845</v>
      </c>
      <c r="Y40" s="142">
        <f t="shared" ca="1" si="73"/>
        <v>0</v>
      </c>
      <c r="Z40" s="126"/>
      <c r="AA40" s="126"/>
      <c r="AB40" s="136" t="str">
        <f t="shared" ca="1" si="45"/>
        <v>Am Selfkant</v>
      </c>
      <c r="AC40" s="137">
        <f t="shared" ca="1" si="46"/>
        <v>20.938828441289147</v>
      </c>
      <c r="AD40" s="137">
        <f t="shared" ca="1" si="46"/>
        <v>22.31027985697321</v>
      </c>
      <c r="AE40" s="137">
        <f t="shared" ca="1" si="47"/>
        <v>3.6011228668710089</v>
      </c>
      <c r="AF40" s="137">
        <f t="shared" ca="1" si="48"/>
        <v>3.5972908876614724</v>
      </c>
      <c r="AG40" s="137">
        <f t="shared" ca="1" si="49"/>
        <v>17.419928426131207</v>
      </c>
      <c r="AH40" s="137">
        <f t="shared" ca="1" si="50"/>
        <v>20.535544662442135</v>
      </c>
      <c r="AI40" s="137">
        <f t="shared" ca="1" si="51"/>
        <v>26.309889088537943</v>
      </c>
      <c r="AJ40" s="137">
        <f t="shared" ca="1" si="52"/>
        <v>54.341637394464328</v>
      </c>
      <c r="AK40" s="137">
        <f t="shared" ca="1" si="53"/>
        <v>41.921099038039642</v>
      </c>
      <c r="AL40" s="137">
        <f t="shared" ca="1" si="54"/>
        <v>52.827712833729493</v>
      </c>
      <c r="AM40" s="137">
        <f t="shared" ca="1" si="55"/>
        <v>69.907595470397837</v>
      </c>
      <c r="AN40" s="137">
        <f t="shared" ca="1" si="56"/>
        <v>82.841632853038845</v>
      </c>
      <c r="AO40" s="137">
        <f t="shared" ca="1" si="57"/>
        <v>70.710110507392983</v>
      </c>
      <c r="AP40" s="137">
        <f t="shared" ca="1" si="58"/>
        <v>76.74162271881687</v>
      </c>
      <c r="AQ40" s="137">
        <f t="shared" ca="1" si="59"/>
        <v>94.681080421472416</v>
      </c>
      <c r="AR40" s="137">
        <f t="shared" ca="1" si="60"/>
        <v>93.123415638841152</v>
      </c>
      <c r="AS40" s="137">
        <f t="shared" ca="1" si="61"/>
        <v>108.44217205061068</v>
      </c>
      <c r="AT40" s="137">
        <f t="shared" ca="1" si="62"/>
        <v>123.91495708039929</v>
      </c>
      <c r="AU40" s="137">
        <f t="shared" ca="1" si="63"/>
        <v>118.03052873787919</v>
      </c>
      <c r="AV40" s="137">
        <f t="shared" ca="1" si="64"/>
        <v>169.68839779080372</v>
      </c>
      <c r="AW40" s="137">
        <f t="shared" ca="1" si="65"/>
        <v>187.33132800080512</v>
      </c>
      <c r="AX40" s="137">
        <f t="shared" ca="1" si="66"/>
        <v>250.27955939557341</v>
      </c>
      <c r="AZ40" s="143"/>
      <c r="BC40" s="143"/>
      <c r="BD40" s="144"/>
      <c r="BE40" s="144"/>
    </row>
    <row r="41" spans="1:60" ht="12" customHeight="1">
      <c r="A41" s="129"/>
      <c r="B41" s="135" t="str">
        <f t="shared" ca="1" si="67"/>
        <v>De Lange Man</v>
      </c>
      <c r="C41" s="142">
        <f t="shared" ref="C41:D41" ca="1" si="74">IF($AC7&lt;&gt;"",C26*$AC7,"")</f>
        <v>49.493643143188422</v>
      </c>
      <c r="D41" s="142">
        <f t="shared" ca="1" si="74"/>
        <v>120.56555630465382</v>
      </c>
      <c r="E41" s="142">
        <f t="shared" ref="E41:Y41" ca="1" si="75">IF($AC7&lt;&gt;"",E26*$AC7,"")</f>
        <v>184.72770013097676</v>
      </c>
      <c r="F41" s="142">
        <f t="shared" ca="1" si="75"/>
        <v>184.8264111214788</v>
      </c>
      <c r="G41" s="142">
        <f t="shared" ca="1" si="75"/>
        <v>326.97023744440958</v>
      </c>
      <c r="H41" s="142">
        <f t="shared" ca="1" si="75"/>
        <v>513.53400949325624</v>
      </c>
      <c r="I41" s="142">
        <f t="shared" ca="1" si="75"/>
        <v>594.47702170492516</v>
      </c>
      <c r="J41" s="142">
        <f t="shared" ca="1" si="75"/>
        <v>792.88611261401616</v>
      </c>
      <c r="K41" s="142">
        <f t="shared" ca="1" si="75"/>
        <v>941.93970827208932</v>
      </c>
      <c r="L41" s="142">
        <f t="shared" ca="1" si="75"/>
        <v>1126.5292605108953</v>
      </c>
      <c r="M41" s="142">
        <f t="shared" ca="1" si="75"/>
        <v>1304.2090434145589</v>
      </c>
      <c r="N41" s="142">
        <f t="shared" ca="1" si="75"/>
        <v>1470.0435074579782</v>
      </c>
      <c r="O41" s="142">
        <f t="shared" ca="1" si="75"/>
        <v>1653.6459497917638</v>
      </c>
      <c r="P41" s="142">
        <f t="shared" ca="1" si="75"/>
        <v>1721.756533238168</v>
      </c>
      <c r="Q41" s="142">
        <f t="shared" ca="1" si="75"/>
        <v>1927.0753934824015</v>
      </c>
      <c r="R41" s="142">
        <f t="shared" ca="1" si="75"/>
        <v>1988.2762075936632</v>
      </c>
      <c r="S41" s="142">
        <f t="shared" ca="1" si="75"/>
        <v>2190.6337381228354</v>
      </c>
      <c r="T41" s="142">
        <f t="shared" ca="1" si="75"/>
        <v>2382.1330596967841</v>
      </c>
      <c r="U41" s="142">
        <f t="shared" ca="1" si="75"/>
        <v>2454.1920827632698</v>
      </c>
      <c r="V41" s="142">
        <f t="shared" ca="1" si="75"/>
        <v>2672.343371772768</v>
      </c>
      <c r="W41" s="142">
        <f t="shared" ca="1" si="75"/>
        <v>2865.816913156757</v>
      </c>
      <c r="X41" s="142">
        <f t="shared" ca="1" si="75"/>
        <v>3213.2795997239209</v>
      </c>
      <c r="Y41" s="142">
        <f t="shared" ca="1" si="75"/>
        <v>0</v>
      </c>
      <c r="Z41" s="126"/>
      <c r="AA41" s="126"/>
      <c r="AB41" s="136" t="str">
        <f t="shared" ref="AB41" ca="1" si="76">B41</f>
        <v>De Lange Man</v>
      </c>
      <c r="AC41" s="137">
        <f t="shared" ref="AC41" ca="1" si="77">C41-AC$48</f>
        <v>-19.458464692245968</v>
      </c>
      <c r="AD41" s="137">
        <f t="shared" ref="AD41" ca="1" si="78">D41-AD$48</f>
        <v>-14.599705290942552</v>
      </c>
      <c r="AE41" s="137">
        <f t="shared" ref="AE41" ca="1" si="79">E41-AE$48</f>
        <v>-29.972863112983276</v>
      </c>
      <c r="AF41" s="137">
        <f t="shared" ref="AF41" ca="1" si="80">F41-AF$48</f>
        <v>-29.974533537656271</v>
      </c>
      <c r="AG41" s="137">
        <f t="shared" ref="AG41" ca="1" si="81">G41-AG$48</f>
        <v>-43.935076975525817</v>
      </c>
      <c r="AH41" s="137">
        <f t="shared" ref="AH41" ca="1" si="82">H41-AH$48</f>
        <v>-53.147526779286636</v>
      </c>
      <c r="AI41" s="137">
        <f t="shared" ref="AI41" ca="1" si="83">I41-AI$48</f>
        <v>-70.703560984255773</v>
      </c>
      <c r="AJ41" s="137">
        <f t="shared" ref="AJ41" ca="1" si="84">J41-AJ$48</f>
        <v>-48.947526016086499</v>
      </c>
      <c r="AK41" s="137">
        <f t="shared" ref="AK41" ca="1" si="85">K41-AK$48</f>
        <v>-30.104780592341285</v>
      </c>
      <c r="AL41" s="137">
        <f t="shared" ref="AL41" ca="1" si="86">L41-AL$48</f>
        <v>-31.56946392745408</v>
      </c>
      <c r="AM41" s="137">
        <f t="shared" ref="AM41" ca="1" si="87">M41-AM$48</f>
        <v>-19.288232361906466</v>
      </c>
      <c r="AN41" s="137">
        <f t="shared" ref="AN41" ca="1" si="88">N41-AN$48</f>
        <v>-30.722119787870042</v>
      </c>
      <c r="AO41" s="137">
        <f t="shared" ref="AO41" ca="1" si="89">O41-AO$48</f>
        <v>-1.178870669006983</v>
      </c>
      <c r="AP41" s="137">
        <f t="shared" ref="AP41" ca="1" si="90">P41-AP$48</f>
        <v>3.4476310936652226</v>
      </c>
      <c r="AQ41" s="137">
        <f t="shared" ref="AQ41" ca="1" si="91">Q41-AQ$48</f>
        <v>50.020481223699562</v>
      </c>
      <c r="AR41" s="137">
        <f t="shared" ref="AR41" ca="1" si="92">R41-AR$48</f>
        <v>52.69946333268831</v>
      </c>
      <c r="AS41" s="137">
        <f t="shared" ref="AS41" ca="1" si="93">S41-AS$48</f>
        <v>72.449406544366411</v>
      </c>
      <c r="AT41" s="137">
        <f t="shared" ref="AT41" ca="1" si="94">T41-AT$48</f>
        <v>98.874067892629682</v>
      </c>
      <c r="AU41" s="137">
        <f t="shared" ref="AU41" ca="1" si="95">U41-AU$48</f>
        <v>102.29152923902348</v>
      </c>
      <c r="AV41" s="137">
        <f t="shared" ref="AV41" ca="1" si="96">V41-AV$48</f>
        <v>140.38204098426013</v>
      </c>
      <c r="AW41" s="137">
        <f t="shared" ref="AW41" ca="1" si="97">W41-AW$48</f>
        <v>145.8482139717471</v>
      </c>
      <c r="AX41" s="137">
        <f t="shared" ref="AX41" ca="1" si="98">X41-AX$48</f>
        <v>210.61215117720985</v>
      </c>
      <c r="AZ41" s="143"/>
      <c r="BC41" s="143"/>
      <c r="BD41" s="144"/>
      <c r="BE41" s="144"/>
    </row>
    <row r="42" spans="1:60" ht="12" customHeight="1">
      <c r="A42" s="129"/>
      <c r="B42" s="135" t="str">
        <f t="shared" ca="1" si="67"/>
        <v>Vorwärts Kinder des Vaterlandes!</v>
      </c>
      <c r="C42" s="142">
        <f t="shared" ref="C42:D42" ca="1" si="99">IF($AC8&lt;&gt;"",C27*$AC8,"")</f>
        <v>68.143587336235314</v>
      </c>
      <c r="D42" s="142">
        <f t="shared" ca="1" si="99"/>
        <v>139.21550049770073</v>
      </c>
      <c r="E42" s="142">
        <f t="shared" ref="E42:Y42" ca="1" si="100">IF($AC8&lt;&gt;"",E27*$AC8,"")</f>
        <v>229.04250185455282</v>
      </c>
      <c r="F42" s="142">
        <f t="shared" ca="1" si="100"/>
        <v>229.14121284505487</v>
      </c>
      <c r="G42" s="142">
        <f t="shared" ca="1" si="100"/>
        <v>387.07879764831137</v>
      </c>
      <c r="H42" s="142">
        <f t="shared" ca="1" si="100"/>
        <v>592.39765789254477</v>
      </c>
      <c r="I42" s="142">
        <f t="shared" ca="1" si="100"/>
        <v>702.95396725482419</v>
      </c>
      <c r="J42" s="142">
        <f t="shared" ca="1" si="100"/>
        <v>862.86577186812133</v>
      </c>
      <c r="K42" s="142">
        <f t="shared" ca="1" si="100"/>
        <v>970.46075151533978</v>
      </c>
      <c r="L42" s="142">
        <f t="shared" ca="1" si="100"/>
        <v>1158.0116334692068</v>
      </c>
      <c r="M42" s="142">
        <f t="shared" ca="1" si="100"/>
        <v>1310.0265588423413</v>
      </c>
      <c r="N42" s="142">
        <f t="shared" ca="1" si="100"/>
        <v>1474.8739129807402</v>
      </c>
      <c r="O42" s="142">
        <f t="shared" ca="1" si="100"/>
        <v>1613.0692996835894</v>
      </c>
      <c r="P42" s="142">
        <f t="shared" ca="1" si="100"/>
        <v>1681.1798831299939</v>
      </c>
      <c r="Q42" s="142">
        <f t="shared" ca="1" si="100"/>
        <v>1811.4783905926804</v>
      </c>
      <c r="R42" s="142">
        <f t="shared" ca="1" si="100"/>
        <v>1888.4729631842679</v>
      </c>
      <c r="S42" s="142">
        <f t="shared" ca="1" si="100"/>
        <v>2034.5652291272804</v>
      </c>
      <c r="T42" s="142">
        <f t="shared" ca="1" si="100"/>
        <v>2154.9926375397636</v>
      </c>
      <c r="U42" s="142">
        <f t="shared" ca="1" si="100"/>
        <v>2256.6649577568596</v>
      </c>
      <c r="V42" s="142">
        <f t="shared" ca="1" si="100"/>
        <v>2399.7958939848108</v>
      </c>
      <c r="W42" s="142">
        <f t="shared" ca="1" si="100"/>
        <v>2581.4241165085559</v>
      </c>
      <c r="X42" s="142">
        <f t="shared" ca="1" si="100"/>
        <v>2814.3820540933589</v>
      </c>
      <c r="Y42" s="142">
        <f t="shared" ca="1" si="100"/>
        <v>0</v>
      </c>
      <c r="Z42" s="126"/>
      <c r="AA42" s="126"/>
      <c r="AB42" s="136" t="str">
        <f t="shared" ca="1" si="45"/>
        <v>Vorwärts Kinder des Vaterlandes!</v>
      </c>
      <c r="AC42" s="137">
        <f t="shared" ca="1" si="46"/>
        <v>-0.80852049919907643</v>
      </c>
      <c r="AD42" s="137">
        <f t="shared" ca="1" si="46"/>
        <v>4.0502389021043541</v>
      </c>
      <c r="AE42" s="137">
        <f t="shared" ca="1" si="47"/>
        <v>14.341938610592791</v>
      </c>
      <c r="AF42" s="137">
        <f t="shared" ca="1" si="48"/>
        <v>14.340268185919797</v>
      </c>
      <c r="AG42" s="137">
        <f t="shared" ca="1" si="49"/>
        <v>16.173483228375972</v>
      </c>
      <c r="AH42" s="137">
        <f t="shared" ca="1" si="50"/>
        <v>25.7161216200019</v>
      </c>
      <c r="AI42" s="137">
        <f t="shared" ca="1" si="51"/>
        <v>37.773384565643255</v>
      </c>
      <c r="AJ42" s="137">
        <f t="shared" ca="1" si="52"/>
        <v>21.032133238018673</v>
      </c>
      <c r="AK42" s="137">
        <f t="shared" ca="1" si="53"/>
        <v>-1.5837373490908249</v>
      </c>
      <c r="AL42" s="137">
        <f t="shared" ca="1" si="54"/>
        <v>-8.7090969142536778E-2</v>
      </c>
      <c r="AM42" s="137">
        <f t="shared" ca="1" si="55"/>
        <v>-13.470716934124084</v>
      </c>
      <c r="AN42" s="137">
        <f t="shared" ca="1" si="56"/>
        <v>-25.891714265108021</v>
      </c>
      <c r="AO42" s="137">
        <f t="shared" ca="1" si="57"/>
        <v>-41.755520777181346</v>
      </c>
      <c r="AP42" s="137">
        <f t="shared" ca="1" si="58"/>
        <v>-37.129019014508913</v>
      </c>
      <c r="AQ42" s="137">
        <f t="shared" ca="1" si="59"/>
        <v>-65.576521666021563</v>
      </c>
      <c r="AR42" s="137">
        <f t="shared" ca="1" si="60"/>
        <v>-47.103781076707037</v>
      </c>
      <c r="AS42" s="137">
        <f t="shared" ca="1" si="61"/>
        <v>-83.61910245118861</v>
      </c>
      <c r="AT42" s="137">
        <f t="shared" ca="1" si="62"/>
        <v>-128.26635426439088</v>
      </c>
      <c r="AU42" s="137">
        <f t="shared" ca="1" si="63"/>
        <v>-95.235595767386712</v>
      </c>
      <c r="AV42" s="137">
        <f t="shared" ca="1" si="64"/>
        <v>-132.16543680369705</v>
      </c>
      <c r="AW42" s="137">
        <f t="shared" ca="1" si="65"/>
        <v>-138.54458267645396</v>
      </c>
      <c r="AX42" s="137">
        <f t="shared" ca="1" si="66"/>
        <v>-188.28539445335218</v>
      </c>
      <c r="AZ42" s="143"/>
      <c r="BC42" s="143"/>
      <c r="BD42" s="144"/>
      <c r="BE42" s="144"/>
    </row>
    <row r="43" spans="1:60" ht="12" customHeight="1">
      <c r="A43" s="129"/>
      <c r="B43" s="135" t="str">
        <f t="shared" ca="1" si="67"/>
        <v>El Gran</v>
      </c>
      <c r="C43" s="142">
        <f t="shared" ref="C43:D43" ca="1" si="101">IF($AC9&lt;&gt;"",C28*$AC9,"")</f>
        <v>69.255978188180322</v>
      </c>
      <c r="D43" s="142">
        <f t="shared" ca="1" si="101"/>
        <v>136.39440794024642</v>
      </c>
      <c r="E43" s="142">
        <f t="shared" ref="E43:Y43" ca="1" si="102">IF($AC9&lt;&gt;"",E28*$AC9,"")</f>
        <v>222.57209389065966</v>
      </c>
      <c r="F43" s="142">
        <f t="shared" ca="1" si="102"/>
        <v>222.67230050222989</v>
      </c>
      <c r="G43" s="142">
        <f t="shared" ca="1" si="102"/>
        <v>377.99254843611419</v>
      </c>
      <c r="H43" s="142">
        <f t="shared" ca="1" si="102"/>
        <v>581.41196992371749</v>
      </c>
      <c r="I43" s="142">
        <f t="shared" ca="1" si="102"/>
        <v>659.57312694851089</v>
      </c>
      <c r="J43" s="142">
        <f t="shared" ca="1" si="102"/>
        <v>848.96362281627944</v>
      </c>
      <c r="K43" s="142">
        <f t="shared" ca="1" si="102"/>
        <v>982.23841620470921</v>
      </c>
      <c r="L43" s="142">
        <f t="shared" ca="1" si="102"/>
        <v>1173.6330443038828</v>
      </c>
      <c r="M43" s="142">
        <f t="shared" ca="1" si="102"/>
        <v>1327.9512261220646</v>
      </c>
      <c r="N43" s="142">
        <f t="shared" ca="1" si="102"/>
        <v>1504.314862485701</v>
      </c>
      <c r="O43" s="142">
        <f t="shared" ca="1" si="102"/>
        <v>1673.6640360394199</v>
      </c>
      <c r="P43" s="142">
        <f t="shared" ca="1" si="102"/>
        <v>1757.8375897584283</v>
      </c>
      <c r="Q43" s="142">
        <f t="shared" ca="1" si="102"/>
        <v>1950.2342839733042</v>
      </c>
      <c r="R43" s="142">
        <f t="shared" ca="1" si="102"/>
        <v>2039.4181682708249</v>
      </c>
      <c r="S43" s="142">
        <f t="shared" ca="1" si="102"/>
        <v>2241.8355236427255</v>
      </c>
      <c r="T43" s="279">
        <f t="shared" ca="1" si="102"/>
        <v>2449.2632095931385</v>
      </c>
      <c r="U43" s="279">
        <f t="shared" ca="1" si="102"/>
        <v>2548.467755047684</v>
      </c>
      <c r="V43" s="279">
        <f t="shared" ca="1" si="102"/>
        <v>2752.8892426509897</v>
      </c>
      <c r="W43" s="279">
        <f t="shared" ca="1" si="102"/>
        <v>2952.3003996757834</v>
      </c>
      <c r="X43" s="279">
        <f t="shared" ca="1" si="102"/>
        <v>3279.9760195104941</v>
      </c>
      <c r="Y43" s="142">
        <f t="shared" ca="1" si="102"/>
        <v>0</v>
      </c>
      <c r="Z43" s="126"/>
      <c r="AA43" s="126"/>
      <c r="AB43" s="136" t="str">
        <f t="shared" ca="1" si="45"/>
        <v>El Gran</v>
      </c>
      <c r="AC43" s="137">
        <f t="shared" ca="1" si="46"/>
        <v>0.30387035274593188</v>
      </c>
      <c r="AD43" s="137">
        <f t="shared" ca="1" si="46"/>
        <v>1.2291463446500472</v>
      </c>
      <c r="AE43" s="137">
        <f t="shared" ca="1" si="47"/>
        <v>7.8715306466996253</v>
      </c>
      <c r="AF43" s="137">
        <f t="shared" ca="1" si="48"/>
        <v>7.8713558430948183</v>
      </c>
      <c r="AG43" s="137">
        <f t="shared" ca="1" si="49"/>
        <v>7.0872340161787974</v>
      </c>
      <c r="AH43" s="137">
        <f t="shared" ca="1" si="50"/>
        <v>14.730433651174621</v>
      </c>
      <c r="AI43" s="137">
        <f t="shared" ca="1" si="51"/>
        <v>-5.6074557406700478</v>
      </c>
      <c r="AJ43" s="137">
        <f t="shared" ca="1" si="52"/>
        <v>7.1299841861767845</v>
      </c>
      <c r="AK43" s="137">
        <f t="shared" ca="1" si="53"/>
        <v>10.193927340278606</v>
      </c>
      <c r="AL43" s="137">
        <f t="shared" ca="1" si="54"/>
        <v>15.534319865533462</v>
      </c>
      <c r="AM43" s="137">
        <f t="shared" ca="1" si="55"/>
        <v>4.4539503455991962</v>
      </c>
      <c r="AN43" s="137">
        <f t="shared" ca="1" si="56"/>
        <v>3.5492352398528055</v>
      </c>
      <c r="AO43" s="137">
        <f t="shared" ca="1" si="57"/>
        <v>18.839215578649146</v>
      </c>
      <c r="AP43" s="137">
        <f t="shared" ca="1" si="58"/>
        <v>39.528687613925513</v>
      </c>
      <c r="AQ43" s="137">
        <f t="shared" ca="1" si="59"/>
        <v>73.179371714602212</v>
      </c>
      <c r="AR43" s="137">
        <f t="shared" ca="1" si="60"/>
        <v>103.84142400985002</v>
      </c>
      <c r="AS43" s="137">
        <f t="shared" ca="1" si="61"/>
        <v>123.65119206425652</v>
      </c>
      <c r="AT43" s="137">
        <f t="shared" ca="1" si="62"/>
        <v>166.00421778898408</v>
      </c>
      <c r="AU43" s="137">
        <f t="shared" ca="1" si="63"/>
        <v>196.56720152343769</v>
      </c>
      <c r="AV43" s="137">
        <f t="shared" ca="1" si="64"/>
        <v>220.92791186248178</v>
      </c>
      <c r="AW43" s="137">
        <f t="shared" ca="1" si="65"/>
        <v>232.33170049077353</v>
      </c>
      <c r="AX43" s="137">
        <f t="shared" ca="1" si="66"/>
        <v>277.30857096378304</v>
      </c>
      <c r="AZ43" s="143"/>
      <c r="BC43" s="143"/>
      <c r="BD43" s="144"/>
      <c r="BE43" s="144"/>
    </row>
    <row r="44" spans="1:60" ht="12" customHeight="1">
      <c r="A44" s="129"/>
      <c r="B44" s="135" t="str">
        <f t="shared" ca="1" si="67"/>
        <v>IJffjes Boys</v>
      </c>
      <c r="C44" s="142">
        <f t="shared" ref="C44:D44" ca="1" si="103">IF($AC10&lt;&gt;"",C29*$AC10,"")</f>
        <v>50.530785203583797</v>
      </c>
      <c r="D44" s="142">
        <f t="shared" ca="1" si="103"/>
        <v>119.19143752835826</v>
      </c>
      <c r="E44" s="142">
        <f t="shared" ref="E44:Y44" ca="1" si="104">IF($AC10&lt;&gt;"",E29*$AC10,"")</f>
        <v>194.92009818068306</v>
      </c>
      <c r="F44" s="142">
        <f t="shared" ca="1" si="104"/>
        <v>195.02106972821946</v>
      </c>
      <c r="G44" s="142">
        <f t="shared" ca="1" si="104"/>
        <v>351.52696840969065</v>
      </c>
      <c r="H44" s="142">
        <f t="shared" ca="1" si="104"/>
        <v>537.31461587672743</v>
      </c>
      <c r="I44" s="142">
        <f t="shared" ca="1" si="104"/>
        <v>648.38331816680375</v>
      </c>
      <c r="J44" s="142">
        <f t="shared" ca="1" si="104"/>
        <v>825.0835263555615</v>
      </c>
      <c r="K44" s="142">
        <f t="shared" ca="1" si="104"/>
        <v>955.33682267756012</v>
      </c>
      <c r="L44" s="142">
        <f t="shared" ca="1" si="104"/>
        <v>1117.9010142112172</v>
      </c>
      <c r="M44" s="142">
        <f t="shared" ca="1" si="104"/>
        <v>1315.805247382626</v>
      </c>
      <c r="N44" s="142">
        <f t="shared" ca="1" si="104"/>
        <v>1472.3111460640973</v>
      </c>
      <c r="O44" s="142">
        <f t="shared" ca="1" si="104"/>
        <v>1650.0210697282193</v>
      </c>
      <c r="P44" s="142">
        <f t="shared" ca="1" si="104"/>
        <v>1709.5942827747149</v>
      </c>
      <c r="Q44" s="142">
        <f t="shared" ca="1" si="104"/>
        <v>1868.1196124069147</v>
      </c>
      <c r="R44" s="142">
        <f t="shared" ca="1" si="104"/>
        <v>1929.7122564041388</v>
      </c>
      <c r="S44" s="142">
        <f t="shared" ca="1" si="104"/>
        <v>2111.4610419697183</v>
      </c>
      <c r="T44" s="142">
        <f t="shared" ca="1" si="104"/>
        <v>2268.9766561265542</v>
      </c>
      <c r="U44" s="142">
        <f t="shared" ca="1" si="104"/>
        <v>2328.5498691730495</v>
      </c>
      <c r="V44" s="142">
        <f t="shared" ca="1" si="104"/>
        <v>2487.0751988052493</v>
      </c>
      <c r="W44" s="142">
        <f t="shared" ca="1" si="104"/>
        <v>2653.6782522403637</v>
      </c>
      <c r="X44" s="142">
        <f t="shared" ca="1" si="104"/>
        <v>2915.1945603597255</v>
      </c>
      <c r="Y44" s="142">
        <f t="shared" ca="1" si="104"/>
        <v>0</v>
      </c>
      <c r="Z44" s="126"/>
      <c r="AA44" s="126"/>
      <c r="AB44" s="136" t="str">
        <f ca="1">B44</f>
        <v>IJffjes Boys</v>
      </c>
      <c r="AC44" s="137">
        <f t="shared" ca="1" si="46"/>
        <v>-18.421322631850593</v>
      </c>
      <c r="AD44" s="137">
        <f t="shared" ca="1" si="46"/>
        <v>-15.973824067238112</v>
      </c>
      <c r="AE44" s="137">
        <f t="shared" ca="1" si="47"/>
        <v>-19.780465063276978</v>
      </c>
      <c r="AF44" s="137">
        <f t="shared" ca="1" si="48"/>
        <v>-19.779874930915611</v>
      </c>
      <c r="AG44" s="137">
        <f t="shared" ca="1" si="49"/>
        <v>-19.378346010244741</v>
      </c>
      <c r="AH44" s="137">
        <f t="shared" ca="1" si="50"/>
        <v>-29.366920395815441</v>
      </c>
      <c r="AI44" s="137">
        <f t="shared" ca="1" si="51"/>
        <v>-16.797264522377191</v>
      </c>
      <c r="AJ44" s="137">
        <f t="shared" ca="1" si="52"/>
        <v>-16.750112274541152</v>
      </c>
      <c r="AK44" s="137">
        <f t="shared" ca="1" si="53"/>
        <v>-16.707666186870483</v>
      </c>
      <c r="AL44" s="137">
        <f t="shared" ca="1" si="54"/>
        <v>-40.19771022713212</v>
      </c>
      <c r="AM44" s="137">
        <f t="shared" ca="1" si="55"/>
        <v>-7.6920283938393368</v>
      </c>
      <c r="AN44" s="137">
        <f t="shared" ca="1" si="56"/>
        <v>-28.454481181750907</v>
      </c>
      <c r="AO44" s="137">
        <f t="shared" ca="1" si="57"/>
        <v>-4.8037507325514071</v>
      </c>
      <c r="AP44" s="137">
        <f t="shared" ca="1" si="58"/>
        <v>-8.7146193697878971</v>
      </c>
      <c r="AQ44" s="137">
        <f t="shared" ca="1" si="59"/>
        <v>-8.9352998517872493</v>
      </c>
      <c r="AR44" s="137">
        <f t="shared" ca="1" si="60"/>
        <v>-5.8644878568361491</v>
      </c>
      <c r="AS44" s="137">
        <f t="shared" ca="1" si="61"/>
        <v>-6.723289608750747</v>
      </c>
      <c r="AT44" s="137">
        <f t="shared" ca="1" si="62"/>
        <v>-14.282335677600258</v>
      </c>
      <c r="AU44" s="137">
        <f t="shared" ca="1" si="63"/>
        <v>-23.350684351196833</v>
      </c>
      <c r="AV44" s="137">
        <f t="shared" ca="1" si="64"/>
        <v>-44.886131983258565</v>
      </c>
      <c r="AW44" s="137">
        <f t="shared" ca="1" si="65"/>
        <v>-66.290446944646192</v>
      </c>
      <c r="AX44" s="137">
        <f t="shared" ca="1" si="66"/>
        <v>-87.472888186985529</v>
      </c>
      <c r="AZ44" s="143"/>
      <c r="BC44" s="143"/>
      <c r="BD44" s="144"/>
      <c r="BE44" s="144"/>
    </row>
    <row r="45" spans="1:60" ht="12" customHeight="1">
      <c r="A45" s="129"/>
      <c r="B45" s="135" t="str">
        <f t="shared" ca="1" si="67"/>
        <v>TinTopTeam</v>
      </c>
      <c r="C45" s="279">
        <f t="shared" ref="C45:D45" ca="1" si="105">IF($AC11&lt;&gt;"",C30*$AC11,"")</f>
        <v>113.19319692581924</v>
      </c>
      <c r="D45" s="142">
        <f t="shared" ca="1" si="105"/>
        <v>155.60124689112112</v>
      </c>
      <c r="E45" s="142">
        <f t="shared" ref="E45:Y45" ca="1" si="106">IF($AC11&lt;&gt;"",E30*$AC11,"")</f>
        <v>224.26189921589557</v>
      </c>
      <c r="F45" s="142">
        <f t="shared" ca="1" si="106"/>
        <v>224.362870763432</v>
      </c>
      <c r="G45" s="142">
        <f t="shared" ca="1" si="106"/>
        <v>381.87848492026751</v>
      </c>
      <c r="H45" s="142">
        <f t="shared" ca="1" si="106"/>
        <v>585.84101094386222</v>
      </c>
      <c r="I45" s="142">
        <f t="shared" ca="1" si="106"/>
        <v>663.58910254691568</v>
      </c>
      <c r="J45" s="142">
        <f t="shared" ca="1" si="106"/>
        <v>832.21158693275879</v>
      </c>
      <c r="K45" s="142">
        <f t="shared" ca="1" si="106"/>
        <v>971.55232253303643</v>
      </c>
      <c r="L45" s="142">
        <f t="shared" ca="1" si="106"/>
        <v>1184.6022878349102</v>
      </c>
      <c r="M45" s="142">
        <f t="shared" ca="1" si="106"/>
        <v>1339.0887555656527</v>
      </c>
      <c r="N45" s="142">
        <f t="shared" ca="1" si="106"/>
        <v>1540.0221351631544</v>
      </c>
      <c r="O45" s="142">
        <f t="shared" ca="1" si="106"/>
        <v>1688.450310041711</v>
      </c>
      <c r="P45" s="142">
        <f t="shared" ca="1" si="106"/>
        <v>1769.2275480708574</v>
      </c>
      <c r="Q45" s="142">
        <f t="shared" ca="1" si="106"/>
        <v>1940.8791788827934</v>
      </c>
      <c r="R45" s="142">
        <f t="shared" ca="1" si="106"/>
        <v>1993.3843836017388</v>
      </c>
      <c r="S45" s="142">
        <f t="shared" ca="1" si="106"/>
        <v>2188.2594703470545</v>
      </c>
      <c r="T45" s="142">
        <f t="shared" ca="1" si="106"/>
        <v>2378.0859797155485</v>
      </c>
      <c r="U45" s="142">
        <f t="shared" ca="1" si="106"/>
        <v>2433.6203308605868</v>
      </c>
      <c r="V45" s="142">
        <f t="shared" ca="1" si="106"/>
        <v>2627.4857021305384</v>
      </c>
      <c r="W45" s="142">
        <f t="shared" ca="1" si="106"/>
        <v>2845.5842448092335</v>
      </c>
      <c r="X45" s="142">
        <f t="shared" ca="1" si="106"/>
        <v>3150.5183183692611</v>
      </c>
      <c r="Y45" s="142">
        <f t="shared" ca="1" si="106"/>
        <v>0</v>
      </c>
      <c r="Z45" s="126"/>
      <c r="AA45" s="126"/>
      <c r="AB45" s="136" t="str">
        <f ca="1">B45</f>
        <v>TinTopTeam</v>
      </c>
      <c r="AC45" s="137">
        <f t="shared" ca="1" si="46"/>
        <v>44.241089090384847</v>
      </c>
      <c r="AD45" s="137">
        <f t="shared" ca="1" si="46"/>
        <v>20.435985295524745</v>
      </c>
      <c r="AE45" s="137">
        <f t="shared" ca="1" si="47"/>
        <v>9.5613359719355344</v>
      </c>
      <c r="AF45" s="137">
        <f t="shared" ca="1" si="48"/>
        <v>9.5619261042969299</v>
      </c>
      <c r="AG45" s="137">
        <f t="shared" ca="1" si="49"/>
        <v>10.973170500332117</v>
      </c>
      <c r="AH45" s="137">
        <f t="shared" ca="1" si="50"/>
        <v>19.159474671319344</v>
      </c>
      <c r="AI45" s="137">
        <f t="shared" ca="1" si="51"/>
        <v>-1.5914801422652545</v>
      </c>
      <c r="AJ45" s="137">
        <f t="shared" ca="1" si="52"/>
        <v>-9.6220516973438635</v>
      </c>
      <c r="AK45" s="137">
        <f t="shared" ca="1" si="53"/>
        <v>-0.49216633139417354</v>
      </c>
      <c r="AL45" s="137">
        <f t="shared" ca="1" si="54"/>
        <v>26.503563396560821</v>
      </c>
      <c r="AM45" s="137">
        <f t="shared" ca="1" si="55"/>
        <v>15.59147978918736</v>
      </c>
      <c r="AN45" s="137">
        <f t="shared" ca="1" si="56"/>
        <v>39.25650791730618</v>
      </c>
      <c r="AO45" s="137">
        <f t="shared" ca="1" si="57"/>
        <v>33.625489580940211</v>
      </c>
      <c r="AP45" s="137">
        <f t="shared" ca="1" si="58"/>
        <v>50.918645926354657</v>
      </c>
      <c r="AQ45" s="137">
        <f t="shared" ca="1" si="59"/>
        <v>63.824266624091479</v>
      </c>
      <c r="AR45" s="137">
        <f t="shared" ca="1" si="60"/>
        <v>57.807639340763899</v>
      </c>
      <c r="AS45" s="137">
        <f t="shared" ca="1" si="61"/>
        <v>70.075138768585475</v>
      </c>
      <c r="AT45" s="137">
        <f t="shared" ca="1" si="62"/>
        <v>94.826987911394099</v>
      </c>
      <c r="AU45" s="137">
        <f t="shared" ca="1" si="63"/>
        <v>81.719777336340485</v>
      </c>
      <c r="AV45" s="137">
        <f t="shared" ca="1" si="64"/>
        <v>95.524371342030463</v>
      </c>
      <c r="AW45" s="137">
        <f t="shared" ca="1" si="65"/>
        <v>125.61554562422361</v>
      </c>
      <c r="AX45" s="137">
        <f t="shared" ca="1" si="66"/>
        <v>147.85086982255007</v>
      </c>
      <c r="AZ45" s="143"/>
      <c r="BC45" s="143"/>
      <c r="BD45" s="144"/>
      <c r="BE45" s="144"/>
    </row>
    <row r="46" spans="1:60" ht="12" customHeight="1">
      <c r="A46" s="129"/>
      <c r="B46" s="135" t="str">
        <f t="shared" ca="1" si="67"/>
        <v>Equipe l'Ami</v>
      </c>
      <c r="C46" s="142">
        <f t="shared" ref="C46:D46" ca="1" si="107">IF($AC12&lt;&gt;"",C31*$AC12,"")</f>
        <v>53.852882351052898</v>
      </c>
      <c r="D46" s="142">
        <f t="shared" ca="1" si="107"/>
        <v>126.97926816036554</v>
      </c>
      <c r="E46" s="142">
        <f t="shared" ref="E46:Y46" ca="1" si="108">IF($AC12&lt;&gt;"",E31*$AC12,"")</f>
        <v>207.63337015593098</v>
      </c>
      <c r="F46" s="142">
        <f t="shared" ca="1" si="108"/>
        <v>207.74090895859172</v>
      </c>
      <c r="G46" s="142">
        <f t="shared" ca="1" si="108"/>
        <v>360.44600873686221</v>
      </c>
      <c r="H46" s="142">
        <f t="shared" ca="1" si="108"/>
        <v>550.78968944639655</v>
      </c>
      <c r="I46" s="142">
        <f t="shared" ca="1" si="108"/>
        <v>654.02694000072029</v>
      </c>
      <c r="J46" s="142">
        <f t="shared" ca="1" si="108"/>
        <v>807.80742780559831</v>
      </c>
      <c r="K46" s="142">
        <f t="shared" ca="1" si="108"/>
        <v>941.15554310493314</v>
      </c>
      <c r="L46" s="142">
        <f t="shared" ca="1" si="108"/>
        <v>1112.1422393355319</v>
      </c>
      <c r="M46" s="142">
        <f t="shared" ca="1" si="108"/>
        <v>1285.2797116193458</v>
      </c>
      <c r="N46" s="142">
        <f t="shared" ca="1" si="108"/>
        <v>1458.4171839031594</v>
      </c>
      <c r="O46" s="142">
        <f t="shared" ca="1" si="108"/>
        <v>1618.6499998676827</v>
      </c>
      <c r="P46" s="142">
        <f t="shared" ca="1" si="108"/>
        <v>1669.193237118237</v>
      </c>
      <c r="Q46" s="142">
        <f t="shared" ca="1" si="108"/>
        <v>1811.1444566304322</v>
      </c>
      <c r="R46" s="142">
        <f t="shared" ca="1" si="108"/>
        <v>1855.2353657213414</v>
      </c>
      <c r="S46" s="142">
        <f t="shared" ca="1" si="108"/>
        <v>2041.2774943244456</v>
      </c>
      <c r="T46" s="142">
        <f t="shared" ca="1" si="108"/>
        <v>2201.5103102889689</v>
      </c>
      <c r="U46" s="142">
        <f t="shared" ca="1" si="108"/>
        <v>2259.5812637257759</v>
      </c>
      <c r="V46" s="142">
        <f t="shared" ca="1" si="108"/>
        <v>2433.7941240361974</v>
      </c>
      <c r="W46" s="142">
        <f t="shared" ca="1" si="108"/>
        <v>2609.082372373226</v>
      </c>
      <c r="X46" s="142">
        <f t="shared" ca="1" si="108"/>
        <v>2868.2508867856427</v>
      </c>
      <c r="Y46" s="142">
        <f t="shared" ca="1" si="108"/>
        <v>0</v>
      </c>
      <c r="Z46" s="126"/>
      <c r="AA46" s="126"/>
      <c r="AB46" s="136" t="str">
        <f ca="1">B46</f>
        <v>Equipe l'Ami</v>
      </c>
      <c r="AC46" s="137">
        <f t="shared" ca="1" si="46"/>
        <v>-15.099225484381492</v>
      </c>
      <c r="AD46" s="137">
        <f t="shared" ca="1" si="46"/>
        <v>-8.1859934352308414</v>
      </c>
      <c r="AE46" s="137">
        <f t="shared" ca="1" si="47"/>
        <v>-7.0671930880290574</v>
      </c>
      <c r="AF46" s="137">
        <f t="shared" ca="1" si="48"/>
        <v>-7.0600357005433523</v>
      </c>
      <c r="AG46" s="137">
        <f t="shared" ca="1" si="49"/>
        <v>-10.459305683073183</v>
      </c>
      <c r="AH46" s="137">
        <f t="shared" ca="1" si="50"/>
        <v>-15.89184682614632</v>
      </c>
      <c r="AI46" s="137">
        <f t="shared" ca="1" si="51"/>
        <v>-11.15364268846065</v>
      </c>
      <c r="AJ46" s="137">
        <f t="shared" ca="1" si="52"/>
        <v>-34.026210824504346</v>
      </c>
      <c r="AK46" s="137">
        <f t="shared" ca="1" si="53"/>
        <v>-30.88894575949746</v>
      </c>
      <c r="AL46" s="137">
        <f t="shared" ca="1" si="54"/>
        <v>-45.956485102817396</v>
      </c>
      <c r="AM46" s="137">
        <f t="shared" ca="1" si="55"/>
        <v>-38.217564157119568</v>
      </c>
      <c r="AN46" s="137">
        <f t="shared" ca="1" si="56"/>
        <v>-42.348443342688824</v>
      </c>
      <c r="AO46" s="137">
        <f t="shared" ca="1" si="57"/>
        <v>-36.174820593088043</v>
      </c>
      <c r="AP46" s="137">
        <f t="shared" ca="1" si="58"/>
        <v>-49.115665026265788</v>
      </c>
      <c r="AQ46" s="137">
        <f t="shared" ca="1" si="59"/>
        <v>-65.910455628269801</v>
      </c>
      <c r="AR46" s="137">
        <f t="shared" ca="1" si="60"/>
        <v>-80.341378539633524</v>
      </c>
      <c r="AS46" s="137">
        <f t="shared" ca="1" si="61"/>
        <v>-76.906837254023458</v>
      </c>
      <c r="AT46" s="137">
        <f t="shared" ca="1" si="62"/>
        <v>-81.748681515185581</v>
      </c>
      <c r="AU46" s="137">
        <f t="shared" ca="1" si="63"/>
        <v>-92.319289798470436</v>
      </c>
      <c r="AV46" s="137">
        <f t="shared" ca="1" si="64"/>
        <v>-98.167206752310449</v>
      </c>
      <c r="AW46" s="137">
        <f t="shared" ca="1" si="65"/>
        <v>-110.88632681178387</v>
      </c>
      <c r="AX46" s="137">
        <f t="shared" ca="1" si="66"/>
        <v>-134.41656176106835</v>
      </c>
      <c r="AZ46" s="143"/>
      <c r="BC46" s="143"/>
      <c r="BD46" s="144"/>
      <c r="BE46" s="144"/>
    </row>
    <row r="47" spans="1:60" ht="12" customHeight="1">
      <c r="A47" s="129"/>
      <c r="B47" s="135" t="str">
        <f t="shared" ca="1" si="67"/>
        <v>Niet geschoten</v>
      </c>
      <c r="C47" s="142">
        <f t="shared" ref="C47:D47" ca="1" si="109">IF($AC13&lt;&gt;"",C32*$AC13,"")</f>
        <v>80.892006798069204</v>
      </c>
      <c r="D47" s="279">
        <f t="shared" ca="1" si="109"/>
        <v>169.85419505229285</v>
      </c>
      <c r="E47" s="279">
        <f t="shared" ref="E47:Y47" ca="1" si="110">IF($AC13&lt;&gt;"",E32*$AC13,"")</f>
        <v>313.83247341110217</v>
      </c>
      <c r="F47" s="142">
        <f t="shared" ca="1" si="110"/>
        <v>313.94952892196301</v>
      </c>
      <c r="G47" s="279">
        <f t="shared" ca="1" si="110"/>
        <v>508.26167695092516</v>
      </c>
      <c r="H47" s="279">
        <f t="shared" ca="1" si="110"/>
        <v>731.8377026950925</v>
      </c>
      <c r="I47" s="279">
        <f t="shared" ca="1" si="110"/>
        <v>865.28098507642801</v>
      </c>
      <c r="J47" s="279">
        <f t="shared" ca="1" si="110"/>
        <v>1023.3059247385357</v>
      </c>
      <c r="K47" s="279">
        <f t="shared" ca="1" si="110"/>
        <v>1156.7492071198712</v>
      </c>
      <c r="L47" s="279">
        <f t="shared" ca="1" si="110"/>
        <v>1359.2552409090908</v>
      </c>
      <c r="M47" s="279">
        <f t="shared" ca="1" si="110"/>
        <v>1525.474066331456</v>
      </c>
      <c r="N47" s="279">
        <f t="shared" ca="1" si="110"/>
        <v>1736.1739858809331</v>
      </c>
      <c r="O47" s="279">
        <f t="shared" ca="1" si="110"/>
        <v>1896.5400357602573</v>
      </c>
      <c r="P47" s="279">
        <f t="shared" ca="1" si="110"/>
        <v>1966.7733422767496</v>
      </c>
      <c r="Q47" s="279">
        <f t="shared" ca="1" si="110"/>
        <v>2089.6816286806111</v>
      </c>
      <c r="R47" s="279">
        <f t="shared" ca="1" si="110"/>
        <v>2154.0621596540627</v>
      </c>
      <c r="S47" s="279">
        <f t="shared" ca="1" si="110"/>
        <v>2313.2576544247786</v>
      </c>
      <c r="T47" s="142">
        <f t="shared" ca="1" si="110"/>
        <v>2429.1426101769907</v>
      </c>
      <c r="U47" s="142">
        <f t="shared" ca="1" si="110"/>
        <v>2485.3292553901847</v>
      </c>
      <c r="V47" s="142">
        <f t="shared" ca="1" si="110"/>
        <v>2610.5786520112629</v>
      </c>
      <c r="W47" s="142">
        <f t="shared" ca="1" si="110"/>
        <v>2797.867469388576</v>
      </c>
      <c r="X47" s="142">
        <f t="shared" ca="1" si="110"/>
        <v>3029.6373808930007</v>
      </c>
      <c r="Y47" s="142">
        <f t="shared" ca="1" si="110"/>
        <v>0</v>
      </c>
      <c r="Z47" s="126"/>
      <c r="AA47" s="126"/>
      <c r="AB47" s="136" t="str">
        <f ca="1">B47</f>
        <v>Niet geschoten</v>
      </c>
      <c r="AC47" s="137">
        <f t="shared" ca="1" si="46"/>
        <v>11.939898962634814</v>
      </c>
      <c r="AD47" s="137">
        <f t="shared" ca="1" si="46"/>
        <v>34.688933456696475</v>
      </c>
      <c r="AE47" s="137">
        <f t="shared" ca="1" si="47"/>
        <v>99.131910167142138</v>
      </c>
      <c r="AF47" s="137">
        <f t="shared" ca="1" si="48"/>
        <v>99.148584262827939</v>
      </c>
      <c r="AG47" s="137">
        <f t="shared" ca="1" si="49"/>
        <v>137.35636253098977</v>
      </c>
      <c r="AH47" s="137">
        <f t="shared" ca="1" si="50"/>
        <v>165.15616642254963</v>
      </c>
      <c r="AI47" s="137">
        <f t="shared" ca="1" si="51"/>
        <v>200.10040238724707</v>
      </c>
      <c r="AJ47" s="137">
        <f t="shared" ca="1" si="52"/>
        <v>181.47228610843308</v>
      </c>
      <c r="AK47" s="137">
        <f t="shared" ca="1" si="53"/>
        <v>184.70471825544064</v>
      </c>
      <c r="AL47" s="137">
        <f t="shared" ca="1" si="54"/>
        <v>201.15651647074151</v>
      </c>
      <c r="AM47" s="137">
        <f t="shared" ca="1" si="55"/>
        <v>201.97679055499066</v>
      </c>
      <c r="AN47" s="137">
        <f t="shared" ca="1" si="56"/>
        <v>235.40835863508482</v>
      </c>
      <c r="AO47" s="137">
        <f t="shared" ca="1" si="57"/>
        <v>241.71521529948654</v>
      </c>
      <c r="AP47" s="137">
        <f t="shared" ca="1" si="58"/>
        <v>248.46444013224686</v>
      </c>
      <c r="AQ47" s="137">
        <f t="shared" ca="1" si="59"/>
        <v>212.62671642190912</v>
      </c>
      <c r="AR47" s="137">
        <f t="shared" ca="1" si="60"/>
        <v>218.48541539308781</v>
      </c>
      <c r="AS47" s="137">
        <f t="shared" ca="1" si="61"/>
        <v>195.07332284630957</v>
      </c>
      <c r="AT47" s="137">
        <f t="shared" ca="1" si="62"/>
        <v>145.88361837283628</v>
      </c>
      <c r="AU47" s="137">
        <f t="shared" ca="1" si="63"/>
        <v>133.42870186593836</v>
      </c>
      <c r="AV47" s="137">
        <f t="shared" ca="1" si="64"/>
        <v>78.617321222754981</v>
      </c>
      <c r="AW47" s="137">
        <f t="shared" ca="1" si="65"/>
        <v>77.898770203566073</v>
      </c>
      <c r="AX47" s="137">
        <f t="shared" ca="1" si="66"/>
        <v>26.969932346289625</v>
      </c>
      <c r="AZ47" s="143"/>
      <c r="BC47" s="143"/>
      <c r="BD47" s="144"/>
      <c r="BE47" s="144"/>
    </row>
    <row r="48" spans="1:60" ht="12" customHeight="1">
      <c r="A48" s="129"/>
      <c r="B48" s="135"/>
      <c r="C48" s="142"/>
      <c r="D48" s="142"/>
      <c r="E48" s="142"/>
      <c r="F48" s="142"/>
      <c r="G48" s="142"/>
      <c r="H48" s="142"/>
      <c r="I48" s="142"/>
      <c r="J48" s="142"/>
      <c r="K48" s="142"/>
      <c r="L48" s="142"/>
      <c r="M48" s="142"/>
      <c r="N48" s="142"/>
      <c r="O48" s="142"/>
      <c r="P48" s="142"/>
      <c r="Q48" s="142"/>
      <c r="R48" s="142"/>
      <c r="S48" s="142"/>
      <c r="T48" s="142"/>
      <c r="U48" s="142"/>
      <c r="V48" s="142"/>
      <c r="W48" s="142"/>
      <c r="X48" s="176"/>
      <c r="Z48" s="126"/>
      <c r="AA48" s="126"/>
      <c r="AB48" s="136">
        <f t="shared" si="45"/>
        <v>0</v>
      </c>
      <c r="AC48" s="145">
        <f ca="1">AVERAGE(C37:C47)</f>
        <v>68.95210783543439</v>
      </c>
      <c r="AD48" s="145">
        <f ca="1">AVERAGE(D37:D47)</f>
        <v>135.16526159559638</v>
      </c>
      <c r="AE48" s="145">
        <f t="shared" ref="AE48:AX48" ca="1" si="111">AVERAGE(E37:E47)</f>
        <v>214.70056324396003</v>
      </c>
      <c r="AF48" s="145">
        <f t="shared" ca="1" si="111"/>
        <v>214.80094465913507</v>
      </c>
      <c r="AG48" s="145">
        <f t="shared" ca="1" si="111"/>
        <v>370.90531441993539</v>
      </c>
      <c r="AH48" s="145">
        <f t="shared" ca="1" si="111"/>
        <v>566.68153627254287</v>
      </c>
      <c r="AI48" s="145">
        <f t="shared" ca="1" si="111"/>
        <v>665.18058268918094</v>
      </c>
      <c r="AJ48" s="145">
        <f t="shared" ca="1" si="111"/>
        <v>841.83363863010266</v>
      </c>
      <c r="AK48" s="145">
        <f t="shared" ca="1" si="111"/>
        <v>972.0444888644306</v>
      </c>
      <c r="AL48" s="145">
        <f t="shared" ca="1" si="111"/>
        <v>1158.0987244383493</v>
      </c>
      <c r="AM48" s="145">
        <f t="shared" ca="1" si="111"/>
        <v>1323.4972757764654</v>
      </c>
      <c r="AN48" s="145">
        <f t="shared" ca="1" si="111"/>
        <v>1500.7656272458482</v>
      </c>
      <c r="AO48" s="145">
        <f t="shared" ca="1" si="111"/>
        <v>1654.8248204607708</v>
      </c>
      <c r="AP48" s="145">
        <f t="shared" ca="1" si="111"/>
        <v>1718.3089021445028</v>
      </c>
      <c r="AQ48" s="145">
        <f t="shared" ca="1" si="111"/>
        <v>1877.054912258702</v>
      </c>
      <c r="AR48" s="145">
        <f t="shared" ca="1" si="111"/>
        <v>1935.5767442609749</v>
      </c>
      <c r="AS48" s="145">
        <f t="shared" ca="1" si="111"/>
        <v>2118.184331578469</v>
      </c>
      <c r="AT48" s="145">
        <f t="shared" ca="1" si="111"/>
        <v>2283.2589918041544</v>
      </c>
      <c r="AU48" s="145">
        <f t="shared" ca="1" si="111"/>
        <v>2351.9005535242463</v>
      </c>
      <c r="AV48" s="145">
        <f t="shared" ca="1" si="111"/>
        <v>2531.9613307885079</v>
      </c>
      <c r="AW48" s="145">
        <f t="shared" ca="1" si="111"/>
        <v>2719.9686991850099</v>
      </c>
      <c r="AX48" s="145">
        <f t="shared" ca="1" si="111"/>
        <v>3002.6674485467111</v>
      </c>
      <c r="AY48" s="141"/>
      <c r="AZ48" s="141"/>
      <c r="BA48" s="144"/>
      <c r="BB48" s="144"/>
      <c r="BC48" s="144"/>
      <c r="BD48" s="144"/>
      <c r="BE48" s="144"/>
    </row>
    <row r="49" spans="1:57" s="126" customFormat="1" ht="12" customHeight="1" thickBot="1">
      <c r="B49" s="134" t="s">
        <v>5</v>
      </c>
      <c r="C49" s="128">
        <f>C36</f>
        <v>1</v>
      </c>
      <c r="D49" s="128">
        <f t="shared" ref="D49:X49" si="112">D36</f>
        <v>2</v>
      </c>
      <c r="E49" s="128">
        <f t="shared" si="112"/>
        <v>3</v>
      </c>
      <c r="F49" s="128">
        <f t="shared" si="112"/>
        <v>4</v>
      </c>
      <c r="G49" s="128">
        <f t="shared" si="112"/>
        <v>5</v>
      </c>
      <c r="H49" s="128">
        <f t="shared" si="112"/>
        <v>6</v>
      </c>
      <c r="I49" s="128">
        <f t="shared" si="112"/>
        <v>7</v>
      </c>
      <c r="J49" s="128">
        <f t="shared" si="112"/>
        <v>8</v>
      </c>
      <c r="K49" s="128">
        <f t="shared" si="112"/>
        <v>9</v>
      </c>
      <c r="L49" s="128">
        <f t="shared" si="112"/>
        <v>10</v>
      </c>
      <c r="M49" s="128">
        <f t="shared" si="112"/>
        <v>11</v>
      </c>
      <c r="N49" s="128">
        <f t="shared" si="112"/>
        <v>12</v>
      </c>
      <c r="O49" s="128">
        <f t="shared" si="112"/>
        <v>13</v>
      </c>
      <c r="P49" s="128">
        <f t="shared" si="112"/>
        <v>14</v>
      </c>
      <c r="Q49" s="128">
        <f t="shared" si="112"/>
        <v>15</v>
      </c>
      <c r="R49" s="128">
        <f t="shared" si="112"/>
        <v>16</v>
      </c>
      <c r="S49" s="128">
        <f t="shared" si="112"/>
        <v>17</v>
      </c>
      <c r="T49" s="128">
        <f t="shared" si="112"/>
        <v>18</v>
      </c>
      <c r="U49" s="128">
        <f t="shared" si="112"/>
        <v>19</v>
      </c>
      <c r="V49" s="128">
        <f t="shared" si="112"/>
        <v>20</v>
      </c>
      <c r="W49" s="128">
        <f t="shared" si="112"/>
        <v>21</v>
      </c>
      <c r="X49" s="174" t="str">
        <f t="shared" si="112"/>
        <v>B</v>
      </c>
      <c r="AB49" s="140"/>
      <c r="AZ49" s="146"/>
      <c r="BA49" s="146"/>
      <c r="BB49" s="146"/>
      <c r="BC49" s="146"/>
      <c r="BD49" s="146"/>
      <c r="BE49" s="146"/>
    </row>
    <row r="50" spans="1:57" ht="12" customHeight="1">
      <c r="A50" s="147">
        <v>1</v>
      </c>
      <c r="B50" s="148" t="str">
        <f t="shared" ref="B50:B60" ca="1" si="113">INDEX(lijst_teams,MATCH(A50,$Z$3:$Z$13,0))</f>
        <v>Am Selfkant</v>
      </c>
      <c r="C50" s="142">
        <f t="shared" ref="C50:C60" ca="1" si="114">VLOOKUP($B50,$B$3:$Y$18,2,0)</f>
        <v>93.093438105797745</v>
      </c>
      <c r="D50" s="142">
        <f t="shared" ref="D50:D60" ca="1" si="115">VLOOKUP($B50,$B$3:$Y$18,3,0)</f>
        <v>70</v>
      </c>
      <c r="E50" s="142">
        <f t="shared" ref="E50:E60" ca="1" si="116">VLOOKUP($B50,$B$3:$Y$18,4,0)</f>
        <v>63</v>
      </c>
      <c r="F50" s="142">
        <f t="shared" ref="F50:F60" ca="1" si="117">VLOOKUP($B50,$B$3:$Y$18,5,0)</f>
        <v>0.1</v>
      </c>
      <c r="G50" s="142">
        <f t="shared" ref="G50:G60" ca="1" si="118">VLOOKUP($B50,$B$3:$Y$18,6,0)</f>
        <v>176</v>
      </c>
      <c r="H50" s="142">
        <f t="shared" ref="H50:H60" ca="1" si="119">VLOOKUP($B50,$B$3:$Y$18,7,0)</f>
        <v>206</v>
      </c>
      <c r="I50" s="142">
        <f t="shared" ref="I50:I60" ca="1" si="120">VLOOKUP($B50,$B$3:$Y$18,8,0)</f>
        <v>108</v>
      </c>
      <c r="J50" s="142">
        <f t="shared" ref="J50:J60" ca="1" si="121">VLOOKUP($B50,$B$3:$Y$18,9,0)</f>
        <v>212</v>
      </c>
      <c r="K50" s="142">
        <f t="shared" ref="K50:K60" ca="1" si="122">VLOOKUP($B50,$B$3:$Y$18,10,0)</f>
        <v>122</v>
      </c>
      <c r="L50" s="142">
        <f t="shared" ref="L50:L60" ca="1" si="123">VLOOKUP($B50,$B$3:$Y$18,11,0)</f>
        <v>204</v>
      </c>
      <c r="M50" s="142">
        <f t="shared" ref="M50:M60" ca="1" si="124">VLOOKUP($B50,$B$3:$Y$18,12,0)</f>
        <v>189</v>
      </c>
      <c r="N50" s="142">
        <f t="shared" ref="N50:N60" ca="1" si="125">VLOOKUP($B50,$B$3:$Y$18,13,0)</f>
        <v>197</v>
      </c>
      <c r="O50" s="142">
        <f t="shared" ref="O50:O60" ca="1" si="126">VLOOKUP($B50,$B$3:$Y$18,14,0)</f>
        <v>147</v>
      </c>
      <c r="P50" s="142">
        <f t="shared" ref="P50:P60" ca="1" si="127">VLOOKUP($B50,$B$3:$Y$18,15,0)</f>
        <v>72</v>
      </c>
      <c r="Q50" s="142">
        <f t="shared" ref="Q50:Q60" ca="1" si="128">VLOOKUP($B50,$B$3:$Y$18,16,0)</f>
        <v>183</v>
      </c>
      <c r="R50" s="142">
        <f t="shared" ref="R50:R60" ca="1" si="129">VLOOKUP($B50,$B$3:$Y$18,17,0)</f>
        <v>59</v>
      </c>
      <c r="S50" s="142">
        <f t="shared" ref="S50:S60" ca="1" si="130">VLOOKUP($B50,$B$3:$Y$18,18,0)</f>
        <v>205</v>
      </c>
      <c r="T50" s="142">
        <f t="shared" ref="T50:T60" ca="1" si="131">VLOOKUP($B50,$B$3:$Y$18,19,0)</f>
        <v>187</v>
      </c>
      <c r="U50" s="142">
        <f t="shared" ref="U50:U60" ca="1" si="132">VLOOKUP($B50,$B$3:$Y$18,20,0)</f>
        <v>65</v>
      </c>
      <c r="V50" s="142">
        <f t="shared" ref="V50:V60" ca="1" si="133">VLOOKUP($B50,$B$3:$Y$18,21,0)</f>
        <v>240</v>
      </c>
      <c r="W50" s="142">
        <f t="shared" ref="W50:W59" ca="1" si="134">VLOOKUP($B50,$B$3:$Y$18,22,0)</f>
        <v>213</v>
      </c>
      <c r="X50" s="176">
        <f ca="1">VLOOKUP($B50,$B$3:$Y$18,23,0)</f>
        <v>358</v>
      </c>
      <c r="Y50" s="133"/>
      <c r="Z50" s="205">
        <f t="shared" ref="Z50:Z56" ca="1" si="135">SUM(C50:Y50)</f>
        <v>3369.1934381057977</v>
      </c>
      <c r="AA50" s="133"/>
      <c r="AB50" s="149">
        <f ca="1">Z50/Score!$AF$18</f>
        <v>0.81384104561720938</v>
      </c>
    </row>
    <row r="51" spans="1:57" ht="11.25" customHeight="1">
      <c r="A51" s="147">
        <v>2</v>
      </c>
      <c r="B51" s="148" t="str">
        <f t="shared" ca="1" si="113"/>
        <v>El Gran</v>
      </c>
      <c r="C51" s="142">
        <f t="shared" ca="1" si="114"/>
        <v>69.099077855888069</v>
      </c>
      <c r="D51" s="142">
        <f t="shared" ca="1" si="115"/>
        <v>67</v>
      </c>
      <c r="E51" s="142">
        <f t="shared" ca="1" si="116"/>
        <v>86</v>
      </c>
      <c r="F51" s="142">
        <f t="shared" ca="1" si="117"/>
        <v>0.1</v>
      </c>
      <c r="G51" s="142">
        <f t="shared" ca="1" si="118"/>
        <v>155</v>
      </c>
      <c r="H51" s="142">
        <f t="shared" ca="1" si="119"/>
        <v>203</v>
      </c>
      <c r="I51" s="142">
        <f t="shared" ca="1" si="120"/>
        <v>78</v>
      </c>
      <c r="J51" s="142">
        <f t="shared" ca="1" si="121"/>
        <v>189</v>
      </c>
      <c r="K51" s="142">
        <f t="shared" ca="1" si="122"/>
        <v>133</v>
      </c>
      <c r="L51" s="142">
        <f t="shared" ca="1" si="123"/>
        <v>191</v>
      </c>
      <c r="M51" s="142">
        <f t="shared" ca="1" si="124"/>
        <v>154</v>
      </c>
      <c r="N51" s="142">
        <f t="shared" ca="1" si="125"/>
        <v>176</v>
      </c>
      <c r="O51" s="142">
        <f t="shared" ca="1" si="126"/>
        <v>169</v>
      </c>
      <c r="P51" s="142">
        <f t="shared" ca="1" si="127"/>
        <v>84</v>
      </c>
      <c r="Q51" s="142">
        <f t="shared" ca="1" si="128"/>
        <v>192</v>
      </c>
      <c r="R51" s="142">
        <f t="shared" ca="1" si="129"/>
        <v>89</v>
      </c>
      <c r="S51" s="142">
        <f t="shared" ca="1" si="130"/>
        <v>202</v>
      </c>
      <c r="T51" s="142">
        <f t="shared" ca="1" si="131"/>
        <v>207</v>
      </c>
      <c r="U51" s="142">
        <f t="shared" ca="1" si="132"/>
        <v>99</v>
      </c>
      <c r="V51" s="142">
        <f t="shared" ca="1" si="133"/>
        <v>204</v>
      </c>
      <c r="W51" s="142">
        <f t="shared" ca="1" si="134"/>
        <v>199</v>
      </c>
      <c r="X51" s="176">
        <f t="shared" ref="X51:X60" ca="1" si="136">VLOOKUP($B51,$B$3:$Y$18,23,0)</f>
        <v>327</v>
      </c>
      <c r="Y51" s="133"/>
      <c r="Z51" s="205">
        <f t="shared" ca="1" si="135"/>
        <v>3273.1990778558879</v>
      </c>
      <c r="AA51" s="133"/>
      <c r="AB51" s="149">
        <f ca="1">Z51/Score!$AF$18</f>
        <v>0.79065325543705756</v>
      </c>
    </row>
    <row r="52" spans="1:57" ht="12" customHeight="1">
      <c r="A52" s="129">
        <v>3</v>
      </c>
      <c r="B52" s="148" t="str">
        <f t="shared" ca="1" si="113"/>
        <v>De Lange Man</v>
      </c>
      <c r="C52" s="142">
        <f t="shared" ca="1" si="114"/>
        <v>50.062790092452751</v>
      </c>
      <c r="D52" s="142">
        <f t="shared" ca="1" si="115"/>
        <v>72</v>
      </c>
      <c r="E52" s="142">
        <f t="shared" ca="1" si="116"/>
        <v>65</v>
      </c>
      <c r="F52" s="142">
        <f t="shared" ca="1" si="117"/>
        <v>0.1</v>
      </c>
      <c r="G52" s="142">
        <f t="shared" ca="1" si="118"/>
        <v>144</v>
      </c>
      <c r="H52" s="142">
        <f t="shared" ca="1" si="119"/>
        <v>189</v>
      </c>
      <c r="I52" s="142">
        <f t="shared" ca="1" si="120"/>
        <v>82</v>
      </c>
      <c r="J52" s="142">
        <f t="shared" ca="1" si="121"/>
        <v>201</v>
      </c>
      <c r="K52" s="142">
        <f t="shared" ca="1" si="122"/>
        <v>151</v>
      </c>
      <c r="L52" s="142">
        <f t="shared" ca="1" si="123"/>
        <v>187</v>
      </c>
      <c r="M52" s="142">
        <f t="shared" ca="1" si="124"/>
        <v>180</v>
      </c>
      <c r="N52" s="142">
        <f t="shared" ca="1" si="125"/>
        <v>168</v>
      </c>
      <c r="O52" s="142">
        <f t="shared" ca="1" si="126"/>
        <v>186</v>
      </c>
      <c r="P52" s="142">
        <f t="shared" ca="1" si="127"/>
        <v>69</v>
      </c>
      <c r="Q52" s="142">
        <f t="shared" ca="1" si="128"/>
        <v>208</v>
      </c>
      <c r="R52" s="142">
        <f t="shared" ca="1" si="129"/>
        <v>62</v>
      </c>
      <c r="S52" s="142">
        <f t="shared" ca="1" si="130"/>
        <v>205</v>
      </c>
      <c r="T52" s="142">
        <f t="shared" ca="1" si="131"/>
        <v>194</v>
      </c>
      <c r="U52" s="142">
        <f t="shared" ca="1" si="132"/>
        <v>73</v>
      </c>
      <c r="V52" s="142">
        <f t="shared" ca="1" si="133"/>
        <v>221</v>
      </c>
      <c r="W52" s="142">
        <f t="shared" ca="1" si="134"/>
        <v>196</v>
      </c>
      <c r="X52" s="176">
        <f t="shared" ca="1" si="136"/>
        <v>352</v>
      </c>
      <c r="Y52" s="133"/>
      <c r="Z52" s="205">
        <f ca="1">SUM(C52:Y52)</f>
        <v>3255.1627900924527</v>
      </c>
      <c r="AA52" s="133"/>
      <c r="AB52" s="149">
        <f ca="1">Z52/Score!$AF$18</f>
        <v>0.78629652390409466</v>
      </c>
    </row>
    <row r="53" spans="1:57" ht="12" customHeight="1">
      <c r="A53" s="147">
        <v>4</v>
      </c>
      <c r="B53" s="148" t="str">
        <f t="shared" ca="1" si="113"/>
        <v>Tour de Kruiskamp</v>
      </c>
      <c r="C53" s="142">
        <f t="shared" ca="1" si="114"/>
        <v>50.076419357216281</v>
      </c>
      <c r="D53" s="142">
        <f t="shared" ca="1" si="115"/>
        <v>68</v>
      </c>
      <c r="E53" s="142">
        <f t="shared" ca="1" si="116"/>
        <v>75</v>
      </c>
      <c r="F53" s="142">
        <f t="shared" ca="1" si="117"/>
        <v>0.1</v>
      </c>
      <c r="G53" s="142">
        <f t="shared" ca="1" si="118"/>
        <v>153</v>
      </c>
      <c r="H53" s="142">
        <f t="shared" ca="1" si="119"/>
        <v>193</v>
      </c>
      <c r="I53" s="142">
        <f t="shared" ca="1" si="120"/>
        <v>108</v>
      </c>
      <c r="J53" s="142">
        <f t="shared" ca="1" si="121"/>
        <v>200</v>
      </c>
      <c r="K53" s="142">
        <f t="shared" ca="1" si="122"/>
        <v>145</v>
      </c>
      <c r="L53" s="142">
        <f t="shared" ca="1" si="123"/>
        <v>183</v>
      </c>
      <c r="M53" s="142">
        <f t="shared" ca="1" si="124"/>
        <v>174</v>
      </c>
      <c r="N53" s="142">
        <f t="shared" ca="1" si="125"/>
        <v>178</v>
      </c>
      <c r="O53" s="142">
        <f t="shared" ca="1" si="126"/>
        <v>146</v>
      </c>
      <c r="P53" s="142">
        <f t="shared" ca="1" si="127"/>
        <v>55</v>
      </c>
      <c r="Q53" s="142">
        <f t="shared" ca="1" si="128"/>
        <v>182</v>
      </c>
      <c r="R53" s="142">
        <f t="shared" ca="1" si="129"/>
        <v>58</v>
      </c>
      <c r="S53" s="142">
        <f t="shared" ca="1" si="130"/>
        <v>203</v>
      </c>
      <c r="T53" s="142">
        <f t="shared" ca="1" si="131"/>
        <v>205</v>
      </c>
      <c r="U53" s="142">
        <f t="shared" ca="1" si="132"/>
        <v>64</v>
      </c>
      <c r="V53" s="142">
        <f t="shared" ca="1" si="133"/>
        <v>218</v>
      </c>
      <c r="W53" s="142">
        <f t="shared" ca="1" si="134"/>
        <v>191</v>
      </c>
      <c r="X53" s="176">
        <f t="shared" ca="1" si="136"/>
        <v>325</v>
      </c>
      <c r="Y53" s="133"/>
      <c r="Z53" s="205">
        <f ca="1">SUM(C53:Y53)</f>
        <v>3174.1764193572162</v>
      </c>
      <c r="AA53" s="133"/>
      <c r="AB53" s="149">
        <f ca="1">Z53/Score!$AF$18</f>
        <v>0.7667339686959368</v>
      </c>
    </row>
    <row r="54" spans="1:57" ht="12" customHeight="1">
      <c r="A54" s="147">
        <v>5</v>
      </c>
      <c r="B54" s="148" t="str">
        <f t="shared" ca="1" si="113"/>
        <v>TinTopTeam</v>
      </c>
      <c r="C54" s="142">
        <f t="shared" ca="1" si="114"/>
        <v>112.02391979255034</v>
      </c>
      <c r="D54" s="142">
        <f t="shared" ca="1" si="115"/>
        <v>42</v>
      </c>
      <c r="E54" s="142">
        <f t="shared" ca="1" si="116"/>
        <v>68</v>
      </c>
      <c r="F54" s="142">
        <f t="shared" ca="1" si="117"/>
        <v>0.1</v>
      </c>
      <c r="G54" s="142">
        <f t="shared" ca="1" si="118"/>
        <v>156</v>
      </c>
      <c r="H54" s="142">
        <f t="shared" ca="1" si="119"/>
        <v>202</v>
      </c>
      <c r="I54" s="142">
        <f t="shared" ca="1" si="120"/>
        <v>77</v>
      </c>
      <c r="J54" s="142">
        <f t="shared" ca="1" si="121"/>
        <v>167</v>
      </c>
      <c r="K54" s="142">
        <f t="shared" ca="1" si="122"/>
        <v>138</v>
      </c>
      <c r="L54" s="142">
        <f t="shared" ca="1" si="123"/>
        <v>211</v>
      </c>
      <c r="M54" s="142">
        <f t="shared" ca="1" si="124"/>
        <v>153</v>
      </c>
      <c r="N54" s="142">
        <f t="shared" ca="1" si="125"/>
        <v>199</v>
      </c>
      <c r="O54" s="142">
        <f t="shared" ca="1" si="126"/>
        <v>147</v>
      </c>
      <c r="P54" s="142">
        <f t="shared" ca="1" si="127"/>
        <v>80</v>
      </c>
      <c r="Q54" s="142">
        <f t="shared" ca="1" si="128"/>
        <v>170</v>
      </c>
      <c r="R54" s="142">
        <f t="shared" ca="1" si="129"/>
        <v>52</v>
      </c>
      <c r="S54" s="142">
        <f t="shared" ca="1" si="130"/>
        <v>193</v>
      </c>
      <c r="T54" s="142">
        <f t="shared" ca="1" si="131"/>
        <v>188</v>
      </c>
      <c r="U54" s="142">
        <f t="shared" ca="1" si="132"/>
        <v>55</v>
      </c>
      <c r="V54" s="142">
        <f t="shared" ca="1" si="133"/>
        <v>192</v>
      </c>
      <c r="W54" s="142">
        <f t="shared" ca="1" si="134"/>
        <v>216</v>
      </c>
      <c r="X54" s="176">
        <f t="shared" ca="1" si="136"/>
        <v>302</v>
      </c>
      <c r="Y54" s="133"/>
      <c r="Z54" s="205">
        <f t="shared" ca="1" si="135"/>
        <v>3120.1239197925506</v>
      </c>
      <c r="AA54" s="133"/>
      <c r="AB54" s="149">
        <f ca="1">Z54/Score!$AF$18</f>
        <v>0.75367738896192693</v>
      </c>
    </row>
    <row r="55" spans="1:57" ht="12" customHeight="1">
      <c r="A55" s="147">
        <v>6</v>
      </c>
      <c r="B55" s="148" t="str">
        <f t="shared" ca="1" si="113"/>
        <v>Special Victims Unit</v>
      </c>
      <c r="C55" s="142">
        <f t="shared" ca="1" si="114"/>
        <v>50.087138802688997</v>
      </c>
      <c r="D55" s="142">
        <f t="shared" ca="1" si="115"/>
        <v>73</v>
      </c>
      <c r="E55" s="142">
        <f t="shared" ca="1" si="116"/>
        <v>80</v>
      </c>
      <c r="F55" s="142">
        <f t="shared" ca="1" si="117"/>
        <v>0.1</v>
      </c>
      <c r="G55" s="142">
        <f t="shared" ca="1" si="118"/>
        <v>158</v>
      </c>
      <c r="H55" s="142">
        <f t="shared" ca="1" si="119"/>
        <v>198</v>
      </c>
      <c r="I55" s="142">
        <f t="shared" ca="1" si="120"/>
        <v>112</v>
      </c>
      <c r="J55" s="142">
        <f t="shared" ca="1" si="121"/>
        <v>182</v>
      </c>
      <c r="K55" s="142">
        <f t="shared" ca="1" si="122"/>
        <v>132</v>
      </c>
      <c r="L55" s="142">
        <f t="shared" ca="1" si="123"/>
        <v>182</v>
      </c>
      <c r="M55" s="142">
        <f t="shared" ca="1" si="124"/>
        <v>139</v>
      </c>
      <c r="N55" s="142">
        <f t="shared" ca="1" si="125"/>
        <v>169</v>
      </c>
      <c r="O55" s="142">
        <f t="shared" ca="1" si="126"/>
        <v>146</v>
      </c>
      <c r="P55" s="142">
        <f t="shared" ca="1" si="127"/>
        <v>55</v>
      </c>
      <c r="Q55" s="142">
        <f t="shared" ca="1" si="128"/>
        <v>145</v>
      </c>
      <c r="R55" s="142">
        <f t="shared" ca="1" si="129"/>
        <v>43</v>
      </c>
      <c r="S55" s="142">
        <f t="shared" ca="1" si="130"/>
        <v>207</v>
      </c>
      <c r="T55" s="142">
        <f t="shared" ca="1" si="131"/>
        <v>171</v>
      </c>
      <c r="U55" s="142">
        <f t="shared" ca="1" si="132"/>
        <v>68</v>
      </c>
      <c r="V55" s="142">
        <f t="shared" ca="1" si="133"/>
        <v>172</v>
      </c>
      <c r="W55" s="142">
        <f t="shared" ca="1" si="134"/>
        <v>180</v>
      </c>
      <c r="X55" s="176">
        <f t="shared" ca="1" si="136"/>
        <v>260</v>
      </c>
      <c r="Y55" s="133"/>
      <c r="Z55" s="205">
        <f t="shared" ca="1" si="135"/>
        <v>2922.1871388026889</v>
      </c>
      <c r="AA55" s="133"/>
      <c r="AB55" s="149">
        <f ca="1">Z55/Score!$AF$18</f>
        <v>0.70586503275080359</v>
      </c>
    </row>
    <row r="56" spans="1:57" ht="12" customHeight="1">
      <c r="A56" s="147">
        <v>7</v>
      </c>
      <c r="B56" s="148" t="str">
        <f t="shared" ca="1" si="113"/>
        <v>For Sale</v>
      </c>
      <c r="C56" s="142">
        <f t="shared" ca="1" si="114"/>
        <v>93.028324613685427</v>
      </c>
      <c r="D56" s="142">
        <f t="shared" ca="1" si="115"/>
        <v>48</v>
      </c>
      <c r="E56" s="142">
        <f t="shared" ca="1" si="116"/>
        <v>62</v>
      </c>
      <c r="F56" s="142">
        <f t="shared" ca="1" si="117"/>
        <v>0.1</v>
      </c>
      <c r="G56" s="142">
        <f t="shared" ca="1" si="118"/>
        <v>145</v>
      </c>
      <c r="H56" s="142">
        <f t="shared" ca="1" si="119"/>
        <v>197</v>
      </c>
      <c r="I56" s="142">
        <f t="shared" ca="1" si="120"/>
        <v>81</v>
      </c>
      <c r="J56" s="142">
        <f t="shared" ca="1" si="121"/>
        <v>183</v>
      </c>
      <c r="K56" s="142">
        <f t="shared" ca="1" si="122"/>
        <v>134</v>
      </c>
      <c r="L56" s="142">
        <f t="shared" ca="1" si="123"/>
        <v>203</v>
      </c>
      <c r="M56" s="142">
        <f t="shared" ca="1" si="124"/>
        <v>175</v>
      </c>
      <c r="N56" s="142">
        <f t="shared" ca="1" si="125"/>
        <v>194</v>
      </c>
      <c r="O56" s="142">
        <f t="shared" ca="1" si="126"/>
        <v>147</v>
      </c>
      <c r="P56" s="142">
        <f t="shared" ca="1" si="127"/>
        <v>46</v>
      </c>
      <c r="Q56" s="142">
        <f t="shared" ca="1" si="128"/>
        <v>146</v>
      </c>
      <c r="R56" s="142">
        <f t="shared" ca="1" si="129"/>
        <v>44</v>
      </c>
      <c r="S56" s="142">
        <f t="shared" ca="1" si="130"/>
        <v>160</v>
      </c>
      <c r="T56" s="142">
        <f t="shared" ca="1" si="131"/>
        <v>146</v>
      </c>
      <c r="U56" s="142">
        <f t="shared" ca="1" si="132"/>
        <v>69</v>
      </c>
      <c r="V56" s="142">
        <f t="shared" ca="1" si="133"/>
        <v>173</v>
      </c>
      <c r="W56" s="142">
        <f t="shared" ca="1" si="134"/>
        <v>201</v>
      </c>
      <c r="X56" s="176">
        <f t="shared" ca="1" si="136"/>
        <v>261</v>
      </c>
      <c r="Y56" s="133"/>
      <c r="Z56" s="205">
        <f t="shared" ca="1" si="135"/>
        <v>2908.1283246136854</v>
      </c>
      <c r="AA56" s="133"/>
      <c r="AB56" s="149">
        <f ca="1">Z56/Score!$AF$18</f>
        <v>0.70246907456380525</v>
      </c>
    </row>
    <row r="57" spans="1:57" ht="12" customHeight="1">
      <c r="A57" s="129">
        <v>8</v>
      </c>
      <c r="B57" s="148" t="str">
        <f t="shared" ca="1" si="113"/>
        <v>IJffjes Boys</v>
      </c>
      <c r="C57" s="142">
        <f t="shared" ca="1" si="114"/>
        <v>50.038878030415773</v>
      </c>
      <c r="D57" s="142">
        <f t="shared" ca="1" si="115"/>
        <v>68</v>
      </c>
      <c r="E57" s="142">
        <f t="shared" ca="1" si="116"/>
        <v>75</v>
      </c>
      <c r="F57" s="142">
        <f t="shared" ca="1" si="117"/>
        <v>0.1</v>
      </c>
      <c r="G57" s="142">
        <f t="shared" ca="1" si="118"/>
        <v>155</v>
      </c>
      <c r="H57" s="142">
        <f t="shared" ca="1" si="119"/>
        <v>184</v>
      </c>
      <c r="I57" s="142">
        <f t="shared" ca="1" si="120"/>
        <v>110</v>
      </c>
      <c r="J57" s="142">
        <f t="shared" ca="1" si="121"/>
        <v>175</v>
      </c>
      <c r="K57" s="142">
        <f t="shared" ca="1" si="122"/>
        <v>129</v>
      </c>
      <c r="L57" s="142">
        <f t="shared" ca="1" si="123"/>
        <v>161</v>
      </c>
      <c r="M57" s="142">
        <f t="shared" ca="1" si="124"/>
        <v>196</v>
      </c>
      <c r="N57" s="142">
        <f t="shared" ca="1" si="125"/>
        <v>155</v>
      </c>
      <c r="O57" s="142">
        <f t="shared" ca="1" si="126"/>
        <v>176</v>
      </c>
      <c r="P57" s="142">
        <f t="shared" ca="1" si="127"/>
        <v>59</v>
      </c>
      <c r="Q57" s="142">
        <f t="shared" ca="1" si="128"/>
        <v>157</v>
      </c>
      <c r="R57" s="142">
        <f t="shared" ca="1" si="129"/>
        <v>61</v>
      </c>
      <c r="S57" s="142">
        <f t="shared" ca="1" si="130"/>
        <v>180</v>
      </c>
      <c r="T57" s="142">
        <f t="shared" ca="1" si="131"/>
        <v>156</v>
      </c>
      <c r="U57" s="142">
        <f t="shared" ca="1" si="132"/>
        <v>59</v>
      </c>
      <c r="V57" s="142">
        <f t="shared" ca="1" si="133"/>
        <v>157</v>
      </c>
      <c r="W57" s="142">
        <f t="shared" ca="1" si="134"/>
        <v>165</v>
      </c>
      <c r="X57" s="176">
        <f t="shared" ca="1" si="136"/>
        <v>259</v>
      </c>
      <c r="Y57" s="133"/>
      <c r="Z57" s="205">
        <f ca="1">SUM(C57:Y57)</f>
        <v>2887.138878030416</v>
      </c>
      <c r="AA57" s="133"/>
      <c r="AB57" s="149">
        <f ca="1">Z57/Score!$AF$18</f>
        <v>0.69739899667481997</v>
      </c>
    </row>
    <row r="58" spans="1:57" ht="12" customHeight="1">
      <c r="A58" s="147">
        <v>9</v>
      </c>
      <c r="B58" s="148" t="str">
        <f t="shared" ca="1" si="113"/>
        <v>Vorwärts Kinder des Vaterlandes!</v>
      </c>
      <c r="C58" s="142">
        <f t="shared" ca="1" si="114"/>
        <v>69.023791046695749</v>
      </c>
      <c r="D58" s="142">
        <f t="shared" ca="1" si="115"/>
        <v>72</v>
      </c>
      <c r="E58" s="142">
        <f t="shared" ca="1" si="116"/>
        <v>91</v>
      </c>
      <c r="F58" s="142">
        <f t="shared" ca="1" si="117"/>
        <v>0.1</v>
      </c>
      <c r="G58" s="142">
        <f t="shared" ca="1" si="118"/>
        <v>160</v>
      </c>
      <c r="H58" s="142">
        <f t="shared" ca="1" si="119"/>
        <v>208</v>
      </c>
      <c r="I58" s="142">
        <f t="shared" ca="1" si="120"/>
        <v>112</v>
      </c>
      <c r="J58" s="142">
        <f t="shared" ca="1" si="121"/>
        <v>162</v>
      </c>
      <c r="K58" s="142">
        <f t="shared" ca="1" si="122"/>
        <v>109</v>
      </c>
      <c r="L58" s="142">
        <f t="shared" ca="1" si="123"/>
        <v>190</v>
      </c>
      <c r="M58" s="142">
        <f t="shared" ca="1" si="124"/>
        <v>154</v>
      </c>
      <c r="N58" s="142">
        <f t="shared" ca="1" si="125"/>
        <v>167</v>
      </c>
      <c r="O58" s="142">
        <f t="shared" ca="1" si="126"/>
        <v>140</v>
      </c>
      <c r="P58" s="142">
        <f t="shared" ca="1" si="127"/>
        <v>69</v>
      </c>
      <c r="Q58" s="142">
        <f t="shared" ca="1" si="128"/>
        <v>132</v>
      </c>
      <c r="R58" s="142">
        <f t="shared" ca="1" si="129"/>
        <v>78</v>
      </c>
      <c r="S58" s="142">
        <f t="shared" ca="1" si="130"/>
        <v>148</v>
      </c>
      <c r="T58" s="142">
        <f t="shared" ca="1" si="131"/>
        <v>122</v>
      </c>
      <c r="U58" s="142">
        <f t="shared" ca="1" si="132"/>
        <v>103</v>
      </c>
      <c r="V58" s="142">
        <f t="shared" ca="1" si="133"/>
        <v>145</v>
      </c>
      <c r="W58" s="142">
        <f t="shared" ca="1" si="134"/>
        <v>184</v>
      </c>
      <c r="X58" s="176">
        <f t="shared" ca="1" si="136"/>
        <v>236</v>
      </c>
      <c r="Y58" s="133"/>
      <c r="Z58" s="205">
        <f ca="1">SUM(C58:Y58)</f>
        <v>2851.1237910466957</v>
      </c>
      <c r="AA58" s="133"/>
      <c r="AB58" s="149">
        <f ca="1">Z58/Score!$AF$18</f>
        <v>0.68869942017757246</v>
      </c>
    </row>
    <row r="59" spans="1:57" ht="12" customHeight="1">
      <c r="A59" s="147">
        <v>10</v>
      </c>
      <c r="B59" s="148" t="str">
        <f t="shared" ca="1" si="113"/>
        <v>Equipe l'Ami</v>
      </c>
      <c r="C59" s="142">
        <f t="shared" ca="1" si="114"/>
        <v>50.004890316884179</v>
      </c>
      <c r="D59" s="142">
        <f t="shared" ca="1" si="115"/>
        <v>68</v>
      </c>
      <c r="E59" s="142">
        <f t="shared" ca="1" si="116"/>
        <v>75</v>
      </c>
      <c r="F59" s="142">
        <f t="shared" ca="1" si="117"/>
        <v>0.1</v>
      </c>
      <c r="G59" s="142">
        <f t="shared" ca="1" si="118"/>
        <v>142</v>
      </c>
      <c r="H59" s="142">
        <f t="shared" ca="1" si="119"/>
        <v>177</v>
      </c>
      <c r="I59" s="142">
        <f t="shared" ca="1" si="120"/>
        <v>96</v>
      </c>
      <c r="J59" s="142">
        <f t="shared" ca="1" si="121"/>
        <v>143</v>
      </c>
      <c r="K59" s="142">
        <f t="shared" ca="1" si="122"/>
        <v>124</v>
      </c>
      <c r="L59" s="142">
        <f t="shared" ca="1" si="123"/>
        <v>159</v>
      </c>
      <c r="M59" s="142">
        <f t="shared" ca="1" si="124"/>
        <v>161</v>
      </c>
      <c r="N59" s="142">
        <f t="shared" ca="1" si="125"/>
        <v>161</v>
      </c>
      <c r="O59" s="142">
        <f t="shared" ca="1" si="126"/>
        <v>149</v>
      </c>
      <c r="P59" s="142">
        <f t="shared" ca="1" si="127"/>
        <v>47</v>
      </c>
      <c r="Q59" s="142">
        <f t="shared" ca="1" si="128"/>
        <v>132</v>
      </c>
      <c r="R59" s="142">
        <f t="shared" ca="1" si="129"/>
        <v>41</v>
      </c>
      <c r="S59" s="142">
        <f t="shared" ca="1" si="130"/>
        <v>173</v>
      </c>
      <c r="T59" s="142">
        <f t="shared" ca="1" si="131"/>
        <v>149</v>
      </c>
      <c r="U59" s="142">
        <f t="shared" ca="1" si="132"/>
        <v>54</v>
      </c>
      <c r="V59" s="142">
        <f t="shared" ca="1" si="133"/>
        <v>162</v>
      </c>
      <c r="W59" s="142">
        <f t="shared" ca="1" si="134"/>
        <v>163</v>
      </c>
      <c r="X59" s="176">
        <f t="shared" ca="1" si="136"/>
        <v>241</v>
      </c>
      <c r="Y59" s="133"/>
      <c r="Z59" s="205">
        <f t="shared" ref="Z59:Z60" ca="1" si="137">SUM(C59:Y59)</f>
        <v>2667.1048903168839</v>
      </c>
      <c r="AA59" s="133"/>
      <c r="AB59" s="149">
        <f ca="1">Z59/Score!$AF$18</f>
        <v>0.64424897904544276</v>
      </c>
    </row>
    <row r="60" spans="1:57" ht="12" customHeight="1">
      <c r="A60" s="147">
        <v>11</v>
      </c>
      <c r="B60" s="148" t="str">
        <f t="shared" ca="1" si="113"/>
        <v>Niet geschoten</v>
      </c>
      <c r="C60" s="142">
        <f t="shared" ca="1" si="114"/>
        <v>69.041544990530198</v>
      </c>
      <c r="D60" s="142">
        <f t="shared" ca="1" si="115"/>
        <v>76</v>
      </c>
      <c r="E60" s="142">
        <f t="shared" ca="1" si="116"/>
        <v>123</v>
      </c>
      <c r="F60" s="142">
        <f t="shared" ca="1" si="117"/>
        <v>0.1</v>
      </c>
      <c r="G60" s="142">
        <f t="shared" ca="1" si="118"/>
        <v>166</v>
      </c>
      <c r="H60" s="142">
        <f t="shared" ca="1" si="119"/>
        <v>191</v>
      </c>
      <c r="I60" s="142">
        <f t="shared" ca="1" si="120"/>
        <v>114</v>
      </c>
      <c r="J60" s="142">
        <f t="shared" ca="1" si="121"/>
        <v>135</v>
      </c>
      <c r="K60" s="142">
        <f t="shared" ca="1" si="122"/>
        <v>114</v>
      </c>
      <c r="L60" s="142">
        <f t="shared" ca="1" si="123"/>
        <v>173</v>
      </c>
      <c r="M60" s="142">
        <f t="shared" ca="1" si="124"/>
        <v>142</v>
      </c>
      <c r="N60" s="142">
        <f t="shared" ca="1" si="125"/>
        <v>180</v>
      </c>
      <c r="O60" s="142">
        <f t="shared" ca="1" si="126"/>
        <v>137</v>
      </c>
      <c r="P60" s="142">
        <f t="shared" ca="1" si="127"/>
        <v>60</v>
      </c>
      <c r="Q60" s="142">
        <f t="shared" ca="1" si="128"/>
        <v>105</v>
      </c>
      <c r="R60" s="142">
        <f t="shared" ca="1" si="129"/>
        <v>55</v>
      </c>
      <c r="S60" s="142">
        <f t="shared" ca="1" si="130"/>
        <v>136</v>
      </c>
      <c r="T60" s="142">
        <f t="shared" ca="1" si="131"/>
        <v>99</v>
      </c>
      <c r="U60" s="142">
        <f t="shared" ca="1" si="132"/>
        <v>48</v>
      </c>
      <c r="V60" s="142">
        <f t="shared" ca="1" si="133"/>
        <v>107</v>
      </c>
      <c r="W60" s="142">
        <f ca="1">VLOOKUP($B60,$B$3:$Y$18,22,0)</f>
        <v>160</v>
      </c>
      <c r="X60" s="176">
        <f t="shared" ca="1" si="136"/>
        <v>198</v>
      </c>
      <c r="Y60" s="133"/>
      <c r="Z60" s="205">
        <f t="shared" ca="1" si="137"/>
        <v>2588.1415449905303</v>
      </c>
      <c r="AA60" s="133"/>
      <c r="AB60" s="149">
        <f ca="1">Z60/Score!$AF$18</f>
        <v>0.62517509305272811</v>
      </c>
    </row>
    <row r="61" spans="1:57" ht="12" customHeight="1">
      <c r="AA61" s="133"/>
    </row>
    <row r="62" spans="1:57" s="151" customFormat="1" ht="12" customHeight="1">
      <c r="B62" s="152" t="s">
        <v>4</v>
      </c>
      <c r="C62" s="153">
        <f t="shared" ref="C62" ca="1" si="138">AVERAGE(C50:C59)</f>
        <v>68.653866801427526</v>
      </c>
      <c r="D62" s="153">
        <f t="shared" ref="D62:Z62" ca="1" si="139">AVERAGE(D50:D59)</f>
        <v>64.8</v>
      </c>
      <c r="E62" s="153">
        <f t="shared" ca="1" si="139"/>
        <v>74</v>
      </c>
      <c r="F62" s="153">
        <f t="shared" ca="1" si="139"/>
        <v>9.9999999999999992E-2</v>
      </c>
      <c r="G62" s="153">
        <f t="shared" ca="1" si="139"/>
        <v>154.4</v>
      </c>
      <c r="H62" s="153">
        <f t="shared" ca="1" si="139"/>
        <v>195.7</v>
      </c>
      <c r="I62" s="153">
        <f t="shared" ca="1" si="139"/>
        <v>96.4</v>
      </c>
      <c r="J62" s="153">
        <f t="shared" ca="1" si="139"/>
        <v>181.4</v>
      </c>
      <c r="K62" s="153">
        <f t="shared" ca="1" si="139"/>
        <v>131.69999999999999</v>
      </c>
      <c r="L62" s="153">
        <f t="shared" ca="1" si="139"/>
        <v>187.1</v>
      </c>
      <c r="M62" s="153">
        <f t="shared" ca="1" si="139"/>
        <v>167.5</v>
      </c>
      <c r="N62" s="153">
        <f t="shared" ca="1" si="139"/>
        <v>176.4</v>
      </c>
      <c r="O62" s="153">
        <f t="shared" ca="1" si="139"/>
        <v>155.30000000000001</v>
      </c>
      <c r="P62" s="153">
        <f t="shared" ca="1" si="139"/>
        <v>63.6</v>
      </c>
      <c r="Q62" s="153">
        <f t="shared" ca="1" si="139"/>
        <v>164.7</v>
      </c>
      <c r="R62" s="153">
        <f t="shared" ca="1" si="139"/>
        <v>58.7</v>
      </c>
      <c r="S62" s="153">
        <f t="shared" ca="1" si="139"/>
        <v>187.6</v>
      </c>
      <c r="T62" s="153">
        <f t="shared" ca="1" si="139"/>
        <v>172.5</v>
      </c>
      <c r="U62" s="153">
        <f t="shared" ca="1" si="139"/>
        <v>70.900000000000006</v>
      </c>
      <c r="V62" s="153">
        <f t="shared" ca="1" si="139"/>
        <v>188.4</v>
      </c>
      <c r="W62" s="153">
        <f t="shared" ca="1" si="139"/>
        <v>190.8</v>
      </c>
      <c r="X62" s="153">
        <f t="shared" ca="1" si="139"/>
        <v>292.10000000000002</v>
      </c>
      <c r="Y62" s="153" t="e">
        <f t="shared" si="139"/>
        <v>#DIV/0!</v>
      </c>
      <c r="Z62" s="153">
        <f t="shared" ca="1" si="139"/>
        <v>3042.7538668014272</v>
      </c>
      <c r="AA62" s="154"/>
    </row>
    <row r="63" spans="1:57" s="151" customFormat="1" ht="12" customHeight="1">
      <c r="B63" s="152" t="s">
        <v>89</v>
      </c>
      <c r="C63" s="153">
        <f ca="1">AVERAGE(C50:C57)</f>
        <v>70.93874833133691</v>
      </c>
      <c r="D63" s="153">
        <f t="shared" ref="D63:Z63" ca="1" si="140">AVERAGE(D50:D57)</f>
        <v>63.5</v>
      </c>
      <c r="E63" s="153">
        <f t="shared" ca="1" si="140"/>
        <v>71.75</v>
      </c>
      <c r="F63" s="153">
        <f t="shared" ca="1" si="140"/>
        <v>9.9999999999999992E-2</v>
      </c>
      <c r="G63" s="153">
        <f t="shared" ca="1" si="140"/>
        <v>155.25</v>
      </c>
      <c r="H63" s="153">
        <f t="shared" ca="1" si="140"/>
        <v>196.5</v>
      </c>
      <c r="I63" s="153">
        <f t="shared" ca="1" si="140"/>
        <v>94.5</v>
      </c>
      <c r="J63" s="153">
        <f t="shared" ca="1" si="140"/>
        <v>188.625</v>
      </c>
      <c r="K63" s="153">
        <f t="shared" ca="1" si="140"/>
        <v>135.5</v>
      </c>
      <c r="L63" s="153">
        <f t="shared" ca="1" si="140"/>
        <v>190.25</v>
      </c>
      <c r="M63" s="153">
        <f t="shared" ca="1" si="140"/>
        <v>170</v>
      </c>
      <c r="N63" s="153">
        <f t="shared" ca="1" si="140"/>
        <v>179.5</v>
      </c>
      <c r="O63" s="153">
        <f t="shared" ca="1" si="140"/>
        <v>158</v>
      </c>
      <c r="P63" s="153">
        <f t="shared" ca="1" si="140"/>
        <v>65</v>
      </c>
      <c r="Q63" s="153">
        <f t="shared" ca="1" si="140"/>
        <v>172.875</v>
      </c>
      <c r="R63" s="153">
        <f t="shared" ca="1" si="140"/>
        <v>58.5</v>
      </c>
      <c r="S63" s="153">
        <f t="shared" ca="1" si="140"/>
        <v>194.375</v>
      </c>
      <c r="T63" s="153">
        <f t="shared" ca="1" si="140"/>
        <v>181.75</v>
      </c>
      <c r="U63" s="153">
        <f t="shared" ca="1" si="140"/>
        <v>69</v>
      </c>
      <c r="V63" s="153">
        <f t="shared" ca="1" si="140"/>
        <v>197.125</v>
      </c>
      <c r="W63" s="153">
        <f t="shared" ca="1" si="140"/>
        <v>195.125</v>
      </c>
      <c r="X63" s="153">
        <f t="shared" ca="1" si="140"/>
        <v>305.5</v>
      </c>
      <c r="Y63" s="153" t="e">
        <f t="shared" si="140"/>
        <v>#DIV/0!</v>
      </c>
      <c r="Z63" s="153">
        <f t="shared" ca="1" si="140"/>
        <v>3113.6637483313366</v>
      </c>
      <c r="AA63" s="154"/>
    </row>
    <row r="64" spans="1:57" s="151" customFormat="1" ht="12" customHeight="1">
      <c r="X64" s="175"/>
      <c r="AA64" s="154"/>
    </row>
    <row r="65" spans="1:60" s="151" customFormat="1" ht="12" customHeight="1">
      <c r="A65" s="155" t="s">
        <v>0</v>
      </c>
      <c r="B65" s="156"/>
      <c r="C65" s="208"/>
      <c r="X65" s="175"/>
      <c r="AA65" s="154"/>
    </row>
    <row r="66" spans="1:60" ht="12" customHeight="1">
      <c r="A66" s="146"/>
      <c r="B66" s="150" t="s">
        <v>192</v>
      </c>
      <c r="C66" s="126">
        <v>4</v>
      </c>
      <c r="E66" s="157"/>
      <c r="F66" s="158"/>
      <c r="G66" s="146"/>
      <c r="H66" s="146"/>
      <c r="Z66" s="146"/>
      <c r="AB66" s="159"/>
    </row>
    <row r="67" spans="1:60" ht="12" customHeight="1">
      <c r="A67" s="126"/>
      <c r="B67" s="148" t="s">
        <v>206</v>
      </c>
      <c r="C67" s="142">
        <v>3</v>
      </c>
      <c r="D67" s="153"/>
      <c r="E67" s="153"/>
      <c r="F67" s="153"/>
      <c r="G67" s="153"/>
      <c r="H67" s="153"/>
      <c r="I67" s="153"/>
      <c r="J67" s="153"/>
      <c r="K67" s="153"/>
      <c r="L67" s="153"/>
      <c r="M67" s="153"/>
      <c r="N67" s="153"/>
      <c r="O67" s="153"/>
      <c r="P67" s="153"/>
      <c r="Q67" s="153"/>
      <c r="R67" s="153"/>
      <c r="S67" s="153"/>
      <c r="T67" s="153"/>
      <c r="U67" s="153"/>
      <c r="V67" s="153"/>
      <c r="W67" s="153"/>
      <c r="X67" s="177"/>
      <c r="Y67" s="154"/>
      <c r="Z67" s="153"/>
      <c r="AA67" s="154"/>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row>
    <row r="68" spans="1:60" s="151" customFormat="1" ht="12" customHeight="1">
      <c r="A68" s="157"/>
      <c r="B68" s="150" t="s">
        <v>133</v>
      </c>
      <c r="C68" s="126">
        <v>3</v>
      </c>
      <c r="X68" s="175"/>
      <c r="AA68" s="154"/>
    </row>
    <row r="69" spans="1:60" s="151" customFormat="1" ht="12" customHeight="1">
      <c r="A69" s="129"/>
      <c r="B69" s="148" t="s">
        <v>135</v>
      </c>
      <c r="C69" s="161">
        <v>3</v>
      </c>
      <c r="D69" s="161"/>
      <c r="E69" s="162"/>
      <c r="F69" s="158"/>
      <c r="G69" s="146"/>
      <c r="H69" s="146"/>
      <c r="I69" s="126"/>
      <c r="J69" s="126"/>
      <c r="K69" s="125"/>
      <c r="L69" s="129"/>
      <c r="M69" s="125"/>
      <c r="N69" s="126"/>
      <c r="O69" s="125"/>
      <c r="P69" s="125"/>
      <c r="Q69" s="125"/>
      <c r="R69" s="125"/>
      <c r="S69" s="125"/>
      <c r="T69" s="125"/>
      <c r="U69" s="125"/>
      <c r="V69" s="125"/>
      <c r="W69" s="125"/>
      <c r="X69" s="17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row>
    <row r="70" spans="1:60" s="151" customFormat="1" ht="12" customHeight="1">
      <c r="A70" s="126"/>
      <c r="B70" s="150" t="s">
        <v>130</v>
      </c>
      <c r="C70" s="126">
        <v>3</v>
      </c>
      <c r="D70" s="153"/>
      <c r="E70" s="153"/>
      <c r="F70" s="153"/>
      <c r="G70" s="153"/>
      <c r="H70" s="153"/>
      <c r="I70" s="153"/>
      <c r="J70" s="153"/>
      <c r="K70" s="153"/>
      <c r="L70" s="153"/>
      <c r="M70" s="153"/>
      <c r="N70" s="153"/>
      <c r="O70" s="153"/>
      <c r="P70" s="153"/>
      <c r="Q70" s="153"/>
      <c r="R70" s="153"/>
      <c r="S70" s="153"/>
      <c r="T70" s="153"/>
      <c r="U70" s="153"/>
      <c r="V70" s="153"/>
      <c r="W70" s="153"/>
      <c r="X70" s="177"/>
      <c r="Y70" s="154"/>
      <c r="Z70" s="153"/>
      <c r="AA70" s="154"/>
    </row>
    <row r="71" spans="1:60" ht="12" customHeight="1">
      <c r="A71" s="160"/>
      <c r="B71" s="148" t="s">
        <v>215</v>
      </c>
      <c r="C71" s="126">
        <v>2</v>
      </c>
      <c r="E71" s="157"/>
      <c r="F71" s="158"/>
      <c r="G71" s="146"/>
      <c r="H71" s="146"/>
      <c r="Z71" s="160"/>
    </row>
    <row r="72" spans="1:60" ht="12" customHeight="1">
      <c r="A72" s="126"/>
      <c r="B72" s="150" t="s">
        <v>65</v>
      </c>
      <c r="C72" s="126">
        <v>1</v>
      </c>
      <c r="E72" s="157"/>
      <c r="F72" s="158"/>
      <c r="G72" s="146"/>
      <c r="H72" s="146"/>
      <c r="Z72" s="157"/>
      <c r="AB72" s="148"/>
    </row>
    <row r="73" spans="1:60" ht="12" customHeight="1">
      <c r="A73" s="157"/>
      <c r="B73" s="125" t="s">
        <v>125</v>
      </c>
      <c r="C73" s="126">
        <v>1</v>
      </c>
      <c r="E73" s="157"/>
      <c r="F73" s="158"/>
      <c r="G73" s="146"/>
      <c r="H73" s="146"/>
      <c r="Z73" s="157"/>
    </row>
    <row r="74" spans="1:60" ht="12" customHeight="1">
      <c r="A74" s="126"/>
      <c r="B74" s="125" t="s">
        <v>218</v>
      </c>
      <c r="E74" s="150"/>
      <c r="F74" s="126"/>
    </row>
    <row r="75" spans="1:60" ht="12" customHeight="1">
      <c r="A75" s="126"/>
      <c r="B75" s="150" t="s">
        <v>179</v>
      </c>
      <c r="E75" s="157"/>
      <c r="F75" s="158"/>
      <c r="G75" s="146"/>
      <c r="H75" s="146"/>
      <c r="P75" s="125" t="s">
        <v>17</v>
      </c>
      <c r="Z75" s="126"/>
      <c r="AB75" s="150"/>
    </row>
    <row r="76" spans="1:60" ht="12" customHeight="1">
      <c r="A76" s="126"/>
      <c r="B76" s="125" t="s">
        <v>208</v>
      </c>
      <c r="E76" s="157"/>
      <c r="F76" s="158"/>
      <c r="G76" s="146"/>
      <c r="H76" s="146"/>
      <c r="Z76" s="126"/>
    </row>
    <row r="77" spans="1:60" ht="12" customHeight="1">
      <c r="A77" s="129"/>
      <c r="B77" s="144"/>
      <c r="C77" s="146"/>
      <c r="D77" s="146"/>
      <c r="E77" s="157"/>
      <c r="F77" s="158"/>
      <c r="G77" s="146"/>
      <c r="H77" s="146"/>
      <c r="P77" s="125" t="s">
        <v>17</v>
      </c>
    </row>
    <row r="78" spans="1:60" ht="12" customHeight="1">
      <c r="B78" s="159"/>
      <c r="C78" s="157"/>
      <c r="D78" s="157"/>
      <c r="E78" s="157"/>
      <c r="F78" s="158"/>
      <c r="G78" s="146"/>
      <c r="H78" s="146"/>
      <c r="P78" s="125" t="s">
        <v>18</v>
      </c>
    </row>
    <row r="79" spans="1:60" ht="12" customHeight="1">
      <c r="A79" s="129"/>
      <c r="B79" s="159"/>
      <c r="C79" s="163"/>
      <c r="D79" s="163"/>
      <c r="E79" s="157"/>
      <c r="F79" s="158"/>
      <c r="G79" s="146"/>
      <c r="H79" s="146"/>
    </row>
    <row r="80" spans="1:60" ht="12" customHeight="1">
      <c r="A80" s="129"/>
      <c r="B80" s="144"/>
      <c r="C80" s="157"/>
      <c r="D80" s="157"/>
      <c r="E80" s="157"/>
      <c r="F80" s="158"/>
      <c r="G80" s="146"/>
      <c r="H80" s="146"/>
    </row>
    <row r="81" spans="2:8" ht="12" customHeight="1">
      <c r="C81" s="157"/>
      <c r="D81" s="157"/>
      <c r="E81" s="157"/>
      <c r="F81" s="158"/>
      <c r="G81" s="146"/>
      <c r="H81" s="146"/>
    </row>
    <row r="82" spans="2:8" ht="12" customHeight="1">
      <c r="B82" s="144"/>
      <c r="C82" s="146"/>
      <c r="D82" s="146"/>
      <c r="E82" s="146"/>
      <c r="F82" s="158"/>
      <c r="G82" s="146"/>
      <c r="H82" s="146"/>
    </row>
    <row r="83" spans="2:8" ht="12" customHeight="1">
      <c r="B83" s="159"/>
      <c r="C83" s="146"/>
      <c r="D83" s="146"/>
      <c r="E83" s="146"/>
      <c r="F83" s="158"/>
      <c r="G83" s="146"/>
      <c r="H83" s="146"/>
    </row>
    <row r="84" spans="2:8" ht="12" customHeight="1">
      <c r="B84" s="144"/>
      <c r="C84" s="146"/>
      <c r="D84" s="146"/>
      <c r="E84" s="146"/>
      <c r="F84" s="158"/>
      <c r="G84" s="146"/>
      <c r="H84" s="146"/>
    </row>
    <row r="85" spans="2:8" ht="12" customHeight="1">
      <c r="B85" s="144"/>
      <c r="E85" s="146"/>
      <c r="F85" s="158"/>
      <c r="G85" s="146"/>
      <c r="H85" s="146"/>
    </row>
    <row r="86" spans="2:8" ht="12" customHeight="1">
      <c r="B86" s="144"/>
      <c r="C86" s="157"/>
      <c r="D86" s="157"/>
      <c r="E86" s="146"/>
      <c r="F86" s="158"/>
      <c r="G86" s="146"/>
      <c r="H86" s="146"/>
    </row>
    <row r="87" spans="2:8" ht="12" customHeight="1">
      <c r="C87" s="146"/>
      <c r="D87" s="146"/>
      <c r="E87" s="146"/>
      <c r="F87" s="158"/>
      <c r="G87" s="146"/>
      <c r="H87" s="146"/>
    </row>
    <row r="90" spans="2:8" ht="12" customHeight="1">
      <c r="B90" s="129"/>
    </row>
    <row r="91" spans="2:8" ht="12" customHeight="1">
      <c r="B91" s="129"/>
    </row>
    <row r="92" spans="2:8" ht="12" customHeight="1">
      <c r="B92" s="129"/>
    </row>
    <row r="93" spans="2:8" ht="12" customHeight="1">
      <c r="B93" s="129"/>
    </row>
    <row r="94" spans="2:8" ht="12" customHeight="1">
      <c r="B94" s="129"/>
      <c r="C94" s="130"/>
      <c r="D94" s="130"/>
    </row>
    <row r="95" spans="2:8" ht="12" customHeight="1">
      <c r="B95" s="129"/>
    </row>
    <row r="96" spans="2:8" ht="12" customHeight="1">
      <c r="B96" s="129"/>
      <c r="C96" s="125"/>
      <c r="D96" s="125"/>
    </row>
    <row r="97" spans="2:4" ht="12" customHeight="1">
      <c r="B97" s="129"/>
      <c r="C97" s="130"/>
      <c r="D97" s="130"/>
    </row>
    <row r="98" spans="2:4" ht="12" customHeight="1">
      <c r="B98" s="164"/>
      <c r="C98" s="125"/>
      <c r="D98" s="125"/>
    </row>
    <row r="99" spans="2:4" ht="12" customHeight="1">
      <c r="B99" s="165"/>
    </row>
    <row r="100" spans="2:4" ht="12" customHeight="1">
      <c r="B100" s="165"/>
      <c r="C100" s="130"/>
      <c r="D100" s="130"/>
    </row>
    <row r="101" spans="2:4" ht="12" customHeight="1">
      <c r="B101" s="139"/>
    </row>
    <row r="102" spans="2:4" ht="12" customHeight="1">
      <c r="B102" s="165"/>
    </row>
    <row r="103" spans="2:4" ht="12" customHeight="1">
      <c r="B103" s="165"/>
      <c r="C103" s="130"/>
      <c r="D103" s="130"/>
    </row>
    <row r="104" spans="2:4" ht="12" customHeight="1">
      <c r="B104" s="139"/>
    </row>
    <row r="105" spans="2:4" ht="12" customHeight="1">
      <c r="B105" s="166"/>
      <c r="C105" s="125"/>
      <c r="D105" s="125"/>
    </row>
    <row r="106" spans="2:4" ht="12" customHeight="1">
      <c r="B106" s="166"/>
      <c r="C106" s="130"/>
      <c r="D106" s="130"/>
    </row>
    <row r="107" spans="2:4" ht="12" customHeight="1">
      <c r="B107" s="139"/>
      <c r="C107" s="125"/>
      <c r="D107" s="125"/>
    </row>
    <row r="108" spans="2:4" ht="12" customHeight="1">
      <c r="B108" s="166"/>
      <c r="C108" s="125"/>
      <c r="D108" s="125"/>
    </row>
    <row r="109" spans="2:4" ht="12" customHeight="1">
      <c r="B109" s="166"/>
    </row>
    <row r="110" spans="2:4" ht="12" customHeight="1">
      <c r="B110" s="139"/>
      <c r="C110" s="125"/>
      <c r="D110" s="125"/>
    </row>
    <row r="111" spans="2:4" ht="12" customHeight="1">
      <c r="B111" s="139"/>
      <c r="C111" s="125"/>
      <c r="D111" s="125"/>
    </row>
    <row r="112" spans="2:4" ht="12" customHeight="1">
      <c r="B112" s="166"/>
      <c r="C112" s="125"/>
      <c r="D112" s="125"/>
    </row>
    <row r="113" spans="2:4" ht="12" customHeight="1">
      <c r="B113" s="139"/>
      <c r="C113" s="125"/>
      <c r="D113" s="125"/>
    </row>
    <row r="114" spans="2:4" ht="12" customHeight="1">
      <c r="B114" s="139"/>
      <c r="C114" s="125"/>
      <c r="D114" s="125"/>
    </row>
    <row r="115" spans="2:4" ht="12" customHeight="1">
      <c r="B115" s="139"/>
      <c r="C115" s="125"/>
      <c r="D115" s="125"/>
    </row>
    <row r="116" spans="2:4" ht="12" customHeight="1">
      <c r="B116" s="139"/>
      <c r="C116" s="125"/>
      <c r="D116" s="125"/>
    </row>
    <row r="117" spans="2:4" ht="12" customHeight="1">
      <c r="B117" s="139"/>
      <c r="C117" s="125"/>
      <c r="D117" s="125"/>
    </row>
    <row r="118" spans="2:4" ht="12" customHeight="1">
      <c r="B118" s="139"/>
      <c r="C118" s="125"/>
      <c r="D118" s="125"/>
    </row>
    <row r="119" spans="2:4" ht="12" customHeight="1">
      <c r="B119" s="139"/>
      <c r="C119" s="125"/>
      <c r="D119" s="125"/>
    </row>
    <row r="120" spans="2:4" ht="12" customHeight="1">
      <c r="B120" s="139"/>
      <c r="C120" s="125"/>
      <c r="D120" s="125"/>
    </row>
    <row r="121" spans="2:4" ht="12" customHeight="1">
      <c r="B121" s="139"/>
      <c r="C121" s="125"/>
      <c r="D121" s="125"/>
    </row>
    <row r="122" spans="2:4" ht="12" customHeight="1">
      <c r="B122" s="139"/>
      <c r="C122" s="125"/>
      <c r="D122" s="125"/>
    </row>
    <row r="123" spans="2:4" ht="12" customHeight="1">
      <c r="B123" s="139"/>
      <c r="C123" s="125"/>
      <c r="D123" s="125"/>
    </row>
    <row r="124" spans="2:4" ht="12" customHeight="1">
      <c r="B124" s="139"/>
      <c r="C124" s="125"/>
      <c r="D124" s="125"/>
    </row>
    <row r="125" spans="2:4" ht="12" customHeight="1">
      <c r="B125" s="139"/>
      <c r="C125" s="125"/>
      <c r="D125" s="125"/>
    </row>
    <row r="126" spans="2:4" ht="12" customHeight="1">
      <c r="B126" s="139"/>
      <c r="C126" s="125"/>
      <c r="D126" s="125"/>
    </row>
    <row r="127" spans="2:4" ht="12" customHeight="1">
      <c r="B127" s="139"/>
      <c r="C127" s="125"/>
      <c r="D127" s="125"/>
    </row>
    <row r="128" spans="2:4" ht="12" customHeight="1">
      <c r="B128" s="139"/>
      <c r="C128" s="125"/>
      <c r="D128" s="125"/>
    </row>
    <row r="129" spans="2:4" ht="12" customHeight="1">
      <c r="B129" s="139"/>
      <c r="C129" s="125"/>
      <c r="D129" s="125"/>
    </row>
    <row r="130" spans="2:4" ht="12" customHeight="1">
      <c r="B130" s="139"/>
      <c r="C130" s="125"/>
      <c r="D130" s="125"/>
    </row>
    <row r="131" spans="2:4" ht="12" customHeight="1">
      <c r="B131" s="139"/>
      <c r="C131" s="125"/>
      <c r="D131" s="125"/>
    </row>
    <row r="132" spans="2:4" ht="12" customHeight="1">
      <c r="B132" s="139"/>
      <c r="C132" s="125"/>
      <c r="D132" s="125"/>
    </row>
    <row r="133" spans="2:4" ht="12" customHeight="1">
      <c r="B133" s="139"/>
      <c r="C133" s="125"/>
      <c r="D133" s="125"/>
    </row>
    <row r="134" spans="2:4" ht="12" customHeight="1">
      <c r="B134" s="139"/>
      <c r="C134" s="125"/>
      <c r="D134" s="125"/>
    </row>
    <row r="135" spans="2:4" ht="12" customHeight="1">
      <c r="B135" s="139"/>
      <c r="C135" s="125"/>
      <c r="D135" s="125"/>
    </row>
    <row r="136" spans="2:4" ht="12" customHeight="1">
      <c r="B136" s="139"/>
      <c r="C136" s="125"/>
      <c r="D136" s="125"/>
    </row>
    <row r="137" spans="2:4" ht="12" customHeight="1">
      <c r="B137" s="139"/>
      <c r="C137" s="125"/>
      <c r="D137" s="125"/>
    </row>
    <row r="138" spans="2:4" ht="12" customHeight="1">
      <c r="B138" s="139"/>
      <c r="C138" s="125"/>
      <c r="D138" s="125"/>
    </row>
    <row r="139" spans="2:4" ht="12" customHeight="1">
      <c r="B139" s="139"/>
      <c r="C139" s="125"/>
      <c r="D139" s="125"/>
    </row>
    <row r="140" spans="2:4" ht="12" customHeight="1">
      <c r="B140" s="139"/>
      <c r="C140" s="125"/>
      <c r="D140" s="125"/>
    </row>
    <row r="141" spans="2:4" ht="12" customHeight="1">
      <c r="B141" s="139"/>
      <c r="C141" s="125"/>
      <c r="D141" s="125"/>
    </row>
    <row r="142" spans="2:4" ht="12" customHeight="1">
      <c r="B142" s="139"/>
      <c r="C142" s="125"/>
      <c r="D142" s="125"/>
    </row>
    <row r="143" spans="2:4" ht="12" customHeight="1">
      <c r="B143" s="139"/>
      <c r="C143" s="125"/>
      <c r="D143" s="125"/>
    </row>
    <row r="144" spans="2:4" ht="12" customHeight="1">
      <c r="B144" s="139"/>
      <c r="C144" s="125"/>
      <c r="D144" s="125"/>
    </row>
    <row r="145" spans="2:4" ht="12" customHeight="1">
      <c r="B145" s="139"/>
      <c r="C145" s="125"/>
      <c r="D145" s="125"/>
    </row>
    <row r="146" spans="2:4" ht="12" customHeight="1">
      <c r="B146" s="139"/>
      <c r="C146" s="125"/>
      <c r="D146" s="125"/>
    </row>
    <row r="147" spans="2:4" ht="12" customHeight="1">
      <c r="B147" s="139"/>
      <c r="C147" s="125"/>
      <c r="D147" s="125"/>
    </row>
    <row r="148" spans="2:4" ht="12" customHeight="1">
      <c r="B148" s="139"/>
      <c r="C148" s="125"/>
      <c r="D148" s="125"/>
    </row>
    <row r="149" spans="2:4" ht="12" customHeight="1">
      <c r="B149" s="139"/>
      <c r="C149" s="125"/>
      <c r="D149" s="125"/>
    </row>
    <row r="150" spans="2:4" ht="12" customHeight="1">
      <c r="B150" s="139"/>
      <c r="C150" s="125"/>
      <c r="D150" s="125"/>
    </row>
    <row r="151" spans="2:4" ht="12" customHeight="1">
      <c r="B151" s="139"/>
      <c r="C151" s="125"/>
      <c r="D151" s="125"/>
    </row>
    <row r="152" spans="2:4" ht="12" customHeight="1">
      <c r="B152" s="139"/>
      <c r="C152" s="125"/>
      <c r="D152" s="125"/>
    </row>
    <row r="153" spans="2:4" ht="12" customHeight="1">
      <c r="B153" s="139"/>
      <c r="C153" s="125"/>
      <c r="D153" s="125"/>
    </row>
    <row r="154" spans="2:4" ht="12" customHeight="1">
      <c r="B154" s="139"/>
      <c r="C154" s="125"/>
      <c r="D154" s="125"/>
    </row>
    <row r="155" spans="2:4" ht="12" customHeight="1">
      <c r="B155" s="139"/>
      <c r="C155" s="125"/>
      <c r="D155" s="125"/>
    </row>
    <row r="156" spans="2:4" ht="12" customHeight="1">
      <c r="B156" s="139"/>
      <c r="C156" s="125"/>
      <c r="D156" s="125"/>
    </row>
    <row r="157" spans="2:4" ht="12" customHeight="1">
      <c r="B157" s="139"/>
      <c r="C157" s="125"/>
      <c r="D157" s="125"/>
    </row>
    <row r="158" spans="2:4" ht="12" customHeight="1">
      <c r="B158" s="139"/>
      <c r="C158" s="125"/>
      <c r="D158" s="125"/>
    </row>
    <row r="159" spans="2:4" ht="12" customHeight="1">
      <c r="B159" s="139"/>
      <c r="C159" s="125"/>
      <c r="D159" s="125"/>
    </row>
    <row r="160" spans="2:4" ht="12" customHeight="1">
      <c r="B160" s="139"/>
      <c r="C160" s="125"/>
      <c r="D160" s="125"/>
    </row>
    <row r="161" spans="2:4" ht="12" customHeight="1">
      <c r="B161" s="139"/>
      <c r="C161" s="125"/>
      <c r="D161" s="125"/>
    </row>
    <row r="162" spans="2:4" ht="12" customHeight="1">
      <c r="B162" s="139"/>
      <c r="C162" s="125"/>
      <c r="D162" s="125"/>
    </row>
    <row r="163" spans="2:4" ht="12" customHeight="1">
      <c r="B163" s="139"/>
      <c r="C163" s="125"/>
      <c r="D163" s="125"/>
    </row>
    <row r="164" spans="2:4" ht="12" customHeight="1">
      <c r="B164" s="139"/>
      <c r="C164" s="125"/>
      <c r="D164" s="125"/>
    </row>
    <row r="165" spans="2:4" ht="12" customHeight="1">
      <c r="B165" s="139"/>
      <c r="C165" s="125"/>
      <c r="D165" s="125"/>
    </row>
    <row r="166" spans="2:4" ht="12" customHeight="1">
      <c r="B166" s="139"/>
      <c r="C166" s="125"/>
      <c r="D166" s="125"/>
    </row>
    <row r="167" spans="2:4" ht="12" customHeight="1">
      <c r="B167" s="139"/>
      <c r="C167" s="125"/>
      <c r="D167" s="125"/>
    </row>
    <row r="168" spans="2:4" ht="12" customHeight="1">
      <c r="B168" s="139"/>
      <c r="C168" s="125"/>
      <c r="D168" s="125"/>
    </row>
    <row r="169" spans="2:4" ht="12" customHeight="1">
      <c r="B169" s="139"/>
      <c r="C169" s="125"/>
      <c r="D169" s="125"/>
    </row>
    <row r="170" spans="2:4" ht="12" customHeight="1">
      <c r="B170" s="139"/>
      <c r="C170" s="125"/>
      <c r="D170" s="125"/>
    </row>
    <row r="171" spans="2:4" ht="12" customHeight="1">
      <c r="B171" s="139"/>
      <c r="C171" s="125"/>
      <c r="D171" s="125"/>
    </row>
    <row r="172" spans="2:4" ht="12" customHeight="1">
      <c r="B172" s="139"/>
      <c r="C172" s="125"/>
      <c r="D172" s="125"/>
    </row>
    <row r="173" spans="2:4" ht="12" customHeight="1">
      <c r="B173" s="139"/>
      <c r="C173" s="125"/>
      <c r="D173" s="125"/>
    </row>
    <row r="174" spans="2:4" ht="12" customHeight="1">
      <c r="B174" s="139"/>
      <c r="C174" s="125"/>
      <c r="D174" s="125"/>
    </row>
    <row r="175" spans="2:4" ht="12" customHeight="1">
      <c r="B175" s="139"/>
      <c r="C175" s="125"/>
      <c r="D175" s="125"/>
    </row>
    <row r="176" spans="2:4" ht="12" customHeight="1">
      <c r="B176" s="139"/>
      <c r="C176" s="125"/>
      <c r="D176" s="125"/>
    </row>
    <row r="177" spans="2:4" ht="12" customHeight="1">
      <c r="B177" s="139"/>
      <c r="C177" s="125"/>
      <c r="D177" s="125"/>
    </row>
    <row r="178" spans="2:4" ht="12" customHeight="1">
      <c r="B178" s="139"/>
      <c r="C178" s="125"/>
      <c r="D178" s="125"/>
    </row>
    <row r="179" spans="2:4" ht="12" customHeight="1">
      <c r="B179" s="139"/>
      <c r="C179" s="125"/>
      <c r="D179" s="125"/>
    </row>
    <row r="180" spans="2:4" ht="12" customHeight="1">
      <c r="B180" s="139"/>
      <c r="C180" s="125"/>
      <c r="D180" s="125"/>
    </row>
    <row r="181" spans="2:4" ht="12" customHeight="1">
      <c r="B181" s="139"/>
      <c r="C181" s="125"/>
      <c r="D181" s="125"/>
    </row>
    <row r="182" spans="2:4" ht="12" customHeight="1">
      <c r="B182" s="139"/>
      <c r="C182" s="125"/>
      <c r="D182" s="125"/>
    </row>
    <row r="183" spans="2:4" ht="12" customHeight="1">
      <c r="B183" s="139"/>
      <c r="C183" s="125"/>
      <c r="D183" s="125"/>
    </row>
    <row r="184" spans="2:4" ht="12" customHeight="1">
      <c r="B184" s="139"/>
      <c r="C184" s="125"/>
      <c r="D184" s="125"/>
    </row>
    <row r="185" spans="2:4" ht="12" customHeight="1">
      <c r="B185" s="139"/>
      <c r="C185" s="125"/>
      <c r="D185" s="125"/>
    </row>
    <row r="186" spans="2:4" ht="12" customHeight="1">
      <c r="B186" s="139"/>
      <c r="C186" s="125"/>
      <c r="D186" s="125"/>
    </row>
    <row r="187" spans="2:4" ht="12" customHeight="1">
      <c r="B187" s="139"/>
      <c r="C187" s="125"/>
      <c r="D187" s="125"/>
    </row>
    <row r="188" spans="2:4" ht="12" customHeight="1">
      <c r="B188" s="139"/>
      <c r="C188" s="125"/>
      <c r="D188" s="125"/>
    </row>
    <row r="189" spans="2:4" ht="12" customHeight="1">
      <c r="B189" s="139"/>
      <c r="C189" s="125"/>
      <c r="D189" s="125"/>
    </row>
    <row r="190" spans="2:4" ht="12" customHeight="1">
      <c r="B190" s="139"/>
      <c r="C190" s="125"/>
      <c r="D190" s="125"/>
    </row>
    <row r="191" spans="2:4" ht="12" customHeight="1">
      <c r="B191" s="139"/>
      <c r="C191" s="125"/>
      <c r="D191" s="125"/>
    </row>
    <row r="192" spans="2:4" ht="12" customHeight="1">
      <c r="B192" s="139"/>
      <c r="C192" s="125"/>
      <c r="D192" s="125"/>
    </row>
    <row r="193" spans="2:4" ht="12" customHeight="1">
      <c r="B193" s="139"/>
      <c r="C193" s="125"/>
      <c r="D193" s="125"/>
    </row>
    <row r="194" spans="2:4" ht="12" customHeight="1">
      <c r="B194" s="139"/>
      <c r="C194" s="125"/>
      <c r="D194" s="125"/>
    </row>
    <row r="195" spans="2:4" ht="12" customHeight="1">
      <c r="B195" s="139"/>
      <c r="C195" s="125"/>
      <c r="D195" s="125"/>
    </row>
    <row r="196" spans="2:4" ht="12" customHeight="1">
      <c r="B196" s="139"/>
      <c r="C196" s="125"/>
      <c r="D196" s="125"/>
    </row>
    <row r="197" spans="2:4" ht="12" customHeight="1">
      <c r="B197" s="139"/>
      <c r="C197" s="125"/>
      <c r="D197" s="125"/>
    </row>
    <row r="198" spans="2:4" ht="12" customHeight="1">
      <c r="B198" s="139"/>
      <c r="C198" s="125"/>
      <c r="D198" s="125"/>
    </row>
    <row r="199" spans="2:4" ht="12" customHeight="1">
      <c r="B199" s="139"/>
      <c r="C199" s="125"/>
      <c r="D199" s="125"/>
    </row>
    <row r="200" spans="2:4" ht="12" customHeight="1">
      <c r="B200" s="139"/>
      <c r="C200" s="125"/>
      <c r="D200" s="125"/>
    </row>
    <row r="201" spans="2:4" ht="12" customHeight="1">
      <c r="B201" s="139"/>
      <c r="C201" s="125"/>
      <c r="D201" s="125"/>
    </row>
    <row r="202" spans="2:4" ht="12" customHeight="1">
      <c r="B202" s="139"/>
      <c r="C202" s="125"/>
      <c r="D202" s="125"/>
    </row>
    <row r="203" spans="2:4" ht="12" customHeight="1">
      <c r="B203" s="139"/>
      <c r="C203" s="125"/>
      <c r="D203" s="125"/>
    </row>
    <row r="204" spans="2:4" ht="12" customHeight="1">
      <c r="B204" s="139"/>
      <c r="C204" s="125"/>
      <c r="D204" s="125"/>
    </row>
    <row r="205" spans="2:4" ht="12" customHeight="1">
      <c r="B205" s="139"/>
      <c r="C205" s="125"/>
      <c r="D205" s="125"/>
    </row>
    <row r="206" spans="2:4" ht="12" customHeight="1">
      <c r="B206" s="139"/>
      <c r="C206" s="125"/>
      <c r="D206" s="125"/>
    </row>
    <row r="207" spans="2:4" ht="12" customHeight="1">
      <c r="B207" s="139"/>
      <c r="C207" s="125"/>
      <c r="D207" s="125"/>
    </row>
    <row r="208" spans="2:4" ht="12" customHeight="1">
      <c r="B208" s="139"/>
      <c r="C208" s="125"/>
      <c r="D208" s="125"/>
    </row>
    <row r="209" spans="2:4" ht="12" customHeight="1">
      <c r="B209" s="139"/>
      <c r="C209" s="125"/>
      <c r="D209" s="125"/>
    </row>
    <row r="210" spans="2:4" ht="12" customHeight="1">
      <c r="B210" s="139"/>
      <c r="C210" s="125"/>
      <c r="D210" s="125"/>
    </row>
    <row r="211" spans="2:4" ht="12" customHeight="1">
      <c r="B211" s="139"/>
      <c r="C211" s="125"/>
      <c r="D211" s="125"/>
    </row>
    <row r="212" spans="2:4" ht="12" customHeight="1">
      <c r="B212" s="139"/>
      <c r="C212" s="125"/>
      <c r="D212" s="125"/>
    </row>
    <row r="213" spans="2:4" ht="12" customHeight="1">
      <c r="B213" s="139"/>
      <c r="C213" s="125"/>
      <c r="D213" s="125"/>
    </row>
    <row r="214" spans="2:4" ht="12" customHeight="1">
      <c r="B214" s="139"/>
      <c r="C214" s="125"/>
      <c r="D214" s="125"/>
    </row>
    <row r="215" spans="2:4" ht="12" customHeight="1">
      <c r="B215" s="139"/>
      <c r="C215" s="125"/>
      <c r="D215" s="125"/>
    </row>
    <row r="216" spans="2:4" ht="12" customHeight="1">
      <c r="B216" s="139"/>
      <c r="C216" s="125"/>
      <c r="D216" s="125"/>
    </row>
    <row r="217" spans="2:4" ht="12" customHeight="1">
      <c r="B217" s="139"/>
      <c r="C217" s="125"/>
      <c r="D217" s="125"/>
    </row>
    <row r="218" spans="2:4" ht="12" customHeight="1">
      <c r="B218" s="139"/>
      <c r="C218" s="125"/>
      <c r="D218" s="125"/>
    </row>
    <row r="219" spans="2:4" ht="12" customHeight="1">
      <c r="B219" s="139"/>
      <c r="C219" s="125"/>
      <c r="D219" s="125"/>
    </row>
    <row r="220" spans="2:4" ht="12" customHeight="1">
      <c r="B220" s="139"/>
      <c r="C220" s="125"/>
      <c r="D220" s="125"/>
    </row>
    <row r="221" spans="2:4" ht="12" customHeight="1">
      <c r="B221" s="139"/>
      <c r="C221" s="125"/>
      <c r="D221" s="125"/>
    </row>
    <row r="222" spans="2:4" ht="12" customHeight="1">
      <c r="B222" s="139"/>
      <c r="C222" s="125"/>
      <c r="D222" s="125"/>
    </row>
    <row r="223" spans="2:4" ht="12" customHeight="1">
      <c r="B223" s="139"/>
      <c r="C223" s="125"/>
      <c r="D223" s="125"/>
    </row>
    <row r="224" spans="2:4" ht="12" customHeight="1">
      <c r="B224" s="139"/>
      <c r="C224" s="125"/>
      <c r="D224" s="125"/>
    </row>
    <row r="225" spans="2:4" ht="12" customHeight="1">
      <c r="B225" s="139"/>
      <c r="C225" s="125"/>
      <c r="D225" s="125"/>
    </row>
    <row r="226" spans="2:4" ht="12" customHeight="1">
      <c r="B226" s="139"/>
      <c r="C226" s="125"/>
      <c r="D226" s="125"/>
    </row>
    <row r="227" spans="2:4" ht="12" customHeight="1">
      <c r="B227" s="139"/>
      <c r="C227" s="125"/>
      <c r="D227" s="125"/>
    </row>
    <row r="228" spans="2:4" ht="12" customHeight="1">
      <c r="B228" s="139"/>
      <c r="C228" s="125"/>
      <c r="D228" s="125"/>
    </row>
    <row r="229" spans="2:4" ht="12" customHeight="1">
      <c r="B229" s="139"/>
      <c r="C229" s="125"/>
      <c r="D229" s="125"/>
    </row>
    <row r="230" spans="2:4" ht="12" customHeight="1">
      <c r="B230" s="139"/>
      <c r="C230" s="125"/>
      <c r="D230" s="125"/>
    </row>
    <row r="231" spans="2:4" ht="12" customHeight="1">
      <c r="B231" s="139"/>
      <c r="C231" s="125"/>
      <c r="D231" s="125"/>
    </row>
    <row r="232" spans="2:4" ht="12" customHeight="1">
      <c r="B232" s="139"/>
      <c r="C232" s="125"/>
      <c r="D232" s="125"/>
    </row>
    <row r="233" spans="2:4" ht="12" customHeight="1">
      <c r="B233" s="139"/>
      <c r="C233" s="125"/>
      <c r="D233" s="125"/>
    </row>
    <row r="234" spans="2:4" ht="12" customHeight="1">
      <c r="B234" s="139"/>
      <c r="C234" s="125"/>
      <c r="D234" s="125"/>
    </row>
    <row r="235" spans="2:4" ht="12" customHeight="1">
      <c r="B235" s="139"/>
      <c r="C235" s="125"/>
      <c r="D235" s="125"/>
    </row>
    <row r="236" spans="2:4" ht="12" customHeight="1">
      <c r="B236" s="139"/>
      <c r="C236" s="125"/>
      <c r="D236" s="125"/>
    </row>
    <row r="237" spans="2:4" ht="12" customHeight="1">
      <c r="B237" s="139"/>
      <c r="C237" s="125"/>
      <c r="D237" s="125"/>
    </row>
    <row r="238" spans="2:4" ht="12" customHeight="1">
      <c r="B238" s="139"/>
      <c r="C238" s="125"/>
      <c r="D238" s="125"/>
    </row>
    <row r="239" spans="2:4" ht="12" customHeight="1">
      <c r="B239" s="139"/>
      <c r="C239" s="125"/>
      <c r="D239" s="125"/>
    </row>
    <row r="240" spans="2:4" ht="12" customHeight="1">
      <c r="B240" s="139"/>
      <c r="C240" s="125"/>
      <c r="D240" s="125"/>
    </row>
    <row r="241" spans="2:4" ht="12" customHeight="1">
      <c r="B241" s="139"/>
      <c r="C241" s="125"/>
      <c r="D241" s="125"/>
    </row>
    <row r="242" spans="2:4" ht="12" customHeight="1">
      <c r="B242" s="139"/>
      <c r="C242" s="125"/>
      <c r="D242" s="125"/>
    </row>
    <row r="243" spans="2:4" ht="12" customHeight="1">
      <c r="B243" s="139"/>
      <c r="C243" s="125"/>
      <c r="D243" s="125"/>
    </row>
    <row r="244" spans="2:4" ht="12" customHeight="1">
      <c r="B244" s="139"/>
      <c r="C244" s="125"/>
      <c r="D244" s="125"/>
    </row>
    <row r="245" spans="2:4" ht="12" customHeight="1">
      <c r="B245" s="139"/>
      <c r="C245" s="125"/>
      <c r="D245" s="125"/>
    </row>
    <row r="246" spans="2:4" ht="12" customHeight="1">
      <c r="B246" s="139"/>
      <c r="C246" s="125"/>
      <c r="D246" s="125"/>
    </row>
    <row r="247" spans="2:4" ht="12" customHeight="1">
      <c r="B247" s="139"/>
      <c r="C247" s="125"/>
      <c r="D247" s="125"/>
    </row>
    <row r="248" spans="2:4" ht="12" customHeight="1">
      <c r="B248" s="139"/>
      <c r="C248" s="125"/>
      <c r="D248" s="125"/>
    </row>
    <row r="249" spans="2:4" ht="12" customHeight="1">
      <c r="B249" s="139"/>
      <c r="C249" s="125"/>
      <c r="D249" s="125"/>
    </row>
    <row r="250" spans="2:4" ht="12" customHeight="1">
      <c r="B250" s="139"/>
      <c r="C250" s="125"/>
      <c r="D250" s="125"/>
    </row>
    <row r="251" spans="2:4" ht="12" customHeight="1">
      <c r="B251" s="139"/>
      <c r="C251" s="125"/>
      <c r="D251" s="125"/>
    </row>
    <row r="252" spans="2:4" ht="12" customHeight="1">
      <c r="B252" s="139"/>
      <c r="C252" s="125"/>
      <c r="D252" s="125"/>
    </row>
    <row r="253" spans="2:4" ht="12" customHeight="1">
      <c r="B253" s="139"/>
      <c r="C253" s="125"/>
      <c r="D253" s="125"/>
    </row>
    <row r="254" spans="2:4" ht="12" customHeight="1">
      <c r="B254" s="139"/>
      <c r="C254" s="125"/>
      <c r="D254" s="125"/>
    </row>
    <row r="255" spans="2:4" ht="12" customHeight="1">
      <c r="B255" s="139"/>
      <c r="C255" s="125"/>
      <c r="D255" s="125"/>
    </row>
    <row r="256" spans="2:4" ht="12" customHeight="1">
      <c r="B256" s="139"/>
      <c r="C256" s="125"/>
      <c r="D256" s="125"/>
    </row>
    <row r="257" spans="2:4" ht="12" customHeight="1">
      <c r="B257" s="139"/>
      <c r="C257" s="125"/>
      <c r="D257" s="125"/>
    </row>
    <row r="258" spans="2:4" ht="12" customHeight="1">
      <c r="B258" s="139"/>
      <c r="C258" s="125"/>
      <c r="D258" s="125"/>
    </row>
    <row r="259" spans="2:4" ht="12" customHeight="1">
      <c r="B259" s="139"/>
      <c r="C259" s="125"/>
      <c r="D259" s="125"/>
    </row>
    <row r="260" spans="2:4" ht="12" customHeight="1">
      <c r="B260" s="139"/>
      <c r="C260" s="125"/>
      <c r="D260" s="125"/>
    </row>
    <row r="261" spans="2:4" ht="12" customHeight="1">
      <c r="B261" s="139"/>
      <c r="C261" s="125"/>
      <c r="D261" s="125"/>
    </row>
    <row r="262" spans="2:4" ht="12" customHeight="1">
      <c r="B262" s="139"/>
      <c r="C262" s="125"/>
      <c r="D262" s="125"/>
    </row>
    <row r="263" spans="2:4" ht="12" customHeight="1">
      <c r="B263" s="139"/>
      <c r="C263" s="125"/>
      <c r="D263" s="125"/>
    </row>
    <row r="264" spans="2:4" ht="12" customHeight="1">
      <c r="B264" s="139"/>
      <c r="C264" s="125"/>
      <c r="D264" s="125"/>
    </row>
    <row r="265" spans="2:4" ht="12" customHeight="1">
      <c r="B265" s="139"/>
      <c r="C265" s="125"/>
      <c r="D265" s="125"/>
    </row>
    <row r="266" spans="2:4" ht="12" customHeight="1">
      <c r="B266" s="139"/>
      <c r="C266" s="125"/>
      <c r="D266" s="125"/>
    </row>
    <row r="267" spans="2:4" ht="12" customHeight="1">
      <c r="B267" s="139"/>
      <c r="C267" s="125"/>
      <c r="D267" s="125"/>
    </row>
    <row r="268" spans="2:4" ht="12" customHeight="1">
      <c r="B268" s="139"/>
      <c r="C268" s="125"/>
      <c r="D268" s="125"/>
    </row>
    <row r="269" spans="2:4" ht="12" customHeight="1">
      <c r="B269" s="139"/>
      <c r="C269" s="125"/>
      <c r="D269" s="125"/>
    </row>
    <row r="270" spans="2:4" ht="12" customHeight="1">
      <c r="B270" s="139"/>
      <c r="C270" s="125"/>
      <c r="D270" s="125"/>
    </row>
    <row r="271" spans="2:4" ht="12" customHeight="1">
      <c r="B271" s="139"/>
      <c r="C271" s="125"/>
      <c r="D271" s="125"/>
    </row>
    <row r="272" spans="2:4" ht="12" customHeight="1">
      <c r="B272" s="139"/>
      <c r="C272" s="125"/>
      <c r="D272" s="125"/>
    </row>
    <row r="273" spans="2:4" ht="12" customHeight="1">
      <c r="B273" s="139"/>
      <c r="C273" s="125"/>
      <c r="D273" s="125"/>
    </row>
    <row r="274" spans="2:4" ht="12" customHeight="1">
      <c r="B274" s="139"/>
      <c r="C274" s="125"/>
      <c r="D274" s="125"/>
    </row>
    <row r="275" spans="2:4" ht="12" customHeight="1">
      <c r="B275" s="139"/>
      <c r="C275" s="125"/>
      <c r="D275" s="125"/>
    </row>
    <row r="276" spans="2:4" ht="12" customHeight="1">
      <c r="B276" s="139"/>
      <c r="C276" s="125"/>
      <c r="D276" s="125"/>
    </row>
    <row r="277" spans="2:4" ht="12" customHeight="1">
      <c r="B277" s="139"/>
      <c r="C277" s="125"/>
      <c r="D277" s="125"/>
    </row>
    <row r="278" spans="2:4" ht="12" customHeight="1">
      <c r="B278" s="139"/>
      <c r="C278" s="125"/>
      <c r="D278" s="125"/>
    </row>
    <row r="279" spans="2:4" ht="12" customHeight="1">
      <c r="B279" s="139"/>
      <c r="C279" s="125"/>
      <c r="D279" s="125"/>
    </row>
    <row r="280" spans="2:4" ht="12" customHeight="1">
      <c r="B280" s="139"/>
      <c r="C280" s="125"/>
      <c r="D280" s="125"/>
    </row>
    <row r="281" spans="2:4" ht="12" customHeight="1">
      <c r="B281" s="139"/>
      <c r="C281" s="125"/>
      <c r="D281" s="125"/>
    </row>
    <row r="282" spans="2:4" ht="12" customHeight="1">
      <c r="B282" s="139"/>
      <c r="C282" s="125"/>
      <c r="D282" s="125"/>
    </row>
    <row r="283" spans="2:4" ht="12" customHeight="1">
      <c r="B283" s="139"/>
      <c r="C283" s="125"/>
      <c r="D283" s="125"/>
    </row>
    <row r="284" spans="2:4" ht="12" customHeight="1">
      <c r="B284" s="139"/>
      <c r="C284" s="125"/>
      <c r="D284" s="125"/>
    </row>
    <row r="285" spans="2:4" ht="12" customHeight="1">
      <c r="B285" s="139"/>
      <c r="C285" s="125"/>
      <c r="D285" s="125"/>
    </row>
    <row r="286" spans="2:4" ht="12" customHeight="1">
      <c r="B286" s="139"/>
      <c r="C286" s="125"/>
      <c r="D286" s="125"/>
    </row>
    <row r="287" spans="2:4" ht="12" customHeight="1">
      <c r="B287" s="139"/>
      <c r="C287" s="125"/>
      <c r="D287" s="125"/>
    </row>
    <row r="288" spans="2:4" ht="12" customHeight="1">
      <c r="B288" s="139"/>
      <c r="C288" s="125"/>
      <c r="D288" s="125"/>
    </row>
    <row r="289" spans="2:4" ht="12" customHeight="1">
      <c r="B289" s="139"/>
      <c r="C289" s="125"/>
      <c r="D289" s="125"/>
    </row>
    <row r="290" spans="2:4" ht="12" customHeight="1">
      <c r="B290" s="139"/>
      <c r="C290" s="125"/>
      <c r="D290" s="125"/>
    </row>
    <row r="291" spans="2:4" ht="12" customHeight="1">
      <c r="B291" s="139"/>
      <c r="C291" s="125"/>
      <c r="D291" s="125"/>
    </row>
    <row r="292" spans="2:4" ht="12" customHeight="1">
      <c r="B292" s="139"/>
      <c r="C292" s="125"/>
      <c r="D292" s="125"/>
    </row>
    <row r="293" spans="2:4" ht="12" customHeight="1">
      <c r="B293" s="139"/>
      <c r="C293" s="125"/>
      <c r="D293" s="125"/>
    </row>
    <row r="294" spans="2:4" ht="12" customHeight="1">
      <c r="B294" s="139"/>
      <c r="C294" s="125"/>
      <c r="D294" s="125"/>
    </row>
    <row r="295" spans="2:4" ht="12" customHeight="1">
      <c r="B295" s="139"/>
      <c r="C295" s="125"/>
      <c r="D295" s="125"/>
    </row>
    <row r="296" spans="2:4" ht="12" customHeight="1">
      <c r="B296" s="139"/>
      <c r="C296" s="125"/>
      <c r="D296" s="125"/>
    </row>
    <row r="297" spans="2:4" ht="12" customHeight="1">
      <c r="B297" s="139"/>
      <c r="C297" s="125"/>
      <c r="D297" s="125"/>
    </row>
    <row r="298" spans="2:4" ht="12" customHeight="1">
      <c r="B298" s="139"/>
      <c r="C298" s="125"/>
      <c r="D298" s="125"/>
    </row>
    <row r="299" spans="2:4" ht="12" customHeight="1">
      <c r="B299" s="139"/>
      <c r="C299" s="125"/>
      <c r="D299" s="125"/>
    </row>
    <row r="300" spans="2:4" ht="12" customHeight="1">
      <c r="B300" s="139"/>
      <c r="C300" s="125"/>
      <c r="D300" s="125"/>
    </row>
    <row r="301" spans="2:4" ht="12" customHeight="1">
      <c r="B301" s="139"/>
      <c r="C301" s="125"/>
      <c r="D301" s="125"/>
    </row>
    <row r="302" spans="2:4" ht="12" customHeight="1">
      <c r="B302" s="139"/>
      <c r="C302" s="125"/>
      <c r="D302" s="125"/>
    </row>
    <row r="303" spans="2:4" ht="12" customHeight="1">
      <c r="B303" s="139"/>
      <c r="C303" s="125"/>
      <c r="D303" s="125"/>
    </row>
    <row r="304" spans="2:4" ht="12" customHeight="1">
      <c r="B304" s="139"/>
      <c r="C304" s="125"/>
      <c r="D304" s="125"/>
    </row>
    <row r="305" spans="2:4" ht="12" customHeight="1">
      <c r="B305" s="139"/>
      <c r="C305" s="125"/>
      <c r="D305" s="125"/>
    </row>
    <row r="306" spans="2:4" ht="12" customHeight="1">
      <c r="B306" s="139"/>
      <c r="C306" s="125"/>
      <c r="D306" s="125"/>
    </row>
    <row r="307" spans="2:4" ht="12" customHeight="1">
      <c r="B307" s="139"/>
      <c r="C307" s="125"/>
      <c r="D307" s="125"/>
    </row>
    <row r="308" spans="2:4" ht="12" customHeight="1">
      <c r="B308" s="139"/>
      <c r="C308" s="125"/>
      <c r="D308" s="125"/>
    </row>
    <row r="309" spans="2:4" ht="12" customHeight="1">
      <c r="B309" s="139"/>
      <c r="C309" s="125"/>
      <c r="D309" s="125"/>
    </row>
    <row r="310" spans="2:4" ht="12" customHeight="1">
      <c r="B310" s="139"/>
      <c r="C310" s="125"/>
      <c r="D310" s="125"/>
    </row>
    <row r="311" spans="2:4" ht="12" customHeight="1">
      <c r="B311" s="139"/>
      <c r="C311" s="125"/>
      <c r="D311" s="125"/>
    </row>
    <row r="312" spans="2:4" ht="12" customHeight="1">
      <c r="B312" s="139"/>
      <c r="C312" s="125"/>
      <c r="D312" s="125"/>
    </row>
    <row r="313" spans="2:4" ht="12" customHeight="1">
      <c r="B313" s="139"/>
      <c r="C313" s="125"/>
      <c r="D313" s="125"/>
    </row>
    <row r="314" spans="2:4" ht="12" customHeight="1">
      <c r="B314" s="139"/>
      <c r="C314" s="125"/>
      <c r="D314" s="125"/>
    </row>
    <row r="315" spans="2:4" ht="12" customHeight="1">
      <c r="B315" s="139"/>
      <c r="C315" s="125"/>
      <c r="D315" s="125"/>
    </row>
    <row r="316" spans="2:4" ht="12" customHeight="1">
      <c r="B316" s="139"/>
      <c r="C316" s="125"/>
      <c r="D316" s="125"/>
    </row>
    <row r="317" spans="2:4" ht="12" customHeight="1">
      <c r="B317" s="139"/>
      <c r="C317" s="125"/>
      <c r="D317" s="125"/>
    </row>
    <row r="318" spans="2:4" ht="12" customHeight="1">
      <c r="B318" s="139"/>
      <c r="C318" s="125"/>
      <c r="D318" s="125"/>
    </row>
    <row r="319" spans="2:4" ht="12" customHeight="1">
      <c r="B319" s="139"/>
      <c r="C319" s="125"/>
      <c r="D319" s="125"/>
    </row>
    <row r="320" spans="2:4" ht="12" customHeight="1">
      <c r="B320" s="139"/>
      <c r="C320" s="125"/>
      <c r="D320" s="125"/>
    </row>
    <row r="321" spans="2:4" ht="12" customHeight="1">
      <c r="B321" s="139"/>
      <c r="C321" s="125"/>
      <c r="D321" s="125"/>
    </row>
    <row r="322" spans="2:4" ht="12" customHeight="1">
      <c r="B322" s="139"/>
      <c r="C322" s="125"/>
      <c r="D322" s="125"/>
    </row>
    <row r="323" spans="2:4" ht="12" customHeight="1">
      <c r="B323" s="139"/>
      <c r="C323" s="125"/>
      <c r="D323" s="125"/>
    </row>
    <row r="324" spans="2:4" ht="12" customHeight="1">
      <c r="B324" s="139"/>
      <c r="C324" s="125"/>
      <c r="D324" s="125"/>
    </row>
    <row r="325" spans="2:4" ht="12" customHeight="1">
      <c r="B325" s="139"/>
      <c r="C325" s="125"/>
      <c r="D325" s="125"/>
    </row>
    <row r="326" spans="2:4" ht="12" customHeight="1">
      <c r="B326" s="139"/>
      <c r="C326" s="125"/>
      <c r="D326" s="125"/>
    </row>
    <row r="327" spans="2:4" ht="12" customHeight="1">
      <c r="B327" s="139"/>
      <c r="C327" s="125"/>
      <c r="D327" s="125"/>
    </row>
    <row r="328" spans="2:4" ht="12" customHeight="1">
      <c r="B328" s="139"/>
      <c r="C328" s="125"/>
      <c r="D328" s="125"/>
    </row>
    <row r="329" spans="2:4" ht="12" customHeight="1">
      <c r="B329" s="139"/>
      <c r="C329" s="125"/>
      <c r="D329" s="125"/>
    </row>
    <row r="330" spans="2:4" ht="12" customHeight="1">
      <c r="B330" s="139"/>
      <c r="C330" s="125"/>
      <c r="D330" s="125"/>
    </row>
    <row r="331" spans="2:4" ht="12" customHeight="1">
      <c r="B331" s="139"/>
      <c r="C331" s="125"/>
      <c r="D331" s="125"/>
    </row>
    <row r="332" spans="2:4" ht="12" customHeight="1">
      <c r="B332" s="139"/>
      <c r="C332" s="125"/>
      <c r="D332" s="125"/>
    </row>
    <row r="333" spans="2:4" ht="12" customHeight="1">
      <c r="B333" s="139"/>
      <c r="C333" s="125"/>
      <c r="D333" s="125"/>
    </row>
    <row r="334" spans="2:4" ht="12" customHeight="1">
      <c r="B334" s="139"/>
      <c r="C334" s="125"/>
      <c r="D334" s="125"/>
    </row>
    <row r="335" spans="2:4" ht="12" customHeight="1">
      <c r="B335" s="139"/>
      <c r="C335" s="125"/>
      <c r="D335" s="125"/>
    </row>
    <row r="336" spans="2:4" ht="12" customHeight="1">
      <c r="B336" s="139"/>
      <c r="C336" s="125"/>
      <c r="D336" s="125"/>
    </row>
    <row r="337" spans="2:4" ht="12" customHeight="1">
      <c r="B337" s="139"/>
      <c r="C337" s="125"/>
      <c r="D337" s="125"/>
    </row>
    <row r="338" spans="2:4" ht="12" customHeight="1">
      <c r="B338" s="139"/>
      <c r="C338" s="125"/>
      <c r="D338" s="125"/>
    </row>
  </sheetData>
  <sortState ref="A66:BH76">
    <sortCondition descending="1" ref="C66:C76"/>
  </sortState>
  <phoneticPr fontId="0" type="noConversion"/>
  <conditionalFormatting sqref="C50:C60">
    <cfRule type="top10" dxfId="21" priority="24" rank="1"/>
  </conditionalFormatting>
  <conditionalFormatting sqref="D50:D60">
    <cfRule type="top10" dxfId="20" priority="22" rank="1"/>
  </conditionalFormatting>
  <conditionalFormatting sqref="E50:E60">
    <cfRule type="top10" dxfId="19" priority="19" rank="1"/>
  </conditionalFormatting>
  <conditionalFormatting sqref="H50:H60">
    <cfRule type="top10" dxfId="18" priority="17" rank="1"/>
  </conditionalFormatting>
  <conditionalFormatting sqref="I50:I60">
    <cfRule type="top10" dxfId="17" priority="16" rank="1"/>
  </conditionalFormatting>
  <conditionalFormatting sqref="J50:J60">
    <cfRule type="top10" dxfId="16" priority="15" rank="1"/>
  </conditionalFormatting>
  <conditionalFormatting sqref="K50:K60">
    <cfRule type="top10" dxfId="15" priority="14" rank="1"/>
  </conditionalFormatting>
  <conditionalFormatting sqref="L50:L60">
    <cfRule type="top10" dxfId="14" priority="13" rank="1"/>
  </conditionalFormatting>
  <conditionalFormatting sqref="M50:M60">
    <cfRule type="top10" dxfId="13" priority="12" rank="1"/>
  </conditionalFormatting>
  <conditionalFormatting sqref="N50:N60">
    <cfRule type="top10" dxfId="12" priority="11" rank="1"/>
  </conditionalFormatting>
  <conditionalFormatting sqref="G50:G60">
    <cfRule type="top10" dxfId="11" priority="10" rank="1"/>
  </conditionalFormatting>
  <conditionalFormatting sqref="O50:O60">
    <cfRule type="top10" dxfId="10" priority="9" rank="1"/>
  </conditionalFormatting>
  <conditionalFormatting sqref="P50:P60">
    <cfRule type="top10" dxfId="9" priority="8" rank="1"/>
  </conditionalFormatting>
  <conditionalFormatting sqref="Q50:Q60">
    <cfRule type="top10" dxfId="8" priority="7" rank="1"/>
  </conditionalFormatting>
  <conditionalFormatting sqref="R50:R60">
    <cfRule type="top10" dxfId="7" priority="6" rank="1"/>
  </conditionalFormatting>
  <conditionalFormatting sqref="S50:S60">
    <cfRule type="top10" dxfId="6" priority="5" rank="1"/>
  </conditionalFormatting>
  <conditionalFormatting sqref="T50:T60">
    <cfRule type="top10" dxfId="5" priority="4" rank="1"/>
  </conditionalFormatting>
  <conditionalFormatting sqref="U50:U60">
    <cfRule type="top10" dxfId="4" priority="3" rank="1"/>
  </conditionalFormatting>
  <conditionalFormatting sqref="V50:V60">
    <cfRule type="top10" dxfId="3" priority="2" rank="1"/>
  </conditionalFormatting>
  <conditionalFormatting sqref="W50:W60">
    <cfRule type="top10" dxfId="1" priority="1" rank="1"/>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sheetPr enableFormatConditionsCalculation="0">
    <tabColor indexed="12"/>
  </sheetPr>
  <dimension ref="B1:AA26"/>
  <sheetViews>
    <sheetView showZeros="0" workbookViewId="0">
      <selection activeCell="T22" sqref="T22"/>
    </sheetView>
  </sheetViews>
  <sheetFormatPr defaultRowHeight="12.75"/>
  <cols>
    <col min="1" max="1" width="2.7109375" style="125" customWidth="1"/>
    <col min="2" max="2" width="8.85546875" style="125" customWidth="1"/>
    <col min="3" max="3" width="13" style="130"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C1" s="129" t="s">
        <v>125</v>
      </c>
    </row>
    <row r="2" spans="2:27">
      <c r="C2" s="129"/>
      <c r="G2" s="146"/>
    </row>
    <row r="3" spans="2:27" s="144" customFormat="1" ht="13.5" thickBot="1">
      <c r="C3" s="179" t="s">
        <v>73</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180" t="s">
        <v>116</v>
      </c>
      <c r="C4" s="181" t="s">
        <v>67</v>
      </c>
      <c r="D4" s="126">
        <f t="shared" ref="D4:M13" si="0">INDEX(scorematrix,MATCH($C4,renners,0),MATCH(D$3,etappes,0))</f>
        <v>0</v>
      </c>
      <c r="E4" s="126">
        <f t="shared" si="0"/>
        <v>0</v>
      </c>
      <c r="F4" s="126">
        <f t="shared" si="0"/>
        <v>0</v>
      </c>
      <c r="G4" s="126">
        <f t="shared" si="0"/>
        <v>0</v>
      </c>
      <c r="H4" s="126">
        <f t="shared" si="0"/>
        <v>39</v>
      </c>
      <c r="I4" s="126">
        <f t="shared" si="0"/>
        <v>27</v>
      </c>
      <c r="J4" s="126">
        <f t="shared" si="0"/>
        <v>0</v>
      </c>
      <c r="K4" s="126">
        <f t="shared" si="0"/>
        <v>3</v>
      </c>
      <c r="L4" s="126">
        <f t="shared" si="0"/>
        <v>3</v>
      </c>
      <c r="M4" s="126">
        <f t="shared" si="0"/>
        <v>29</v>
      </c>
      <c r="N4" s="126">
        <f t="shared" ref="N4:Y13" si="1">INDEX(scorematrix,MATCH($C4,renners,0),MATCH(N$3,etappes,0))</f>
        <v>3</v>
      </c>
      <c r="O4" s="126">
        <f t="shared" si="1"/>
        <v>34</v>
      </c>
      <c r="P4" s="126">
        <f t="shared" si="1"/>
        <v>39</v>
      </c>
      <c r="Q4" s="126">
        <f t="shared" si="1"/>
        <v>4</v>
      </c>
      <c r="R4" s="126">
        <f t="shared" si="1"/>
        <v>4</v>
      </c>
      <c r="S4" s="126">
        <f t="shared" si="1"/>
        <v>4</v>
      </c>
      <c r="T4" s="126">
        <f t="shared" si="1"/>
        <v>4</v>
      </c>
      <c r="U4" s="126">
        <f t="shared" si="1"/>
        <v>4</v>
      </c>
      <c r="V4" s="126">
        <f t="shared" si="1"/>
        <v>4</v>
      </c>
      <c r="W4" s="126">
        <f t="shared" si="1"/>
        <v>4</v>
      </c>
      <c r="X4" s="126">
        <f t="shared" si="1"/>
        <v>30</v>
      </c>
      <c r="Y4" s="126">
        <f t="shared" si="1"/>
        <v>7</v>
      </c>
      <c r="Z4" s="204">
        <f t="shared" ref="Z4:Z20" si="2">SUM(D4:Y4)</f>
        <v>242</v>
      </c>
      <c r="AA4" s="125" t="str">
        <f t="shared" ref="AA4:AA20" si="3">C4</f>
        <v>Cavendish</v>
      </c>
    </row>
    <row r="5" spans="2:27">
      <c r="B5" s="180" t="s">
        <v>107</v>
      </c>
      <c r="C5" s="181" t="s">
        <v>108</v>
      </c>
      <c r="D5" s="126">
        <f t="shared" si="0"/>
        <v>50</v>
      </c>
      <c r="E5" s="126">
        <f t="shared" si="0"/>
        <v>5</v>
      </c>
      <c r="F5" s="126">
        <f t="shared" si="0"/>
        <v>4</v>
      </c>
      <c r="G5" s="126">
        <f t="shared" si="0"/>
        <v>0</v>
      </c>
      <c r="H5" s="126">
        <f t="shared" si="0"/>
        <v>0</v>
      </c>
      <c r="I5" s="126">
        <f t="shared" si="0"/>
        <v>27</v>
      </c>
      <c r="J5" s="126">
        <f t="shared" si="0"/>
        <v>0</v>
      </c>
      <c r="K5" s="126">
        <f t="shared" si="0"/>
        <v>0</v>
      </c>
      <c r="L5" s="126">
        <f t="shared" si="0"/>
        <v>0</v>
      </c>
      <c r="M5" s="126">
        <f t="shared" si="0"/>
        <v>37</v>
      </c>
      <c r="N5" s="126">
        <f t="shared" si="1"/>
        <v>2</v>
      </c>
      <c r="O5" s="126">
        <f t="shared" si="1"/>
        <v>37</v>
      </c>
      <c r="P5" s="126">
        <f t="shared" si="1"/>
        <v>2</v>
      </c>
      <c r="Q5" s="126">
        <f t="shared" si="1"/>
        <v>2</v>
      </c>
      <c r="R5" s="126">
        <f t="shared" si="1"/>
        <v>2</v>
      </c>
      <c r="S5" s="126">
        <f t="shared" si="1"/>
        <v>2</v>
      </c>
      <c r="T5" s="126">
        <f t="shared" si="1"/>
        <v>2</v>
      </c>
      <c r="U5" s="126">
        <f t="shared" si="1"/>
        <v>2</v>
      </c>
      <c r="V5" s="126">
        <f t="shared" si="1"/>
        <v>2</v>
      </c>
      <c r="W5" s="126">
        <f t="shared" si="1"/>
        <v>2</v>
      </c>
      <c r="X5" s="126">
        <f t="shared" si="1"/>
        <v>37</v>
      </c>
      <c r="Y5" s="126">
        <f t="shared" si="1"/>
        <v>3</v>
      </c>
      <c r="Z5" s="204">
        <f t="shared" si="2"/>
        <v>218</v>
      </c>
      <c r="AA5" s="125" t="str">
        <f t="shared" si="3"/>
        <v>Kittel</v>
      </c>
    </row>
    <row r="6" spans="2:27">
      <c r="B6" s="180" t="s">
        <v>170</v>
      </c>
      <c r="C6" s="181" t="s">
        <v>166</v>
      </c>
      <c r="D6" s="126">
        <f t="shared" si="0"/>
        <v>0</v>
      </c>
      <c r="E6" s="126">
        <f t="shared" si="0"/>
        <v>0</v>
      </c>
      <c r="F6" s="126">
        <f t="shared" si="0"/>
        <v>0</v>
      </c>
      <c r="G6" s="126">
        <f t="shared" si="0"/>
        <v>0</v>
      </c>
      <c r="H6" s="126">
        <f t="shared" si="0"/>
        <v>14</v>
      </c>
      <c r="I6" s="126">
        <f t="shared" si="0"/>
        <v>0</v>
      </c>
      <c r="J6" s="126">
        <f t="shared" si="0"/>
        <v>30</v>
      </c>
      <c r="K6" s="126">
        <f t="shared" si="0"/>
        <v>0</v>
      </c>
      <c r="L6" s="126">
        <f t="shared" si="0"/>
        <v>0</v>
      </c>
      <c r="M6" s="126">
        <f t="shared" si="0"/>
        <v>0</v>
      </c>
      <c r="N6" s="126">
        <f t="shared" si="1"/>
        <v>0</v>
      </c>
      <c r="O6" s="126">
        <f t="shared" si="1"/>
        <v>0</v>
      </c>
      <c r="P6" s="126">
        <f t="shared" si="1"/>
        <v>6</v>
      </c>
      <c r="Q6" s="126">
        <f t="shared" si="1"/>
        <v>0</v>
      </c>
      <c r="R6" s="126">
        <f t="shared" si="1"/>
        <v>0</v>
      </c>
      <c r="S6" s="126">
        <f t="shared" si="1"/>
        <v>0</v>
      </c>
      <c r="T6" s="126">
        <f t="shared" si="1"/>
        <v>0</v>
      </c>
      <c r="U6" s="126">
        <f t="shared" si="1"/>
        <v>0</v>
      </c>
      <c r="V6" s="126">
        <f t="shared" si="1"/>
        <v>0</v>
      </c>
      <c r="W6" s="126">
        <f t="shared" si="1"/>
        <v>0</v>
      </c>
      <c r="X6" s="126">
        <f t="shared" si="1"/>
        <v>0</v>
      </c>
      <c r="Y6" s="126">
        <f t="shared" si="1"/>
        <v>0</v>
      </c>
      <c r="Z6" s="204">
        <f t="shared" si="2"/>
        <v>50</v>
      </c>
      <c r="AA6" s="125" t="str">
        <f t="shared" si="3"/>
        <v>Degenkolb</v>
      </c>
    </row>
    <row r="7" spans="2:27">
      <c r="B7" s="180" t="s">
        <v>105</v>
      </c>
      <c r="C7" s="181" t="s">
        <v>106</v>
      </c>
      <c r="D7" s="126">
        <f t="shared" si="0"/>
        <v>0</v>
      </c>
      <c r="E7" s="126">
        <f t="shared" si="0"/>
        <v>34</v>
      </c>
      <c r="F7" s="126">
        <f t="shared" si="0"/>
        <v>35</v>
      </c>
      <c r="G7" s="126">
        <f t="shared" si="0"/>
        <v>0</v>
      </c>
      <c r="H7" s="126">
        <f t="shared" si="0"/>
        <v>31</v>
      </c>
      <c r="I7" s="126">
        <f t="shared" si="0"/>
        <v>35</v>
      </c>
      <c r="J7" s="126">
        <f t="shared" si="0"/>
        <v>40</v>
      </c>
      <c r="K7" s="126">
        <f t="shared" si="0"/>
        <v>5</v>
      </c>
      <c r="L7" s="126">
        <f t="shared" si="0"/>
        <v>5</v>
      </c>
      <c r="M7" s="126">
        <f t="shared" si="0"/>
        <v>29</v>
      </c>
      <c r="N7" s="126">
        <f t="shared" si="1"/>
        <v>14</v>
      </c>
      <c r="O7" s="126">
        <f t="shared" si="1"/>
        <v>31</v>
      </c>
      <c r="P7" s="126">
        <f t="shared" si="1"/>
        <v>35</v>
      </c>
      <c r="Q7" s="126">
        <f t="shared" si="1"/>
        <v>5</v>
      </c>
      <c r="R7" s="126">
        <f t="shared" si="1"/>
        <v>5</v>
      </c>
      <c r="S7" s="126">
        <f t="shared" si="1"/>
        <v>5</v>
      </c>
      <c r="T7" s="126">
        <f t="shared" si="1"/>
        <v>5</v>
      </c>
      <c r="U7" s="126">
        <f t="shared" si="1"/>
        <v>5</v>
      </c>
      <c r="V7" s="126">
        <f t="shared" si="1"/>
        <v>5</v>
      </c>
      <c r="W7" s="126">
        <f t="shared" si="1"/>
        <v>5</v>
      </c>
      <c r="X7" s="126">
        <f t="shared" si="1"/>
        <v>29</v>
      </c>
      <c r="Y7" s="126">
        <f t="shared" si="1"/>
        <v>10</v>
      </c>
      <c r="Z7" s="204">
        <f t="shared" si="2"/>
        <v>368</v>
      </c>
      <c r="AA7" s="125" t="str">
        <f t="shared" si="3"/>
        <v>Sagan</v>
      </c>
    </row>
    <row r="8" spans="2:27">
      <c r="B8" s="180" t="s">
        <v>110</v>
      </c>
      <c r="C8" s="181" t="s">
        <v>86</v>
      </c>
      <c r="D8" s="126">
        <f t="shared" si="0"/>
        <v>0</v>
      </c>
      <c r="E8" s="126">
        <f t="shared" si="0"/>
        <v>0</v>
      </c>
      <c r="F8" s="126">
        <f t="shared" si="0"/>
        <v>0</v>
      </c>
      <c r="G8" s="126">
        <f t="shared" si="0"/>
        <v>0</v>
      </c>
      <c r="H8" s="126">
        <f t="shared" si="0"/>
        <v>0</v>
      </c>
      <c r="I8" s="126">
        <f t="shared" si="0"/>
        <v>11</v>
      </c>
      <c r="J8" s="126">
        <f t="shared" si="0"/>
        <v>0</v>
      </c>
      <c r="K8" s="126">
        <f t="shared" si="0"/>
        <v>0</v>
      </c>
      <c r="L8" s="126">
        <f t="shared" si="0"/>
        <v>0</v>
      </c>
      <c r="M8" s="126">
        <f t="shared" si="0"/>
        <v>15</v>
      </c>
      <c r="N8" s="126">
        <f t="shared" si="1"/>
        <v>0</v>
      </c>
      <c r="O8" s="126">
        <f t="shared" si="1"/>
        <v>0</v>
      </c>
      <c r="P8" s="126">
        <f t="shared" si="1"/>
        <v>0</v>
      </c>
      <c r="Q8" s="126">
        <f t="shared" si="1"/>
        <v>0</v>
      </c>
      <c r="R8" s="126">
        <f t="shared" si="1"/>
        <v>0</v>
      </c>
      <c r="S8" s="126">
        <f t="shared" si="1"/>
        <v>0</v>
      </c>
      <c r="T8" s="126">
        <f t="shared" si="1"/>
        <v>0</v>
      </c>
      <c r="U8" s="126">
        <f t="shared" si="1"/>
        <v>0</v>
      </c>
      <c r="V8" s="126">
        <f t="shared" si="1"/>
        <v>0</v>
      </c>
      <c r="W8" s="126">
        <f t="shared" si="1"/>
        <v>0</v>
      </c>
      <c r="X8" s="126">
        <f t="shared" si="1"/>
        <v>14</v>
      </c>
      <c r="Y8" s="126">
        <f t="shared" si="1"/>
        <v>0</v>
      </c>
      <c r="Z8" s="204">
        <f t="shared" si="2"/>
        <v>40</v>
      </c>
      <c r="AA8" s="125" t="str">
        <f t="shared" si="3"/>
        <v>Goss</v>
      </c>
    </row>
    <row r="9" spans="2:27">
      <c r="B9" s="180" t="s">
        <v>145</v>
      </c>
      <c r="C9" s="181" t="s">
        <v>146</v>
      </c>
      <c r="D9" s="126">
        <f t="shared" si="0"/>
        <v>0</v>
      </c>
      <c r="E9" s="126">
        <f t="shared" si="0"/>
        <v>0</v>
      </c>
      <c r="F9" s="126">
        <f t="shared" si="0"/>
        <v>0</v>
      </c>
      <c r="G9" s="126">
        <f t="shared" si="0"/>
        <v>0</v>
      </c>
      <c r="H9" s="126">
        <f t="shared" si="0"/>
        <v>0</v>
      </c>
      <c r="I9" s="126">
        <f t="shared" si="0"/>
        <v>0</v>
      </c>
      <c r="J9" s="126">
        <f t="shared" si="0"/>
        <v>0</v>
      </c>
      <c r="K9" s="126">
        <f t="shared" si="0"/>
        <v>22</v>
      </c>
      <c r="L9" s="126">
        <f t="shared" si="0"/>
        <v>18</v>
      </c>
      <c r="M9" s="126">
        <f t="shared" si="0"/>
        <v>5</v>
      </c>
      <c r="N9" s="126">
        <f t="shared" si="1"/>
        <v>18</v>
      </c>
      <c r="O9" s="126">
        <f t="shared" si="1"/>
        <v>7</v>
      </c>
      <c r="P9" s="126">
        <f t="shared" si="1"/>
        <v>27</v>
      </c>
      <c r="Q9" s="126">
        <f t="shared" si="1"/>
        <v>8</v>
      </c>
      <c r="R9" s="126">
        <f t="shared" si="1"/>
        <v>28</v>
      </c>
      <c r="S9" s="126">
        <f t="shared" si="1"/>
        <v>8</v>
      </c>
      <c r="T9" s="126">
        <f t="shared" si="1"/>
        <v>39</v>
      </c>
      <c r="U9" s="126">
        <f t="shared" si="1"/>
        <v>24</v>
      </c>
      <c r="V9" s="126">
        <f t="shared" si="1"/>
        <v>9</v>
      </c>
      <c r="W9" s="126">
        <f t="shared" si="1"/>
        <v>26</v>
      </c>
      <c r="X9" s="126">
        <f t="shared" si="1"/>
        <v>7</v>
      </c>
      <c r="Y9" s="126">
        <f t="shared" si="1"/>
        <v>48</v>
      </c>
      <c r="Z9" s="204">
        <f t="shared" si="2"/>
        <v>294</v>
      </c>
      <c r="AA9" s="125" t="str">
        <f t="shared" si="3"/>
        <v>Contador</v>
      </c>
    </row>
    <row r="10" spans="2:27">
      <c r="B10" s="180" t="s">
        <v>127</v>
      </c>
      <c r="C10" s="181" t="s">
        <v>114</v>
      </c>
      <c r="D10" s="126">
        <f t="shared" si="0"/>
        <v>0</v>
      </c>
      <c r="E10" s="126">
        <f t="shared" si="0"/>
        <v>0</v>
      </c>
      <c r="F10" s="126">
        <f t="shared" si="0"/>
        <v>0</v>
      </c>
      <c r="G10" s="126">
        <f t="shared" si="0"/>
        <v>0.1</v>
      </c>
      <c r="H10" s="126">
        <f t="shared" si="0"/>
        <v>4</v>
      </c>
      <c r="I10" s="126">
        <f t="shared" si="0"/>
        <v>12</v>
      </c>
      <c r="J10" s="126">
        <f t="shared" si="0"/>
        <v>4</v>
      </c>
      <c r="K10" s="126">
        <f t="shared" si="0"/>
        <v>50</v>
      </c>
      <c r="L10" s="126">
        <f t="shared" si="0"/>
        <v>26</v>
      </c>
      <c r="M10" s="126">
        <f t="shared" si="0"/>
        <v>14</v>
      </c>
      <c r="N10" s="126">
        <f t="shared" si="1"/>
        <v>44</v>
      </c>
      <c r="O10" s="126">
        <f t="shared" si="1"/>
        <v>26</v>
      </c>
      <c r="P10" s="126">
        <f t="shared" si="1"/>
        <v>14</v>
      </c>
      <c r="Q10" s="126">
        <f t="shared" si="1"/>
        <v>14</v>
      </c>
      <c r="R10" s="126">
        <f t="shared" si="1"/>
        <v>50</v>
      </c>
      <c r="S10" s="126">
        <f t="shared" si="1"/>
        <v>15</v>
      </c>
      <c r="T10" s="126">
        <f t="shared" si="1"/>
        <v>50</v>
      </c>
      <c r="U10" s="126">
        <f t="shared" si="1"/>
        <v>34</v>
      </c>
      <c r="V10" s="126">
        <f t="shared" si="1"/>
        <v>15</v>
      </c>
      <c r="W10" s="126">
        <f t="shared" si="1"/>
        <v>40</v>
      </c>
      <c r="X10" s="126">
        <f t="shared" si="1"/>
        <v>14</v>
      </c>
      <c r="Y10" s="126">
        <f t="shared" si="1"/>
        <v>77</v>
      </c>
      <c r="Z10" s="204">
        <f t="shared" si="2"/>
        <v>503.1</v>
      </c>
      <c r="AA10" s="125" t="str">
        <f t="shared" si="3"/>
        <v>Froome</v>
      </c>
    </row>
    <row r="11" spans="2:27">
      <c r="B11" s="180" t="s">
        <v>149</v>
      </c>
      <c r="C11" s="181" t="s">
        <v>150</v>
      </c>
      <c r="D11" s="126">
        <f t="shared" si="0"/>
        <v>0</v>
      </c>
      <c r="E11" s="126">
        <f t="shared" si="0"/>
        <v>0</v>
      </c>
      <c r="F11" s="126">
        <f t="shared" si="0"/>
        <v>0</v>
      </c>
      <c r="G11" s="126">
        <f t="shared" si="0"/>
        <v>0</v>
      </c>
      <c r="H11" s="126">
        <f t="shared" si="0"/>
        <v>3</v>
      </c>
      <c r="I11" s="126">
        <f t="shared" si="0"/>
        <v>10</v>
      </c>
      <c r="J11" s="126">
        <f t="shared" si="0"/>
        <v>3</v>
      </c>
      <c r="K11" s="126">
        <f t="shared" si="0"/>
        <v>42</v>
      </c>
      <c r="L11" s="126">
        <f t="shared" si="0"/>
        <v>3</v>
      </c>
      <c r="M11" s="126">
        <f t="shared" si="0"/>
        <v>3</v>
      </c>
      <c r="N11" s="126">
        <f t="shared" si="1"/>
        <v>27</v>
      </c>
      <c r="O11" s="126">
        <f t="shared" si="1"/>
        <v>3</v>
      </c>
      <c r="P11" s="126">
        <f t="shared" si="1"/>
        <v>3</v>
      </c>
      <c r="Q11" s="126">
        <f t="shared" si="1"/>
        <v>3</v>
      </c>
      <c r="R11" s="126">
        <f t="shared" si="1"/>
        <v>11</v>
      </c>
      <c r="S11" s="126">
        <f t="shared" si="1"/>
        <v>0</v>
      </c>
      <c r="T11" s="126">
        <f t="shared" si="1"/>
        <v>0</v>
      </c>
      <c r="U11" s="126">
        <f t="shared" si="1"/>
        <v>20</v>
      </c>
      <c r="V11" s="126">
        <f t="shared" si="1"/>
        <v>0</v>
      </c>
      <c r="W11" s="126">
        <f t="shared" si="1"/>
        <v>22</v>
      </c>
      <c r="X11" s="126">
        <f t="shared" si="1"/>
        <v>0</v>
      </c>
      <c r="Y11" s="126">
        <f t="shared" si="1"/>
        <v>14</v>
      </c>
      <c r="Z11" s="204">
        <f t="shared" si="2"/>
        <v>167</v>
      </c>
      <c r="AA11" s="125" t="str">
        <f t="shared" si="3"/>
        <v>Porte</v>
      </c>
    </row>
    <row r="12" spans="2:27">
      <c r="B12" s="180" t="s">
        <v>128</v>
      </c>
      <c r="C12" s="181" t="s">
        <v>72</v>
      </c>
      <c r="D12" s="126">
        <f t="shared" si="0"/>
        <v>0</v>
      </c>
      <c r="E12" s="126">
        <f t="shared" si="0"/>
        <v>28</v>
      </c>
      <c r="F12" s="126">
        <f t="shared" si="0"/>
        <v>21</v>
      </c>
      <c r="G12" s="126">
        <f t="shared" si="0"/>
        <v>0</v>
      </c>
      <c r="H12" s="126">
        <f t="shared" si="0"/>
        <v>36</v>
      </c>
      <c r="I12" s="126">
        <f t="shared" si="0"/>
        <v>23</v>
      </c>
      <c r="J12" s="126">
        <f t="shared" si="0"/>
        <v>31</v>
      </c>
      <c r="K12" s="126">
        <f t="shared" si="0"/>
        <v>1</v>
      </c>
      <c r="L12" s="126">
        <f t="shared" si="0"/>
        <v>0</v>
      </c>
      <c r="M12" s="126">
        <f t="shared" si="0"/>
        <v>0</v>
      </c>
      <c r="N12" s="126">
        <f t="shared" si="1"/>
        <v>0</v>
      </c>
      <c r="O12" s="126">
        <f t="shared" si="1"/>
        <v>0</v>
      </c>
      <c r="P12" s="126">
        <f t="shared" si="1"/>
        <v>0</v>
      </c>
      <c r="Q12" s="126">
        <f t="shared" si="1"/>
        <v>0</v>
      </c>
      <c r="R12" s="126">
        <f t="shared" si="1"/>
        <v>0</v>
      </c>
      <c r="S12" s="126">
        <f t="shared" si="1"/>
        <v>0</v>
      </c>
      <c r="T12" s="126">
        <f t="shared" si="1"/>
        <v>0</v>
      </c>
      <c r="U12" s="126">
        <f t="shared" si="1"/>
        <v>0</v>
      </c>
      <c r="V12" s="126">
        <f t="shared" si="1"/>
        <v>0</v>
      </c>
      <c r="W12" s="126">
        <f t="shared" si="1"/>
        <v>0</v>
      </c>
      <c r="X12" s="126">
        <f t="shared" si="1"/>
        <v>0</v>
      </c>
      <c r="Y12" s="126">
        <f t="shared" si="1"/>
        <v>0</v>
      </c>
      <c r="Z12" s="204">
        <f t="shared" si="2"/>
        <v>140</v>
      </c>
      <c r="AA12" s="125" t="str">
        <f t="shared" si="3"/>
        <v>Boasson Hagen</v>
      </c>
    </row>
    <row r="13" spans="2:27">
      <c r="B13" s="180" t="s">
        <v>121</v>
      </c>
      <c r="C13" s="181" t="s">
        <v>88</v>
      </c>
      <c r="D13" s="126">
        <f t="shared" si="0"/>
        <v>0</v>
      </c>
      <c r="E13" s="126">
        <f t="shared" si="0"/>
        <v>0</v>
      </c>
      <c r="F13" s="126">
        <f t="shared" si="0"/>
        <v>0</v>
      </c>
      <c r="G13" s="126">
        <f t="shared" si="0"/>
        <v>0</v>
      </c>
      <c r="H13" s="126">
        <f t="shared" si="0"/>
        <v>0</v>
      </c>
      <c r="I13" s="126">
        <f t="shared" si="0"/>
        <v>0</v>
      </c>
      <c r="J13" s="126">
        <f t="shared" si="0"/>
        <v>0</v>
      </c>
      <c r="K13" s="126">
        <f t="shared" si="0"/>
        <v>0</v>
      </c>
      <c r="L13" s="126">
        <f t="shared" si="0"/>
        <v>0</v>
      </c>
      <c r="M13" s="126">
        <f t="shared" si="0"/>
        <v>0</v>
      </c>
      <c r="N13" s="126">
        <f t="shared" si="1"/>
        <v>0</v>
      </c>
      <c r="O13" s="126">
        <f t="shared" si="1"/>
        <v>0</v>
      </c>
      <c r="P13" s="126">
        <f t="shared" si="1"/>
        <v>0</v>
      </c>
      <c r="Q13" s="126">
        <f t="shared" si="1"/>
        <v>0</v>
      </c>
      <c r="R13" s="126">
        <f t="shared" si="1"/>
        <v>0</v>
      </c>
      <c r="S13" s="126">
        <f t="shared" si="1"/>
        <v>0</v>
      </c>
      <c r="T13" s="126">
        <f t="shared" si="1"/>
        <v>0</v>
      </c>
      <c r="U13" s="126">
        <f t="shared" si="1"/>
        <v>0</v>
      </c>
      <c r="V13" s="126">
        <f t="shared" si="1"/>
        <v>0</v>
      </c>
      <c r="W13" s="126">
        <f t="shared" si="1"/>
        <v>0</v>
      </c>
      <c r="X13" s="126">
        <f t="shared" si="1"/>
        <v>0</v>
      </c>
      <c r="Y13" s="126">
        <f t="shared" si="1"/>
        <v>0</v>
      </c>
      <c r="Z13" s="204">
        <f t="shared" si="2"/>
        <v>0</v>
      </c>
      <c r="AA13" s="125" t="str">
        <f t="shared" si="3"/>
        <v>Van Den Broeck</v>
      </c>
    </row>
    <row r="14" spans="2:27">
      <c r="B14" s="180" t="s">
        <v>118</v>
      </c>
      <c r="C14" s="181" t="s">
        <v>85</v>
      </c>
      <c r="D14" s="126">
        <f t="shared" ref="D14:M20" si="4">INDEX(scorematrix,MATCH($C14,renners,0),MATCH(D$3,etappes,0))</f>
        <v>0</v>
      </c>
      <c r="E14" s="126">
        <f t="shared" si="4"/>
        <v>0</v>
      </c>
      <c r="F14" s="126">
        <f t="shared" si="4"/>
        <v>0</v>
      </c>
      <c r="G14" s="126">
        <f t="shared" si="4"/>
        <v>0</v>
      </c>
      <c r="H14" s="126">
        <f t="shared" si="4"/>
        <v>26</v>
      </c>
      <c r="I14" s="126">
        <f t="shared" si="4"/>
        <v>39</v>
      </c>
      <c r="J14" s="126">
        <f t="shared" si="4"/>
        <v>0</v>
      </c>
      <c r="K14" s="126">
        <f t="shared" si="4"/>
        <v>4</v>
      </c>
      <c r="L14" s="126">
        <f t="shared" si="4"/>
        <v>4</v>
      </c>
      <c r="M14" s="126">
        <f t="shared" si="4"/>
        <v>34</v>
      </c>
      <c r="N14" s="126">
        <f t="shared" ref="N14:Y20" si="5">INDEX(scorematrix,MATCH($C14,renners,0),MATCH(N$3,etappes,0))</f>
        <v>4</v>
      </c>
      <c r="O14" s="126">
        <f t="shared" si="5"/>
        <v>3</v>
      </c>
      <c r="P14" s="126">
        <f t="shared" si="5"/>
        <v>14</v>
      </c>
      <c r="Q14" s="126">
        <f t="shared" si="5"/>
        <v>3</v>
      </c>
      <c r="R14" s="126">
        <f t="shared" si="5"/>
        <v>3</v>
      </c>
      <c r="S14" s="126">
        <f t="shared" si="5"/>
        <v>3</v>
      </c>
      <c r="T14" s="126">
        <f t="shared" si="5"/>
        <v>3</v>
      </c>
      <c r="U14" s="126">
        <f t="shared" si="5"/>
        <v>3</v>
      </c>
      <c r="V14" s="126">
        <f t="shared" si="5"/>
        <v>3</v>
      </c>
      <c r="W14" s="126">
        <f t="shared" si="5"/>
        <v>3</v>
      </c>
      <c r="X14" s="126">
        <f t="shared" si="5"/>
        <v>33</v>
      </c>
      <c r="Y14" s="126">
        <f t="shared" si="5"/>
        <v>5</v>
      </c>
      <c r="Z14" s="204">
        <f t="shared" si="2"/>
        <v>187</v>
      </c>
      <c r="AA14" s="125" t="str">
        <f t="shared" si="3"/>
        <v>Greipel</v>
      </c>
    </row>
    <row r="15" spans="2:27">
      <c r="B15" s="180" t="s">
        <v>151</v>
      </c>
      <c r="C15" s="181" t="s">
        <v>159</v>
      </c>
      <c r="D15" s="126">
        <f t="shared" si="4"/>
        <v>0</v>
      </c>
      <c r="E15" s="126">
        <f t="shared" si="4"/>
        <v>0</v>
      </c>
      <c r="F15" s="126">
        <f t="shared" si="4"/>
        <v>0</v>
      </c>
      <c r="G15" s="126">
        <f t="shared" si="4"/>
        <v>0</v>
      </c>
      <c r="H15" s="126">
        <f t="shared" si="4"/>
        <v>0</v>
      </c>
      <c r="I15" s="126">
        <f t="shared" si="4"/>
        <v>0</v>
      </c>
      <c r="J15" s="126">
        <f t="shared" si="4"/>
        <v>0</v>
      </c>
      <c r="K15" s="126">
        <f t="shared" si="4"/>
        <v>17</v>
      </c>
      <c r="L15" s="126">
        <f t="shared" si="4"/>
        <v>24</v>
      </c>
      <c r="M15" s="126">
        <f t="shared" si="4"/>
        <v>2</v>
      </c>
      <c r="N15" s="126">
        <f t="shared" si="5"/>
        <v>0</v>
      </c>
      <c r="O15" s="126">
        <f t="shared" si="5"/>
        <v>0</v>
      </c>
      <c r="P15" s="126">
        <f t="shared" si="5"/>
        <v>1</v>
      </c>
      <c r="Q15" s="126">
        <f t="shared" si="5"/>
        <v>1</v>
      </c>
      <c r="R15" s="126">
        <f t="shared" si="5"/>
        <v>27</v>
      </c>
      <c r="S15" s="126">
        <f t="shared" si="5"/>
        <v>4</v>
      </c>
      <c r="T15" s="126">
        <f t="shared" si="5"/>
        <v>32</v>
      </c>
      <c r="U15" s="126">
        <f t="shared" si="5"/>
        <v>28</v>
      </c>
      <c r="V15" s="126">
        <f t="shared" si="5"/>
        <v>6</v>
      </c>
      <c r="W15" s="126">
        <f t="shared" si="5"/>
        <v>40</v>
      </c>
      <c r="X15" s="126">
        <f t="shared" si="5"/>
        <v>10</v>
      </c>
      <c r="Y15" s="126">
        <f t="shared" si="5"/>
        <v>55</v>
      </c>
      <c r="Z15" s="204">
        <f t="shared" si="2"/>
        <v>247</v>
      </c>
      <c r="AA15" s="125" t="str">
        <f t="shared" si="3"/>
        <v>Rodriguez</v>
      </c>
    </row>
    <row r="16" spans="2:27">
      <c r="B16" s="180" t="s">
        <v>111</v>
      </c>
      <c r="C16" s="181" t="s">
        <v>69</v>
      </c>
      <c r="D16" s="126">
        <f t="shared" si="4"/>
        <v>0</v>
      </c>
      <c r="E16" s="126">
        <f t="shared" si="4"/>
        <v>1</v>
      </c>
      <c r="F16" s="126">
        <f t="shared" si="4"/>
        <v>15</v>
      </c>
      <c r="G16" s="126">
        <f t="shared" si="4"/>
        <v>0</v>
      </c>
      <c r="H16" s="126">
        <f t="shared" si="4"/>
        <v>0</v>
      </c>
      <c r="I16" s="126">
        <f t="shared" si="4"/>
        <v>9</v>
      </c>
      <c r="J16" s="126">
        <f t="shared" si="4"/>
        <v>0</v>
      </c>
      <c r="K16" s="126">
        <f t="shared" si="4"/>
        <v>0</v>
      </c>
      <c r="L16" s="126">
        <f t="shared" si="4"/>
        <v>20</v>
      </c>
      <c r="M16" s="126">
        <f t="shared" si="4"/>
        <v>0</v>
      </c>
      <c r="N16" s="126">
        <f t="shared" si="5"/>
        <v>0</v>
      </c>
      <c r="O16" s="126">
        <f t="shared" si="5"/>
        <v>6</v>
      </c>
      <c r="P16" s="126">
        <f t="shared" si="5"/>
        <v>0</v>
      </c>
      <c r="Q16" s="126">
        <f t="shared" si="5"/>
        <v>0</v>
      </c>
      <c r="R16" s="126">
        <f t="shared" si="5"/>
        <v>0</v>
      </c>
      <c r="S16" s="126">
        <f t="shared" si="5"/>
        <v>0</v>
      </c>
      <c r="T16" s="126">
        <f t="shared" si="5"/>
        <v>0</v>
      </c>
      <c r="U16" s="126">
        <f t="shared" si="5"/>
        <v>0</v>
      </c>
      <c r="V16" s="126">
        <f t="shared" si="5"/>
        <v>0</v>
      </c>
      <c r="W16" s="126">
        <f t="shared" si="5"/>
        <v>0</v>
      </c>
      <c r="X16" s="126">
        <f t="shared" si="5"/>
        <v>0</v>
      </c>
      <c r="Y16" s="126">
        <f t="shared" si="5"/>
        <v>0</v>
      </c>
      <c r="Z16" s="204">
        <f t="shared" si="2"/>
        <v>51</v>
      </c>
      <c r="AA16" s="125" t="str">
        <f t="shared" si="3"/>
        <v>Evans</v>
      </c>
    </row>
    <row r="17" spans="2:27" s="182" customFormat="1">
      <c r="B17" s="180" t="s">
        <v>156</v>
      </c>
      <c r="C17" s="181" t="s">
        <v>157</v>
      </c>
      <c r="D17" s="126">
        <f t="shared" si="4"/>
        <v>0</v>
      </c>
      <c r="E17" s="126">
        <f t="shared" si="4"/>
        <v>0</v>
      </c>
      <c r="F17" s="126">
        <f t="shared" si="4"/>
        <v>0</v>
      </c>
      <c r="G17" s="126">
        <f t="shared" si="4"/>
        <v>0</v>
      </c>
      <c r="H17" s="126">
        <f t="shared" si="4"/>
        <v>0</v>
      </c>
      <c r="I17" s="126">
        <f t="shared" si="4"/>
        <v>0</v>
      </c>
      <c r="J17" s="126">
        <f t="shared" si="4"/>
        <v>0</v>
      </c>
      <c r="K17" s="126">
        <f t="shared" si="4"/>
        <v>0</v>
      </c>
      <c r="L17" s="126">
        <f t="shared" si="4"/>
        <v>0</v>
      </c>
      <c r="M17" s="126">
        <f t="shared" si="4"/>
        <v>0</v>
      </c>
      <c r="N17" s="126">
        <f t="shared" si="5"/>
        <v>0</v>
      </c>
      <c r="O17" s="126">
        <f t="shared" si="5"/>
        <v>0</v>
      </c>
      <c r="P17" s="126">
        <f t="shared" si="5"/>
        <v>0</v>
      </c>
      <c r="Q17" s="126">
        <f t="shared" si="5"/>
        <v>10</v>
      </c>
      <c r="R17" s="126">
        <f t="shared" si="5"/>
        <v>0</v>
      </c>
      <c r="S17" s="126">
        <f t="shared" si="5"/>
        <v>0</v>
      </c>
      <c r="T17" s="126">
        <f t="shared" si="5"/>
        <v>16</v>
      </c>
      <c r="U17" s="126">
        <f t="shared" si="5"/>
        <v>31</v>
      </c>
      <c r="V17" s="126">
        <f t="shared" si="5"/>
        <v>0</v>
      </c>
      <c r="W17" s="126">
        <f t="shared" si="5"/>
        <v>0</v>
      </c>
      <c r="X17" s="126">
        <f t="shared" si="5"/>
        <v>0</v>
      </c>
      <c r="Y17" s="126">
        <f t="shared" si="5"/>
        <v>0</v>
      </c>
      <c r="Z17" s="204">
        <f t="shared" si="2"/>
        <v>57</v>
      </c>
      <c r="AA17" s="125" t="str">
        <f t="shared" si="3"/>
        <v>Van Garderen</v>
      </c>
    </row>
    <row r="18" spans="2:27">
      <c r="B18" s="180" t="s">
        <v>126</v>
      </c>
      <c r="C18" s="181" t="s">
        <v>112</v>
      </c>
      <c r="D18" s="126">
        <f t="shared" si="4"/>
        <v>0</v>
      </c>
      <c r="E18" s="126">
        <f t="shared" si="4"/>
        <v>0</v>
      </c>
      <c r="F18" s="126">
        <f t="shared" si="4"/>
        <v>0</v>
      </c>
      <c r="G18" s="126">
        <f t="shared" si="4"/>
        <v>0</v>
      </c>
      <c r="H18" s="126">
        <f t="shared" si="4"/>
        <v>0</v>
      </c>
      <c r="I18" s="126">
        <f t="shared" si="4"/>
        <v>0</v>
      </c>
      <c r="J18" s="126">
        <f t="shared" si="4"/>
        <v>0</v>
      </c>
      <c r="K18" s="126">
        <f t="shared" si="4"/>
        <v>34</v>
      </c>
      <c r="L18" s="126">
        <f t="shared" si="4"/>
        <v>24</v>
      </c>
      <c r="M18" s="126">
        <f t="shared" si="4"/>
        <v>9</v>
      </c>
      <c r="N18" s="126">
        <f t="shared" si="5"/>
        <v>22</v>
      </c>
      <c r="O18" s="126">
        <f t="shared" si="5"/>
        <v>17</v>
      </c>
      <c r="P18" s="126">
        <f t="shared" si="5"/>
        <v>0</v>
      </c>
      <c r="Q18" s="126">
        <f t="shared" si="5"/>
        <v>0</v>
      </c>
      <c r="R18" s="126">
        <f t="shared" si="5"/>
        <v>13</v>
      </c>
      <c r="S18" s="126">
        <f t="shared" si="5"/>
        <v>0</v>
      </c>
      <c r="T18" s="126">
        <f t="shared" si="5"/>
        <v>22</v>
      </c>
      <c r="U18" s="126">
        <f t="shared" si="5"/>
        <v>18</v>
      </c>
      <c r="V18" s="126">
        <f t="shared" si="5"/>
        <v>10</v>
      </c>
      <c r="W18" s="126">
        <f t="shared" si="5"/>
        <v>27</v>
      </c>
      <c r="X18" s="126">
        <f t="shared" si="5"/>
        <v>3</v>
      </c>
      <c r="Y18" s="126">
        <f t="shared" si="5"/>
        <v>36</v>
      </c>
      <c r="Z18" s="204">
        <f t="shared" si="2"/>
        <v>235</v>
      </c>
      <c r="AA18" s="125" t="str">
        <f t="shared" si="3"/>
        <v>Valverde</v>
      </c>
    </row>
    <row r="19" spans="2:27">
      <c r="B19" s="180" t="s">
        <v>131</v>
      </c>
      <c r="C19" s="181" t="s">
        <v>132</v>
      </c>
      <c r="D19" s="126">
        <f t="shared" si="4"/>
        <v>0</v>
      </c>
      <c r="E19" s="126">
        <f t="shared" si="4"/>
        <v>5</v>
      </c>
      <c r="F19" s="126">
        <f t="shared" si="4"/>
        <v>5</v>
      </c>
      <c r="G19" s="126">
        <f t="shared" si="4"/>
        <v>0</v>
      </c>
      <c r="H19" s="126">
        <f t="shared" si="4"/>
        <v>5</v>
      </c>
      <c r="I19" s="126">
        <f t="shared" si="4"/>
        <v>5</v>
      </c>
      <c r="J19" s="126">
        <f t="shared" si="4"/>
        <v>4</v>
      </c>
      <c r="K19" s="126">
        <f t="shared" si="4"/>
        <v>4</v>
      </c>
      <c r="L19" s="126">
        <f t="shared" si="4"/>
        <v>5</v>
      </c>
      <c r="M19" s="126">
        <f t="shared" si="4"/>
        <v>5</v>
      </c>
      <c r="N19" s="126">
        <f t="shared" si="5"/>
        <v>5</v>
      </c>
      <c r="O19" s="126">
        <f t="shared" si="5"/>
        <v>5</v>
      </c>
      <c r="P19" s="126">
        <f t="shared" si="5"/>
        <v>5</v>
      </c>
      <c r="Q19" s="126">
        <f t="shared" si="5"/>
        <v>5</v>
      </c>
      <c r="R19" s="126">
        <f t="shared" si="5"/>
        <v>2</v>
      </c>
      <c r="S19" s="126">
        <f t="shared" si="5"/>
        <v>2</v>
      </c>
      <c r="T19" s="126">
        <f t="shared" si="5"/>
        <v>2</v>
      </c>
      <c r="U19" s="126">
        <f t="shared" si="5"/>
        <v>2</v>
      </c>
      <c r="V19" s="126">
        <f t="shared" si="5"/>
        <v>14</v>
      </c>
      <c r="W19" s="126">
        <f t="shared" si="5"/>
        <v>3</v>
      </c>
      <c r="X19" s="126">
        <f t="shared" si="5"/>
        <v>3</v>
      </c>
      <c r="Y19" s="126">
        <f t="shared" si="5"/>
        <v>5</v>
      </c>
      <c r="Z19" s="204">
        <f t="shared" si="2"/>
        <v>91</v>
      </c>
      <c r="AA19" s="125" t="str">
        <f t="shared" si="3"/>
        <v>Rolland</v>
      </c>
    </row>
    <row r="20" spans="2:27">
      <c r="B20" s="180" t="s">
        <v>119</v>
      </c>
      <c r="C20" s="181" t="s">
        <v>79</v>
      </c>
      <c r="D20" s="126">
        <f t="shared" si="4"/>
        <v>0</v>
      </c>
      <c r="E20" s="126">
        <f t="shared" si="4"/>
        <v>0</v>
      </c>
      <c r="F20" s="126">
        <f t="shared" si="4"/>
        <v>0</v>
      </c>
      <c r="G20" s="126">
        <f t="shared" si="4"/>
        <v>0</v>
      </c>
      <c r="H20" s="126">
        <f t="shared" si="4"/>
        <v>0</v>
      </c>
      <c r="I20" s="126">
        <f t="shared" si="4"/>
        <v>0</v>
      </c>
      <c r="J20" s="126">
        <f t="shared" si="4"/>
        <v>0</v>
      </c>
      <c r="K20" s="126">
        <f t="shared" si="4"/>
        <v>0</v>
      </c>
      <c r="L20" s="126">
        <f t="shared" si="4"/>
        <v>0</v>
      </c>
      <c r="M20" s="126">
        <f t="shared" si="4"/>
        <v>0</v>
      </c>
      <c r="N20" s="126">
        <f t="shared" si="5"/>
        <v>0</v>
      </c>
      <c r="O20" s="126">
        <f t="shared" si="5"/>
        <v>0</v>
      </c>
      <c r="P20" s="126">
        <f t="shared" si="5"/>
        <v>0</v>
      </c>
      <c r="Q20" s="126">
        <f t="shared" si="5"/>
        <v>0</v>
      </c>
      <c r="R20" s="126">
        <f t="shared" si="5"/>
        <v>0</v>
      </c>
      <c r="S20" s="126">
        <f t="shared" si="5"/>
        <v>0</v>
      </c>
      <c r="T20" s="126">
        <f t="shared" si="5"/>
        <v>0</v>
      </c>
      <c r="U20" s="126">
        <f t="shared" si="5"/>
        <v>0</v>
      </c>
      <c r="V20" s="126">
        <f t="shared" si="5"/>
        <v>0</v>
      </c>
      <c r="W20" s="126">
        <f t="shared" si="5"/>
        <v>0</v>
      </c>
      <c r="X20" s="126">
        <f t="shared" si="5"/>
        <v>0</v>
      </c>
      <c r="Y20" s="126">
        <f t="shared" si="5"/>
        <v>0</v>
      </c>
      <c r="Z20" s="204">
        <f t="shared" si="2"/>
        <v>0</v>
      </c>
      <c r="AA20" s="125" t="str">
        <f t="shared" si="3"/>
        <v>Hesjedal</v>
      </c>
    </row>
    <row r="21" spans="2:27" s="183" customFormat="1">
      <c r="C21" s="189"/>
      <c r="D21" s="196"/>
      <c r="E21" s="196"/>
      <c r="F21" s="196"/>
      <c r="G21" s="196"/>
      <c r="H21" s="196"/>
      <c r="I21" s="196"/>
      <c r="J21" s="196"/>
      <c r="K21" s="196"/>
      <c r="L21" s="196"/>
      <c r="M21" s="196"/>
      <c r="N21" s="196"/>
      <c r="O21" s="196"/>
      <c r="P21" s="196"/>
      <c r="Q21" s="196"/>
      <c r="R21" s="196">
        <f>R25</f>
        <v>0</v>
      </c>
      <c r="S21" s="196"/>
      <c r="T21" s="196">
        <f>T24</f>
        <v>32</v>
      </c>
      <c r="U21" s="196"/>
      <c r="V21" s="196"/>
      <c r="W21" s="196"/>
      <c r="X21" s="196"/>
      <c r="Y21" s="196"/>
      <c r="Z21" s="285"/>
    </row>
    <row r="22" spans="2:27" s="129" customFormat="1">
      <c r="C22" s="144"/>
      <c r="D22" s="184">
        <f t="shared" ref="D22:Z22" si="6">SUM(D4:D21)</f>
        <v>50</v>
      </c>
      <c r="E22" s="184">
        <f t="shared" ref="E22" si="7">SUM(E4:E21)</f>
        <v>73</v>
      </c>
      <c r="F22" s="184">
        <f>SUM(F4:F21)</f>
        <v>80</v>
      </c>
      <c r="G22" s="184">
        <f t="shared" si="6"/>
        <v>0.1</v>
      </c>
      <c r="H22" s="184">
        <f t="shared" si="6"/>
        <v>158</v>
      </c>
      <c r="I22" s="184">
        <f t="shared" si="6"/>
        <v>198</v>
      </c>
      <c r="J22" s="184">
        <f t="shared" si="6"/>
        <v>112</v>
      </c>
      <c r="K22" s="184">
        <f t="shared" si="6"/>
        <v>182</v>
      </c>
      <c r="L22" s="184">
        <f t="shared" si="6"/>
        <v>132</v>
      </c>
      <c r="M22" s="184">
        <f t="shared" si="6"/>
        <v>182</v>
      </c>
      <c r="N22" s="184">
        <f t="shared" si="6"/>
        <v>139</v>
      </c>
      <c r="O22" s="184">
        <f t="shared" si="6"/>
        <v>169</v>
      </c>
      <c r="P22" s="184">
        <f t="shared" si="6"/>
        <v>146</v>
      </c>
      <c r="Q22" s="184">
        <f t="shared" si="6"/>
        <v>55</v>
      </c>
      <c r="R22" s="184">
        <f t="shared" si="6"/>
        <v>145</v>
      </c>
      <c r="S22" s="184">
        <f t="shared" si="6"/>
        <v>43</v>
      </c>
      <c r="T22" s="184">
        <f t="shared" si="6"/>
        <v>207</v>
      </c>
      <c r="U22" s="184">
        <f t="shared" si="6"/>
        <v>171</v>
      </c>
      <c r="V22" s="184">
        <f t="shared" si="6"/>
        <v>68</v>
      </c>
      <c r="W22" s="184">
        <f t="shared" si="6"/>
        <v>172</v>
      </c>
      <c r="X22" s="184">
        <f t="shared" si="6"/>
        <v>180</v>
      </c>
      <c r="Y22" s="184">
        <f t="shared" si="6"/>
        <v>260</v>
      </c>
      <c r="Z22" s="282">
        <f t="shared" si="6"/>
        <v>2890.1</v>
      </c>
    </row>
    <row r="23" spans="2:27" s="185" customFormat="1">
      <c r="C23" s="125"/>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180" t="s">
        <v>171</v>
      </c>
      <c r="C24" s="187" t="s">
        <v>172</v>
      </c>
      <c r="D24" s="211">
        <f t="shared" ref="D24:Y26" si="8">INDEX(scorematrix,MATCH($C24,renners,0),MATCH(D$3,etappes,0))</f>
        <v>0</v>
      </c>
      <c r="E24" s="211">
        <f t="shared" si="8"/>
        <v>0</v>
      </c>
      <c r="F24" s="211">
        <f t="shared" si="8"/>
        <v>0</v>
      </c>
      <c r="G24" s="211">
        <f t="shared" si="8"/>
        <v>0</v>
      </c>
      <c r="H24" s="211">
        <f t="shared" si="8"/>
        <v>1</v>
      </c>
      <c r="I24" s="211">
        <f t="shared" si="8"/>
        <v>1</v>
      </c>
      <c r="J24" s="211">
        <f t="shared" si="8"/>
        <v>1</v>
      </c>
      <c r="K24" s="211">
        <f t="shared" si="8"/>
        <v>24</v>
      </c>
      <c r="L24" s="211">
        <f t="shared" si="8"/>
        <v>17</v>
      </c>
      <c r="M24" s="211">
        <f t="shared" si="8"/>
        <v>6</v>
      </c>
      <c r="N24" s="211">
        <f t="shared" si="8"/>
        <v>16</v>
      </c>
      <c r="O24" s="211">
        <f t="shared" si="8"/>
        <v>13</v>
      </c>
      <c r="P24" s="211">
        <f t="shared" si="8"/>
        <v>27</v>
      </c>
      <c r="Q24" s="211">
        <f t="shared" si="8"/>
        <v>7</v>
      </c>
      <c r="R24" s="211">
        <f t="shared" si="8"/>
        <v>30</v>
      </c>
      <c r="S24" s="211">
        <f t="shared" si="8"/>
        <v>8</v>
      </c>
      <c r="T24" s="280">
        <f t="shared" si="8"/>
        <v>32</v>
      </c>
      <c r="U24" s="211">
        <f t="shared" si="8"/>
        <v>21</v>
      </c>
      <c r="V24" s="211">
        <f t="shared" si="8"/>
        <v>7</v>
      </c>
      <c r="W24" s="211">
        <f t="shared" si="8"/>
        <v>22</v>
      </c>
      <c r="X24" s="211">
        <f t="shared" si="8"/>
        <v>6</v>
      </c>
      <c r="Y24" s="211">
        <f t="shared" si="8"/>
        <v>44</v>
      </c>
      <c r="Z24" s="284">
        <f>SUM(D24:Y24)</f>
        <v>283</v>
      </c>
    </row>
    <row r="25" spans="2:27" s="188" customFormat="1">
      <c r="B25" s="180" t="s">
        <v>147</v>
      </c>
      <c r="C25" s="187" t="s">
        <v>148</v>
      </c>
      <c r="D25" s="211">
        <f t="shared" si="8"/>
        <v>0</v>
      </c>
      <c r="E25" s="211">
        <f t="shared" si="8"/>
        <v>0</v>
      </c>
      <c r="F25" s="211">
        <f t="shared" si="8"/>
        <v>0</v>
      </c>
      <c r="G25" s="211">
        <f t="shared" si="8"/>
        <v>0</v>
      </c>
      <c r="H25" s="211">
        <f t="shared" si="8"/>
        <v>0</v>
      </c>
      <c r="I25" s="211">
        <f t="shared" si="8"/>
        <v>0</v>
      </c>
      <c r="J25" s="211">
        <f t="shared" si="8"/>
        <v>0</v>
      </c>
      <c r="K25" s="211">
        <f t="shared" si="8"/>
        <v>0</v>
      </c>
      <c r="L25" s="211">
        <f t="shared" si="8"/>
        <v>0</v>
      </c>
      <c r="M25" s="211">
        <f t="shared" si="8"/>
        <v>0</v>
      </c>
      <c r="N25" s="211">
        <f t="shared" si="8"/>
        <v>0</v>
      </c>
      <c r="O25" s="211">
        <f t="shared" si="8"/>
        <v>0</v>
      </c>
      <c r="P25" s="211">
        <f t="shared" si="8"/>
        <v>0</v>
      </c>
      <c r="Q25" s="211">
        <f t="shared" si="8"/>
        <v>0</v>
      </c>
      <c r="R25" s="280">
        <f t="shared" si="8"/>
        <v>0</v>
      </c>
      <c r="S25" s="211">
        <f t="shared" si="8"/>
        <v>0</v>
      </c>
      <c r="T25" s="211">
        <f t="shared" si="8"/>
        <v>0</v>
      </c>
      <c r="U25" s="211">
        <f t="shared" si="8"/>
        <v>0</v>
      </c>
      <c r="V25" s="211">
        <f t="shared" si="8"/>
        <v>0</v>
      </c>
      <c r="W25" s="211">
        <f t="shared" si="8"/>
        <v>0</v>
      </c>
      <c r="X25" s="211">
        <f t="shared" si="8"/>
        <v>0</v>
      </c>
      <c r="Y25" s="211">
        <f t="shared" si="8"/>
        <v>0</v>
      </c>
      <c r="Z25" s="284">
        <f>SUM(D25:Y25)</f>
        <v>0</v>
      </c>
    </row>
    <row r="26" spans="2:27" s="188" customFormat="1">
      <c r="B26" s="180" t="s">
        <v>173</v>
      </c>
      <c r="C26" s="187" t="s">
        <v>174</v>
      </c>
      <c r="D26" s="211">
        <f t="shared" si="8"/>
        <v>0</v>
      </c>
      <c r="E26" s="211">
        <f t="shared" si="8"/>
        <v>0</v>
      </c>
      <c r="F26" s="211">
        <f t="shared" si="8"/>
        <v>0</v>
      </c>
      <c r="G26" s="211">
        <f t="shared" si="8"/>
        <v>0</v>
      </c>
      <c r="H26" s="211">
        <f t="shared" si="8"/>
        <v>0</v>
      </c>
      <c r="I26" s="211">
        <f t="shared" si="8"/>
        <v>0</v>
      </c>
      <c r="J26" s="211">
        <f t="shared" si="8"/>
        <v>0</v>
      </c>
      <c r="K26" s="211">
        <f t="shared" si="8"/>
        <v>0</v>
      </c>
      <c r="L26" s="211">
        <f t="shared" si="8"/>
        <v>24</v>
      </c>
      <c r="M26" s="211">
        <f t="shared" si="8"/>
        <v>0</v>
      </c>
      <c r="N26" s="211">
        <f t="shared" si="8"/>
        <v>0</v>
      </c>
      <c r="O26" s="211">
        <f t="shared" si="8"/>
        <v>0</v>
      </c>
      <c r="P26" s="211">
        <f t="shared" si="8"/>
        <v>0</v>
      </c>
      <c r="Q26" s="211">
        <f t="shared" si="8"/>
        <v>0</v>
      </c>
      <c r="R26" s="211">
        <f t="shared" si="8"/>
        <v>10</v>
      </c>
      <c r="S26" s="211">
        <f t="shared" si="8"/>
        <v>0</v>
      </c>
      <c r="T26" s="211">
        <f t="shared" si="8"/>
        <v>0</v>
      </c>
      <c r="U26" s="211">
        <f t="shared" si="8"/>
        <v>0</v>
      </c>
      <c r="V26" s="211">
        <f t="shared" si="8"/>
        <v>0</v>
      </c>
      <c r="W26" s="211">
        <f t="shared" si="8"/>
        <v>12</v>
      </c>
      <c r="X26" s="211">
        <f t="shared" si="8"/>
        <v>0</v>
      </c>
      <c r="Y26" s="211">
        <f t="shared" si="8"/>
        <v>18</v>
      </c>
      <c r="Z26" s="284">
        <f>SUM(D26:Y26)</f>
        <v>64</v>
      </c>
    </row>
  </sheetData>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12"/>
  </sheetPr>
  <dimension ref="B1:AA26"/>
  <sheetViews>
    <sheetView showZeros="0" workbookViewId="0">
      <selection activeCell="V21" sqref="V21"/>
    </sheetView>
  </sheetViews>
  <sheetFormatPr defaultRowHeight="12.75"/>
  <cols>
    <col min="1" max="1" width="2.7109375" style="125" customWidth="1"/>
    <col min="2" max="2" width="8.85546875" style="125" customWidth="1"/>
    <col min="3" max="3" width="13" style="130"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C1" s="191" t="s">
        <v>65</v>
      </c>
      <c r="D1" s="146"/>
    </row>
    <row r="2" spans="2:27">
      <c r="C2" s="192"/>
      <c r="G2" s="146"/>
    </row>
    <row r="3" spans="2:27" s="144" customFormat="1" ht="13.5" thickBot="1">
      <c r="C3" s="195" t="s">
        <v>217</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ht="13.5" thickTop="1">
      <c r="B4" s="180" t="s">
        <v>151</v>
      </c>
      <c r="C4" s="181" t="s">
        <v>159</v>
      </c>
      <c r="D4" s="126">
        <f t="shared" ref="D4:M13" si="0">INDEX(scorematrix,MATCH($C4,renners,0),MATCH(D$3,etappes,0))</f>
        <v>0</v>
      </c>
      <c r="E4" s="126">
        <f t="shared" si="0"/>
        <v>0</v>
      </c>
      <c r="F4" s="126">
        <f t="shared" si="0"/>
        <v>0</v>
      </c>
      <c r="G4" s="126">
        <f t="shared" si="0"/>
        <v>0</v>
      </c>
      <c r="H4" s="126">
        <f t="shared" si="0"/>
        <v>0</v>
      </c>
      <c r="I4" s="126">
        <f t="shared" si="0"/>
        <v>0</v>
      </c>
      <c r="J4" s="126">
        <f t="shared" si="0"/>
        <v>0</v>
      </c>
      <c r="K4" s="126">
        <f t="shared" si="0"/>
        <v>17</v>
      </c>
      <c r="L4" s="126">
        <f t="shared" si="0"/>
        <v>24</v>
      </c>
      <c r="M4" s="126">
        <f t="shared" si="0"/>
        <v>2</v>
      </c>
      <c r="N4" s="126">
        <f t="shared" ref="N4:Y13" si="1">INDEX(scorematrix,MATCH($C4,renners,0),MATCH(N$3,etappes,0))</f>
        <v>0</v>
      </c>
      <c r="O4" s="126">
        <f t="shared" si="1"/>
        <v>0</v>
      </c>
      <c r="P4" s="126">
        <f t="shared" si="1"/>
        <v>1</v>
      </c>
      <c r="Q4" s="126">
        <f t="shared" si="1"/>
        <v>1</v>
      </c>
      <c r="R4" s="126">
        <f t="shared" si="1"/>
        <v>27</v>
      </c>
      <c r="S4" s="126">
        <f t="shared" si="1"/>
        <v>4</v>
      </c>
      <c r="T4" s="126">
        <f t="shared" si="1"/>
        <v>32</v>
      </c>
      <c r="U4" s="126">
        <f t="shared" si="1"/>
        <v>28</v>
      </c>
      <c r="V4" s="126">
        <f t="shared" si="1"/>
        <v>6</v>
      </c>
      <c r="W4" s="126">
        <f t="shared" si="1"/>
        <v>40</v>
      </c>
      <c r="X4" s="126">
        <f t="shared" si="1"/>
        <v>10</v>
      </c>
      <c r="Y4" s="126">
        <f t="shared" si="1"/>
        <v>55</v>
      </c>
      <c r="Z4" s="204">
        <f t="shared" ref="Z4:Z21" si="2">SUM(D4:Y4)</f>
        <v>247</v>
      </c>
      <c r="AA4" s="125" t="str">
        <f>C4</f>
        <v>Rodriguez</v>
      </c>
    </row>
    <row r="5" spans="2:27">
      <c r="B5" s="180" t="s">
        <v>162</v>
      </c>
      <c r="C5" s="181" t="s">
        <v>146</v>
      </c>
      <c r="D5" s="126">
        <f t="shared" si="0"/>
        <v>0</v>
      </c>
      <c r="E5" s="126">
        <f t="shared" si="0"/>
        <v>0</v>
      </c>
      <c r="F5" s="126">
        <f t="shared" si="0"/>
        <v>0</v>
      </c>
      <c r="G5" s="126">
        <f t="shared" si="0"/>
        <v>0</v>
      </c>
      <c r="H5" s="126">
        <f t="shared" si="0"/>
        <v>0</v>
      </c>
      <c r="I5" s="126">
        <f t="shared" si="0"/>
        <v>0</v>
      </c>
      <c r="J5" s="126">
        <f t="shared" si="0"/>
        <v>0</v>
      </c>
      <c r="K5" s="126">
        <f t="shared" si="0"/>
        <v>22</v>
      </c>
      <c r="L5" s="126">
        <f t="shared" si="0"/>
        <v>18</v>
      </c>
      <c r="M5" s="126">
        <f t="shared" si="0"/>
        <v>5</v>
      </c>
      <c r="N5" s="126">
        <f t="shared" si="1"/>
        <v>18</v>
      </c>
      <c r="O5" s="126">
        <f t="shared" si="1"/>
        <v>7</v>
      </c>
      <c r="P5" s="126">
        <f t="shared" si="1"/>
        <v>27</v>
      </c>
      <c r="Q5" s="126">
        <f t="shared" si="1"/>
        <v>8</v>
      </c>
      <c r="R5" s="126">
        <f t="shared" si="1"/>
        <v>28</v>
      </c>
      <c r="S5" s="126">
        <f t="shared" si="1"/>
        <v>8</v>
      </c>
      <c r="T5" s="126">
        <f t="shared" si="1"/>
        <v>39</v>
      </c>
      <c r="U5" s="126">
        <f t="shared" si="1"/>
        <v>24</v>
      </c>
      <c r="V5" s="126">
        <f t="shared" si="1"/>
        <v>9</v>
      </c>
      <c r="W5" s="126">
        <f t="shared" si="1"/>
        <v>26</v>
      </c>
      <c r="X5" s="126">
        <f t="shared" si="1"/>
        <v>7</v>
      </c>
      <c r="Y5" s="126">
        <f t="shared" si="1"/>
        <v>48</v>
      </c>
      <c r="Z5" s="204">
        <f t="shared" si="2"/>
        <v>294</v>
      </c>
      <c r="AA5" s="125" t="str">
        <f t="shared" ref="AA5:AA20" si="3">C5</f>
        <v>Contador</v>
      </c>
    </row>
    <row r="6" spans="2:27">
      <c r="B6" s="180" t="s">
        <v>163</v>
      </c>
      <c r="C6" s="181" t="s">
        <v>114</v>
      </c>
      <c r="D6" s="126">
        <f t="shared" si="0"/>
        <v>0</v>
      </c>
      <c r="E6" s="126">
        <f t="shared" si="0"/>
        <v>0</v>
      </c>
      <c r="F6" s="126">
        <f t="shared" si="0"/>
        <v>0</v>
      </c>
      <c r="G6" s="126">
        <f t="shared" si="0"/>
        <v>0.1</v>
      </c>
      <c r="H6" s="126">
        <f t="shared" si="0"/>
        <v>4</v>
      </c>
      <c r="I6" s="126">
        <f t="shared" si="0"/>
        <v>12</v>
      </c>
      <c r="J6" s="126">
        <f t="shared" si="0"/>
        <v>4</v>
      </c>
      <c r="K6" s="126">
        <f t="shared" si="0"/>
        <v>50</v>
      </c>
      <c r="L6" s="126">
        <f t="shared" si="0"/>
        <v>26</v>
      </c>
      <c r="M6" s="126">
        <f t="shared" si="0"/>
        <v>14</v>
      </c>
      <c r="N6" s="126">
        <f t="shared" si="1"/>
        <v>44</v>
      </c>
      <c r="O6" s="126">
        <f t="shared" si="1"/>
        <v>26</v>
      </c>
      <c r="P6" s="126">
        <f t="shared" si="1"/>
        <v>14</v>
      </c>
      <c r="Q6" s="126">
        <f t="shared" si="1"/>
        <v>14</v>
      </c>
      <c r="R6" s="126">
        <f t="shared" si="1"/>
        <v>50</v>
      </c>
      <c r="S6" s="126">
        <f t="shared" si="1"/>
        <v>15</v>
      </c>
      <c r="T6" s="126">
        <f t="shared" si="1"/>
        <v>50</v>
      </c>
      <c r="U6" s="126">
        <f t="shared" si="1"/>
        <v>34</v>
      </c>
      <c r="V6" s="126">
        <f t="shared" si="1"/>
        <v>15</v>
      </c>
      <c r="W6" s="126">
        <f t="shared" si="1"/>
        <v>40</v>
      </c>
      <c r="X6" s="126">
        <f t="shared" si="1"/>
        <v>14</v>
      </c>
      <c r="Y6" s="126">
        <f t="shared" si="1"/>
        <v>77</v>
      </c>
      <c r="Z6" s="204">
        <f t="shared" si="2"/>
        <v>503.1</v>
      </c>
      <c r="AA6" s="125" t="str">
        <f t="shared" si="3"/>
        <v>Froome</v>
      </c>
    </row>
    <row r="7" spans="2:27">
      <c r="B7" s="180" t="s">
        <v>156</v>
      </c>
      <c r="C7" s="181" t="s">
        <v>161</v>
      </c>
      <c r="D7" s="126">
        <f t="shared" si="0"/>
        <v>0</v>
      </c>
      <c r="E7" s="126">
        <f t="shared" si="0"/>
        <v>0</v>
      </c>
      <c r="F7" s="126">
        <f t="shared" si="0"/>
        <v>0</v>
      </c>
      <c r="G7" s="126">
        <f t="shared" si="0"/>
        <v>0</v>
      </c>
      <c r="H7" s="126">
        <f t="shared" si="0"/>
        <v>0</v>
      </c>
      <c r="I7" s="126">
        <f t="shared" si="0"/>
        <v>0</v>
      </c>
      <c r="J7" s="126">
        <f t="shared" si="0"/>
        <v>0</v>
      </c>
      <c r="K7" s="126">
        <f t="shared" si="0"/>
        <v>0</v>
      </c>
      <c r="L7" s="126">
        <f t="shared" si="0"/>
        <v>0</v>
      </c>
      <c r="M7" s="126">
        <f t="shared" si="0"/>
        <v>0</v>
      </c>
      <c r="N7" s="126">
        <f t="shared" si="1"/>
        <v>0</v>
      </c>
      <c r="O7" s="126">
        <f t="shared" si="1"/>
        <v>0</v>
      </c>
      <c r="P7" s="126">
        <f t="shared" si="1"/>
        <v>0</v>
      </c>
      <c r="Q7" s="126">
        <f t="shared" si="1"/>
        <v>10</v>
      </c>
      <c r="R7" s="126">
        <f t="shared" si="1"/>
        <v>0</v>
      </c>
      <c r="S7" s="126">
        <f t="shared" si="1"/>
        <v>0</v>
      </c>
      <c r="T7" s="126">
        <f t="shared" si="1"/>
        <v>16</v>
      </c>
      <c r="U7" s="126">
        <f t="shared" si="1"/>
        <v>31</v>
      </c>
      <c r="V7" s="126">
        <f t="shared" si="1"/>
        <v>0</v>
      </c>
      <c r="W7" s="126">
        <f t="shared" si="1"/>
        <v>0</v>
      </c>
      <c r="X7" s="126">
        <f t="shared" si="1"/>
        <v>0</v>
      </c>
      <c r="Y7" s="126">
        <f t="shared" si="1"/>
        <v>0</v>
      </c>
      <c r="Z7" s="204">
        <f t="shared" si="2"/>
        <v>57</v>
      </c>
      <c r="AA7" s="125" t="str">
        <f t="shared" si="3"/>
        <v>van Garderen</v>
      </c>
    </row>
    <row r="8" spans="2:27">
      <c r="B8" s="180" t="s">
        <v>111</v>
      </c>
      <c r="C8" s="181" t="s">
        <v>69</v>
      </c>
      <c r="D8" s="126">
        <f t="shared" si="0"/>
        <v>0</v>
      </c>
      <c r="E8" s="126">
        <f t="shared" si="0"/>
        <v>1</v>
      </c>
      <c r="F8" s="126">
        <f t="shared" si="0"/>
        <v>15</v>
      </c>
      <c r="G8" s="126">
        <f t="shared" si="0"/>
        <v>0</v>
      </c>
      <c r="H8" s="126">
        <f t="shared" si="0"/>
        <v>0</v>
      </c>
      <c r="I8" s="126">
        <f t="shared" si="0"/>
        <v>9</v>
      </c>
      <c r="J8" s="126">
        <f t="shared" si="0"/>
        <v>0</v>
      </c>
      <c r="K8" s="126">
        <f t="shared" si="0"/>
        <v>0</v>
      </c>
      <c r="L8" s="126">
        <f t="shared" si="0"/>
        <v>20</v>
      </c>
      <c r="M8" s="126">
        <f t="shared" si="0"/>
        <v>0</v>
      </c>
      <c r="N8" s="126">
        <f t="shared" si="1"/>
        <v>0</v>
      </c>
      <c r="O8" s="126">
        <f t="shared" si="1"/>
        <v>6</v>
      </c>
      <c r="P8" s="126">
        <f t="shared" si="1"/>
        <v>0</v>
      </c>
      <c r="Q8" s="126">
        <f t="shared" si="1"/>
        <v>0</v>
      </c>
      <c r="R8" s="126">
        <f t="shared" si="1"/>
        <v>0</v>
      </c>
      <c r="S8" s="126">
        <f t="shared" si="1"/>
        <v>0</v>
      </c>
      <c r="T8" s="126">
        <f t="shared" si="1"/>
        <v>0</v>
      </c>
      <c r="U8" s="126">
        <f t="shared" si="1"/>
        <v>0</v>
      </c>
      <c r="V8" s="126">
        <f t="shared" si="1"/>
        <v>0</v>
      </c>
      <c r="W8" s="126">
        <f t="shared" si="1"/>
        <v>0</v>
      </c>
      <c r="X8" s="126">
        <f t="shared" si="1"/>
        <v>0</v>
      </c>
      <c r="Y8" s="126">
        <f t="shared" si="1"/>
        <v>0</v>
      </c>
      <c r="Z8" s="204">
        <f t="shared" si="2"/>
        <v>51</v>
      </c>
      <c r="AA8" s="125" t="str">
        <f t="shared" si="3"/>
        <v>Evans</v>
      </c>
    </row>
    <row r="9" spans="2:27">
      <c r="B9" s="180" t="s">
        <v>82</v>
      </c>
      <c r="C9" s="181" t="s">
        <v>83</v>
      </c>
      <c r="D9" s="126">
        <f t="shared" si="0"/>
        <v>0</v>
      </c>
      <c r="E9" s="126">
        <f t="shared" si="0"/>
        <v>0</v>
      </c>
      <c r="F9" s="126">
        <f t="shared" si="0"/>
        <v>0</v>
      </c>
      <c r="G9" s="126">
        <f t="shared" si="0"/>
        <v>0</v>
      </c>
      <c r="H9" s="126">
        <f t="shared" si="0"/>
        <v>0</v>
      </c>
      <c r="I9" s="126">
        <f t="shared" si="0"/>
        <v>0</v>
      </c>
      <c r="J9" s="126">
        <f t="shared" si="0"/>
        <v>0</v>
      </c>
      <c r="K9" s="126">
        <f t="shared" si="0"/>
        <v>31</v>
      </c>
      <c r="L9" s="126">
        <f t="shared" si="0"/>
        <v>26</v>
      </c>
      <c r="M9" s="126">
        <f t="shared" si="0"/>
        <v>8</v>
      </c>
      <c r="N9" s="126">
        <f t="shared" si="1"/>
        <v>23</v>
      </c>
      <c r="O9" s="126">
        <f t="shared" si="1"/>
        <v>8</v>
      </c>
      <c r="P9" s="126">
        <f t="shared" si="1"/>
        <v>35</v>
      </c>
      <c r="Q9" s="126">
        <f t="shared" si="1"/>
        <v>9</v>
      </c>
      <c r="R9" s="126">
        <f t="shared" si="1"/>
        <v>27</v>
      </c>
      <c r="S9" s="126">
        <f t="shared" si="1"/>
        <v>9</v>
      </c>
      <c r="T9" s="126">
        <f t="shared" si="1"/>
        <v>22</v>
      </c>
      <c r="U9" s="126">
        <f t="shared" si="1"/>
        <v>5</v>
      </c>
      <c r="V9" s="126">
        <f t="shared" si="1"/>
        <v>5</v>
      </c>
      <c r="W9" s="126">
        <f t="shared" si="1"/>
        <v>15</v>
      </c>
      <c r="X9" s="126">
        <f t="shared" si="1"/>
        <v>5</v>
      </c>
      <c r="Y9" s="126">
        <f t="shared" si="1"/>
        <v>40</v>
      </c>
      <c r="Z9" s="204">
        <f t="shared" si="2"/>
        <v>268</v>
      </c>
      <c r="AA9" s="125" t="str">
        <f t="shared" si="3"/>
        <v>Mollema</v>
      </c>
    </row>
    <row r="10" spans="2:27">
      <c r="B10" s="180" t="s">
        <v>121</v>
      </c>
      <c r="C10" s="181" t="s">
        <v>134</v>
      </c>
      <c r="D10" s="126">
        <f t="shared" si="0"/>
        <v>0</v>
      </c>
      <c r="E10" s="126">
        <f t="shared" si="0"/>
        <v>0</v>
      </c>
      <c r="F10" s="126">
        <f t="shared" si="0"/>
        <v>0</v>
      </c>
      <c r="G10" s="126">
        <f t="shared" si="0"/>
        <v>0</v>
      </c>
      <c r="H10" s="126">
        <f t="shared" si="0"/>
        <v>0</v>
      </c>
      <c r="I10" s="126">
        <f t="shared" si="0"/>
        <v>0</v>
      </c>
      <c r="J10" s="126">
        <f t="shared" si="0"/>
        <v>0</v>
      </c>
      <c r="K10" s="126">
        <f t="shared" si="0"/>
        <v>0</v>
      </c>
      <c r="L10" s="126">
        <f t="shared" si="0"/>
        <v>0</v>
      </c>
      <c r="M10" s="126">
        <f t="shared" si="0"/>
        <v>0</v>
      </c>
      <c r="N10" s="126">
        <f t="shared" si="1"/>
        <v>0</v>
      </c>
      <c r="O10" s="126">
        <f t="shared" si="1"/>
        <v>0</v>
      </c>
      <c r="P10" s="126">
        <f t="shared" si="1"/>
        <v>0</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204">
        <f t="shared" si="2"/>
        <v>0</v>
      </c>
      <c r="AA10" s="125" t="str">
        <f t="shared" si="3"/>
        <v>van den Broeck</v>
      </c>
    </row>
    <row r="11" spans="2:27">
      <c r="B11" s="180" t="s">
        <v>129</v>
      </c>
      <c r="C11" s="181" t="s">
        <v>164</v>
      </c>
      <c r="D11" s="126">
        <f t="shared" si="0"/>
        <v>0</v>
      </c>
      <c r="E11" s="126">
        <f t="shared" si="0"/>
        <v>0</v>
      </c>
      <c r="F11" s="126">
        <f t="shared" si="0"/>
        <v>0</v>
      </c>
      <c r="G11" s="126">
        <f t="shared" si="0"/>
        <v>0</v>
      </c>
      <c r="H11" s="126">
        <f t="shared" si="0"/>
        <v>2</v>
      </c>
      <c r="I11" s="126">
        <f t="shared" si="0"/>
        <v>2</v>
      </c>
      <c r="J11" s="126">
        <f t="shared" si="0"/>
        <v>2</v>
      </c>
      <c r="K11" s="126">
        <f t="shared" si="0"/>
        <v>0</v>
      </c>
      <c r="L11" s="126">
        <f t="shared" si="0"/>
        <v>0</v>
      </c>
      <c r="M11" s="126">
        <f t="shared" si="0"/>
        <v>0</v>
      </c>
      <c r="N11" s="126">
        <f t="shared" si="1"/>
        <v>26</v>
      </c>
      <c r="O11" s="126">
        <f t="shared" si="1"/>
        <v>0</v>
      </c>
      <c r="P11" s="126">
        <f t="shared" si="1"/>
        <v>0</v>
      </c>
      <c r="Q11" s="126">
        <f t="shared" si="1"/>
        <v>0</v>
      </c>
      <c r="R11" s="126">
        <f t="shared" si="1"/>
        <v>0</v>
      </c>
      <c r="S11" s="126">
        <f t="shared" si="1"/>
        <v>11</v>
      </c>
      <c r="T11" s="126">
        <f t="shared" si="1"/>
        <v>7</v>
      </c>
      <c r="U11" s="126">
        <f t="shared" si="1"/>
        <v>0</v>
      </c>
      <c r="V11" s="126">
        <f t="shared" si="1"/>
        <v>0</v>
      </c>
      <c r="W11" s="126">
        <f t="shared" si="1"/>
        <v>0</v>
      </c>
      <c r="X11" s="126">
        <f t="shared" si="1"/>
        <v>0</v>
      </c>
      <c r="Y11" s="126">
        <f t="shared" si="1"/>
        <v>0</v>
      </c>
      <c r="Z11" s="204">
        <f t="shared" si="2"/>
        <v>50</v>
      </c>
      <c r="AA11" s="125" t="str">
        <f t="shared" si="3"/>
        <v>de Gendt</v>
      </c>
    </row>
    <row r="12" spans="2:27">
      <c r="B12" s="180" t="s">
        <v>116</v>
      </c>
      <c r="C12" s="181" t="s">
        <v>67</v>
      </c>
      <c r="D12" s="126">
        <f t="shared" si="0"/>
        <v>0</v>
      </c>
      <c r="E12" s="126">
        <f t="shared" si="0"/>
        <v>0</v>
      </c>
      <c r="F12" s="126">
        <f t="shared" si="0"/>
        <v>0</v>
      </c>
      <c r="G12" s="126">
        <f t="shared" si="0"/>
        <v>0</v>
      </c>
      <c r="H12" s="126">
        <f t="shared" si="0"/>
        <v>39</v>
      </c>
      <c r="I12" s="126">
        <f t="shared" si="0"/>
        <v>27</v>
      </c>
      <c r="J12" s="126">
        <f t="shared" si="0"/>
        <v>0</v>
      </c>
      <c r="K12" s="126">
        <f t="shared" si="0"/>
        <v>3</v>
      </c>
      <c r="L12" s="126">
        <f t="shared" si="0"/>
        <v>3</v>
      </c>
      <c r="M12" s="126">
        <f t="shared" si="0"/>
        <v>29</v>
      </c>
      <c r="N12" s="126">
        <f t="shared" si="1"/>
        <v>3</v>
      </c>
      <c r="O12" s="126">
        <f t="shared" si="1"/>
        <v>34</v>
      </c>
      <c r="P12" s="126">
        <f t="shared" si="1"/>
        <v>39</v>
      </c>
      <c r="Q12" s="126">
        <f t="shared" si="1"/>
        <v>4</v>
      </c>
      <c r="R12" s="126">
        <f t="shared" si="1"/>
        <v>4</v>
      </c>
      <c r="S12" s="126">
        <f t="shared" si="1"/>
        <v>4</v>
      </c>
      <c r="T12" s="126">
        <f t="shared" si="1"/>
        <v>4</v>
      </c>
      <c r="U12" s="126">
        <f t="shared" si="1"/>
        <v>4</v>
      </c>
      <c r="V12" s="126">
        <f t="shared" si="1"/>
        <v>4</v>
      </c>
      <c r="W12" s="126">
        <f t="shared" si="1"/>
        <v>4</v>
      </c>
      <c r="X12" s="126">
        <f t="shared" si="1"/>
        <v>30</v>
      </c>
      <c r="Y12" s="126">
        <f t="shared" si="1"/>
        <v>7</v>
      </c>
      <c r="Z12" s="204">
        <f t="shared" si="2"/>
        <v>242</v>
      </c>
      <c r="AA12" s="125" t="str">
        <f t="shared" si="3"/>
        <v>Cavendish</v>
      </c>
    </row>
    <row r="13" spans="2:27">
      <c r="B13" s="180" t="s">
        <v>124</v>
      </c>
      <c r="C13" s="181" t="s">
        <v>85</v>
      </c>
      <c r="D13" s="126">
        <f t="shared" si="0"/>
        <v>0</v>
      </c>
      <c r="E13" s="126">
        <f t="shared" si="0"/>
        <v>0</v>
      </c>
      <c r="F13" s="126">
        <f t="shared" si="0"/>
        <v>0</v>
      </c>
      <c r="G13" s="126">
        <f t="shared" si="0"/>
        <v>0</v>
      </c>
      <c r="H13" s="126">
        <f t="shared" si="0"/>
        <v>26</v>
      </c>
      <c r="I13" s="126">
        <f t="shared" si="0"/>
        <v>39</v>
      </c>
      <c r="J13" s="126">
        <f t="shared" si="0"/>
        <v>0</v>
      </c>
      <c r="K13" s="126">
        <f t="shared" si="0"/>
        <v>4</v>
      </c>
      <c r="L13" s="126">
        <f t="shared" si="0"/>
        <v>4</v>
      </c>
      <c r="M13" s="126">
        <f t="shared" si="0"/>
        <v>34</v>
      </c>
      <c r="N13" s="126">
        <f t="shared" si="1"/>
        <v>4</v>
      </c>
      <c r="O13" s="126">
        <f t="shared" si="1"/>
        <v>3</v>
      </c>
      <c r="P13" s="126">
        <f t="shared" si="1"/>
        <v>14</v>
      </c>
      <c r="Q13" s="126">
        <f t="shared" si="1"/>
        <v>3</v>
      </c>
      <c r="R13" s="126">
        <f t="shared" si="1"/>
        <v>3</v>
      </c>
      <c r="S13" s="126">
        <f t="shared" si="1"/>
        <v>3</v>
      </c>
      <c r="T13" s="126">
        <f t="shared" si="1"/>
        <v>3</v>
      </c>
      <c r="U13" s="126">
        <f t="shared" si="1"/>
        <v>3</v>
      </c>
      <c r="V13" s="126">
        <f t="shared" si="1"/>
        <v>3</v>
      </c>
      <c r="W13" s="126">
        <f t="shared" si="1"/>
        <v>3</v>
      </c>
      <c r="X13" s="126">
        <f t="shared" si="1"/>
        <v>33</v>
      </c>
      <c r="Y13" s="126">
        <f t="shared" si="1"/>
        <v>5</v>
      </c>
      <c r="Z13" s="204">
        <f t="shared" si="2"/>
        <v>187</v>
      </c>
      <c r="AA13" s="125" t="str">
        <f t="shared" si="3"/>
        <v>Greipel</v>
      </c>
    </row>
    <row r="14" spans="2:27">
      <c r="B14" s="180" t="s">
        <v>107</v>
      </c>
      <c r="C14" s="181" t="s">
        <v>108</v>
      </c>
      <c r="D14" s="126">
        <f t="shared" ref="D14:M20" si="4">INDEX(scorematrix,MATCH($C14,renners,0),MATCH(D$3,etappes,0))</f>
        <v>50</v>
      </c>
      <c r="E14" s="126">
        <f t="shared" si="4"/>
        <v>5</v>
      </c>
      <c r="F14" s="126">
        <f t="shared" si="4"/>
        <v>4</v>
      </c>
      <c r="G14" s="126">
        <f t="shared" si="4"/>
        <v>0</v>
      </c>
      <c r="H14" s="126">
        <f t="shared" si="4"/>
        <v>0</v>
      </c>
      <c r="I14" s="126">
        <f t="shared" si="4"/>
        <v>27</v>
      </c>
      <c r="J14" s="126">
        <f t="shared" si="4"/>
        <v>0</v>
      </c>
      <c r="K14" s="126">
        <f t="shared" si="4"/>
        <v>0</v>
      </c>
      <c r="L14" s="126">
        <f t="shared" si="4"/>
        <v>0</v>
      </c>
      <c r="M14" s="126">
        <f t="shared" si="4"/>
        <v>37</v>
      </c>
      <c r="N14" s="126">
        <f t="shared" ref="N14:Y20" si="5">INDEX(scorematrix,MATCH($C14,renners,0),MATCH(N$3,etappes,0))</f>
        <v>2</v>
      </c>
      <c r="O14" s="126">
        <f t="shared" si="5"/>
        <v>37</v>
      </c>
      <c r="P14" s="126">
        <f t="shared" si="5"/>
        <v>2</v>
      </c>
      <c r="Q14" s="126">
        <f t="shared" si="5"/>
        <v>2</v>
      </c>
      <c r="R14" s="126">
        <f t="shared" si="5"/>
        <v>2</v>
      </c>
      <c r="S14" s="126">
        <f t="shared" si="5"/>
        <v>2</v>
      </c>
      <c r="T14" s="126">
        <f t="shared" si="5"/>
        <v>2</v>
      </c>
      <c r="U14" s="126">
        <f t="shared" si="5"/>
        <v>2</v>
      </c>
      <c r="V14" s="126">
        <f t="shared" si="5"/>
        <v>2</v>
      </c>
      <c r="W14" s="126">
        <f t="shared" si="5"/>
        <v>2</v>
      </c>
      <c r="X14" s="126">
        <f t="shared" si="5"/>
        <v>37</v>
      </c>
      <c r="Y14" s="126">
        <f t="shared" si="5"/>
        <v>3</v>
      </c>
      <c r="Z14" s="204">
        <f t="shared" si="2"/>
        <v>218</v>
      </c>
      <c r="AA14" s="125" t="str">
        <f t="shared" si="3"/>
        <v>Kittel</v>
      </c>
    </row>
    <row r="15" spans="2:27">
      <c r="B15" s="180" t="s">
        <v>105</v>
      </c>
      <c r="C15" s="181" t="s">
        <v>106</v>
      </c>
      <c r="D15" s="126">
        <f t="shared" si="4"/>
        <v>0</v>
      </c>
      <c r="E15" s="126">
        <f t="shared" si="4"/>
        <v>34</v>
      </c>
      <c r="F15" s="126">
        <f t="shared" si="4"/>
        <v>35</v>
      </c>
      <c r="G15" s="126">
        <f t="shared" si="4"/>
        <v>0</v>
      </c>
      <c r="H15" s="126">
        <f t="shared" si="4"/>
        <v>31</v>
      </c>
      <c r="I15" s="126">
        <f t="shared" si="4"/>
        <v>35</v>
      </c>
      <c r="J15" s="126">
        <f t="shared" si="4"/>
        <v>40</v>
      </c>
      <c r="K15" s="126">
        <f t="shared" si="4"/>
        <v>5</v>
      </c>
      <c r="L15" s="126">
        <f t="shared" si="4"/>
        <v>5</v>
      </c>
      <c r="M15" s="126">
        <f t="shared" si="4"/>
        <v>29</v>
      </c>
      <c r="N15" s="126">
        <f t="shared" si="5"/>
        <v>14</v>
      </c>
      <c r="O15" s="126">
        <f t="shared" si="5"/>
        <v>31</v>
      </c>
      <c r="P15" s="126">
        <f t="shared" si="5"/>
        <v>35</v>
      </c>
      <c r="Q15" s="126">
        <f t="shared" si="5"/>
        <v>5</v>
      </c>
      <c r="R15" s="126">
        <f t="shared" si="5"/>
        <v>5</v>
      </c>
      <c r="S15" s="126">
        <f t="shared" si="5"/>
        <v>5</v>
      </c>
      <c r="T15" s="126">
        <f t="shared" si="5"/>
        <v>5</v>
      </c>
      <c r="U15" s="126">
        <f t="shared" si="5"/>
        <v>5</v>
      </c>
      <c r="V15" s="126">
        <f t="shared" si="5"/>
        <v>5</v>
      </c>
      <c r="W15" s="126">
        <f t="shared" si="5"/>
        <v>5</v>
      </c>
      <c r="X15" s="126">
        <f t="shared" si="5"/>
        <v>29</v>
      </c>
      <c r="Y15" s="126">
        <f t="shared" si="5"/>
        <v>10</v>
      </c>
      <c r="Z15" s="204">
        <f t="shared" si="2"/>
        <v>368</v>
      </c>
      <c r="AA15" s="125" t="str">
        <f t="shared" si="3"/>
        <v>Sagan</v>
      </c>
    </row>
    <row r="16" spans="2:27">
      <c r="B16" s="180" t="s">
        <v>165</v>
      </c>
      <c r="C16" s="181" t="s">
        <v>166</v>
      </c>
      <c r="D16" s="126">
        <f t="shared" si="4"/>
        <v>0</v>
      </c>
      <c r="E16" s="126">
        <f t="shared" si="4"/>
        <v>0</v>
      </c>
      <c r="F16" s="126">
        <f t="shared" si="4"/>
        <v>0</v>
      </c>
      <c r="G16" s="126">
        <f t="shared" si="4"/>
        <v>0</v>
      </c>
      <c r="H16" s="126">
        <f t="shared" si="4"/>
        <v>14</v>
      </c>
      <c r="I16" s="126">
        <f t="shared" si="4"/>
        <v>0</v>
      </c>
      <c r="J16" s="126">
        <f t="shared" si="4"/>
        <v>30</v>
      </c>
      <c r="K16" s="126">
        <f t="shared" si="4"/>
        <v>0</v>
      </c>
      <c r="L16" s="126">
        <f t="shared" si="4"/>
        <v>0</v>
      </c>
      <c r="M16" s="126">
        <f t="shared" si="4"/>
        <v>0</v>
      </c>
      <c r="N16" s="126">
        <f t="shared" si="5"/>
        <v>0</v>
      </c>
      <c r="O16" s="126">
        <f t="shared" si="5"/>
        <v>0</v>
      </c>
      <c r="P16" s="126">
        <f t="shared" si="5"/>
        <v>6</v>
      </c>
      <c r="Q16" s="126">
        <f t="shared" si="5"/>
        <v>0</v>
      </c>
      <c r="R16" s="126">
        <f t="shared" si="5"/>
        <v>0</v>
      </c>
      <c r="S16" s="126">
        <f t="shared" si="5"/>
        <v>0</v>
      </c>
      <c r="T16" s="126">
        <f t="shared" si="5"/>
        <v>0</v>
      </c>
      <c r="U16" s="126">
        <f t="shared" si="5"/>
        <v>0</v>
      </c>
      <c r="V16" s="126">
        <f t="shared" si="5"/>
        <v>0</v>
      </c>
      <c r="W16" s="126">
        <f t="shared" si="5"/>
        <v>0</v>
      </c>
      <c r="X16" s="126">
        <f t="shared" si="5"/>
        <v>0</v>
      </c>
      <c r="Y16" s="126">
        <f t="shared" si="5"/>
        <v>0</v>
      </c>
      <c r="Z16" s="204">
        <f t="shared" si="2"/>
        <v>50</v>
      </c>
      <c r="AA16" s="125" t="str">
        <f t="shared" si="3"/>
        <v>Degenkolb</v>
      </c>
    </row>
    <row r="17" spans="2:27">
      <c r="B17" s="180" t="s">
        <v>167</v>
      </c>
      <c r="C17" s="181" t="s">
        <v>169</v>
      </c>
      <c r="D17" s="126">
        <f t="shared" si="4"/>
        <v>0</v>
      </c>
      <c r="E17" s="126">
        <f t="shared" si="4"/>
        <v>0</v>
      </c>
      <c r="F17" s="126">
        <f t="shared" si="4"/>
        <v>0</v>
      </c>
      <c r="G17" s="126">
        <f t="shared" si="4"/>
        <v>0</v>
      </c>
      <c r="H17" s="126">
        <f t="shared" si="4"/>
        <v>0</v>
      </c>
      <c r="I17" s="126">
        <f t="shared" si="4"/>
        <v>0</v>
      </c>
      <c r="J17" s="126">
        <f t="shared" si="4"/>
        <v>0</v>
      </c>
      <c r="K17" s="126">
        <f t="shared" si="4"/>
        <v>0</v>
      </c>
      <c r="L17" s="126">
        <f t="shared" si="4"/>
        <v>0</v>
      </c>
      <c r="M17" s="126">
        <f t="shared" si="4"/>
        <v>0</v>
      </c>
      <c r="N17" s="126">
        <f t="shared" si="5"/>
        <v>0</v>
      </c>
      <c r="O17" s="126">
        <f t="shared" si="5"/>
        <v>0</v>
      </c>
      <c r="P17" s="126">
        <f t="shared" si="5"/>
        <v>0</v>
      </c>
      <c r="Q17" s="126">
        <f t="shared" si="5"/>
        <v>0</v>
      </c>
      <c r="R17" s="126">
        <f t="shared" si="5"/>
        <v>0</v>
      </c>
      <c r="S17" s="126">
        <f t="shared" si="5"/>
        <v>0</v>
      </c>
      <c r="T17" s="126">
        <f t="shared" si="5"/>
        <v>0</v>
      </c>
      <c r="U17" s="126">
        <f t="shared" si="5"/>
        <v>0</v>
      </c>
      <c r="V17" s="126">
        <f t="shared" si="5"/>
        <v>0</v>
      </c>
      <c r="W17" s="126">
        <f t="shared" si="5"/>
        <v>0</v>
      </c>
      <c r="X17" s="126">
        <f t="shared" si="5"/>
        <v>0</v>
      </c>
      <c r="Y17" s="126">
        <f t="shared" si="5"/>
        <v>0</v>
      </c>
      <c r="Z17" s="204">
        <f t="shared" si="2"/>
        <v>0</v>
      </c>
      <c r="AA17" s="125" t="str">
        <f t="shared" si="3"/>
        <v>Bouhanni</v>
      </c>
    </row>
    <row r="18" spans="2:27">
      <c r="B18" s="180" t="s">
        <v>113</v>
      </c>
      <c r="C18" s="181" t="s">
        <v>70</v>
      </c>
      <c r="D18" s="126">
        <f t="shared" si="4"/>
        <v>0</v>
      </c>
      <c r="E18" s="126">
        <f t="shared" si="4"/>
        <v>0</v>
      </c>
      <c r="F18" s="126">
        <f t="shared" si="4"/>
        <v>0</v>
      </c>
      <c r="G18" s="126">
        <f t="shared" si="4"/>
        <v>0</v>
      </c>
      <c r="H18" s="126">
        <f t="shared" si="4"/>
        <v>0</v>
      </c>
      <c r="I18" s="126">
        <f t="shared" si="4"/>
        <v>0</v>
      </c>
      <c r="J18" s="126">
        <f t="shared" si="4"/>
        <v>0</v>
      </c>
      <c r="K18" s="126">
        <f t="shared" si="4"/>
        <v>0</v>
      </c>
      <c r="L18" s="126">
        <f t="shared" si="4"/>
        <v>0</v>
      </c>
      <c r="M18" s="126">
        <f t="shared" si="4"/>
        <v>0</v>
      </c>
      <c r="N18" s="126">
        <f t="shared" si="5"/>
        <v>35</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0</v>
      </c>
      <c r="Y18" s="126">
        <f t="shared" si="5"/>
        <v>0</v>
      </c>
      <c r="Z18" s="204">
        <f t="shared" si="2"/>
        <v>35</v>
      </c>
      <c r="AA18" s="125" t="str">
        <f t="shared" si="3"/>
        <v>Martin</v>
      </c>
    </row>
    <row r="19" spans="2:27" s="182" customFormat="1">
      <c r="B19" s="180" t="s">
        <v>128</v>
      </c>
      <c r="C19" s="181" t="s">
        <v>72</v>
      </c>
      <c r="D19" s="126">
        <f t="shared" si="4"/>
        <v>0</v>
      </c>
      <c r="E19" s="126">
        <f t="shared" si="4"/>
        <v>28</v>
      </c>
      <c r="F19" s="126">
        <f t="shared" si="4"/>
        <v>21</v>
      </c>
      <c r="G19" s="126">
        <f t="shared" si="4"/>
        <v>0</v>
      </c>
      <c r="H19" s="126">
        <f t="shared" si="4"/>
        <v>36</v>
      </c>
      <c r="I19" s="126">
        <f t="shared" si="4"/>
        <v>23</v>
      </c>
      <c r="J19" s="126">
        <f t="shared" si="4"/>
        <v>31</v>
      </c>
      <c r="K19" s="126">
        <f t="shared" si="4"/>
        <v>1</v>
      </c>
      <c r="L19" s="126">
        <f t="shared" si="4"/>
        <v>0</v>
      </c>
      <c r="M19" s="126">
        <f t="shared" si="4"/>
        <v>0</v>
      </c>
      <c r="N19" s="126">
        <f t="shared" si="5"/>
        <v>0</v>
      </c>
      <c r="O19" s="126">
        <f t="shared" si="5"/>
        <v>0</v>
      </c>
      <c r="P19" s="126">
        <f t="shared" si="5"/>
        <v>0</v>
      </c>
      <c r="Q19" s="126">
        <f t="shared" si="5"/>
        <v>0</v>
      </c>
      <c r="R19" s="126">
        <f t="shared" si="5"/>
        <v>0</v>
      </c>
      <c r="S19" s="126">
        <f t="shared" si="5"/>
        <v>0</v>
      </c>
      <c r="T19" s="126">
        <f t="shared" si="5"/>
        <v>0</v>
      </c>
      <c r="U19" s="126">
        <f t="shared" si="5"/>
        <v>0</v>
      </c>
      <c r="V19" s="126">
        <f t="shared" si="5"/>
        <v>0</v>
      </c>
      <c r="W19" s="126">
        <f t="shared" si="5"/>
        <v>0</v>
      </c>
      <c r="X19" s="126">
        <f t="shared" si="5"/>
        <v>0</v>
      </c>
      <c r="Y19" s="126">
        <f t="shared" si="5"/>
        <v>0</v>
      </c>
      <c r="Z19" s="204">
        <f t="shared" si="2"/>
        <v>140</v>
      </c>
      <c r="AA19" s="125" t="str">
        <f t="shared" si="3"/>
        <v>Boasson Hagen</v>
      </c>
    </row>
    <row r="20" spans="2:27">
      <c r="B20" s="180" t="s">
        <v>149</v>
      </c>
      <c r="C20" s="181" t="s">
        <v>150</v>
      </c>
      <c r="D20" s="126">
        <f t="shared" si="4"/>
        <v>0</v>
      </c>
      <c r="E20" s="126">
        <f t="shared" si="4"/>
        <v>0</v>
      </c>
      <c r="F20" s="126">
        <f t="shared" si="4"/>
        <v>0</v>
      </c>
      <c r="G20" s="126">
        <f t="shared" si="4"/>
        <v>0</v>
      </c>
      <c r="H20" s="126">
        <f t="shared" si="4"/>
        <v>3</v>
      </c>
      <c r="I20" s="126">
        <f t="shared" si="4"/>
        <v>10</v>
      </c>
      <c r="J20" s="126">
        <f t="shared" si="4"/>
        <v>3</v>
      </c>
      <c r="K20" s="126">
        <f t="shared" si="4"/>
        <v>42</v>
      </c>
      <c r="L20" s="126">
        <f t="shared" si="4"/>
        <v>3</v>
      </c>
      <c r="M20" s="126">
        <f t="shared" si="4"/>
        <v>3</v>
      </c>
      <c r="N20" s="126">
        <f t="shared" si="5"/>
        <v>27</v>
      </c>
      <c r="O20" s="126">
        <f t="shared" si="5"/>
        <v>3</v>
      </c>
      <c r="P20" s="126">
        <f t="shared" si="5"/>
        <v>3</v>
      </c>
      <c r="Q20" s="126">
        <f t="shared" si="5"/>
        <v>3</v>
      </c>
      <c r="R20" s="126">
        <f t="shared" si="5"/>
        <v>11</v>
      </c>
      <c r="S20" s="126">
        <f t="shared" si="5"/>
        <v>0</v>
      </c>
      <c r="T20" s="126">
        <f t="shared" si="5"/>
        <v>0</v>
      </c>
      <c r="U20" s="126">
        <f t="shared" si="5"/>
        <v>20</v>
      </c>
      <c r="V20" s="126">
        <f t="shared" si="5"/>
        <v>0</v>
      </c>
      <c r="W20" s="126">
        <f t="shared" si="5"/>
        <v>22</v>
      </c>
      <c r="X20" s="126">
        <f t="shared" si="5"/>
        <v>0</v>
      </c>
      <c r="Y20" s="126">
        <f t="shared" si="5"/>
        <v>14</v>
      </c>
      <c r="Z20" s="204">
        <f t="shared" si="2"/>
        <v>167</v>
      </c>
      <c r="AA20" s="125" t="str">
        <f t="shared" si="3"/>
        <v>Porte</v>
      </c>
    </row>
    <row r="21" spans="2:27" s="183" customFormat="1">
      <c r="C21" s="193"/>
      <c r="D21" s="196"/>
      <c r="E21" s="196"/>
      <c r="F21" s="196"/>
      <c r="G21" s="196"/>
      <c r="H21" s="196"/>
      <c r="I21" s="196"/>
      <c r="J21" s="196"/>
      <c r="K21" s="196"/>
      <c r="L21" s="196"/>
      <c r="M21" s="196"/>
      <c r="N21" s="196"/>
      <c r="O21" s="196"/>
      <c r="P21" s="196"/>
      <c r="Q21" s="196"/>
      <c r="R21" s="196"/>
      <c r="S21" s="196"/>
      <c r="T21" s="196"/>
      <c r="U21" s="196"/>
      <c r="V21" s="196">
        <f>V25+V26</f>
        <v>10</v>
      </c>
      <c r="W21" s="196"/>
      <c r="X21" s="196"/>
      <c r="Y21" s="196"/>
      <c r="Z21" s="281">
        <f t="shared" si="2"/>
        <v>10</v>
      </c>
    </row>
    <row r="22" spans="2:27" s="129" customFormat="1">
      <c r="C22" s="194"/>
      <c r="D22" s="184">
        <f t="shared" ref="D22:Z22" si="6">SUM(D4:D21)</f>
        <v>50</v>
      </c>
      <c r="E22" s="184">
        <f t="shared" ref="E22" si="7">SUM(E4:E21)</f>
        <v>68</v>
      </c>
      <c r="F22" s="184">
        <f>SUM(F4:F21)</f>
        <v>75</v>
      </c>
      <c r="G22" s="184">
        <f t="shared" si="6"/>
        <v>0.1</v>
      </c>
      <c r="H22" s="184">
        <f t="shared" si="6"/>
        <v>155</v>
      </c>
      <c r="I22" s="184">
        <f t="shared" si="6"/>
        <v>184</v>
      </c>
      <c r="J22" s="184">
        <f t="shared" si="6"/>
        <v>110</v>
      </c>
      <c r="K22" s="184">
        <f t="shared" si="6"/>
        <v>175</v>
      </c>
      <c r="L22" s="184">
        <f t="shared" si="6"/>
        <v>129</v>
      </c>
      <c r="M22" s="184">
        <f t="shared" si="6"/>
        <v>161</v>
      </c>
      <c r="N22" s="184">
        <f t="shared" si="6"/>
        <v>196</v>
      </c>
      <c r="O22" s="184">
        <f t="shared" si="6"/>
        <v>155</v>
      </c>
      <c r="P22" s="184">
        <f t="shared" si="6"/>
        <v>176</v>
      </c>
      <c r="Q22" s="184">
        <f t="shared" si="6"/>
        <v>59</v>
      </c>
      <c r="R22" s="184">
        <f t="shared" si="6"/>
        <v>157</v>
      </c>
      <c r="S22" s="184">
        <f t="shared" si="6"/>
        <v>61</v>
      </c>
      <c r="T22" s="184">
        <f t="shared" si="6"/>
        <v>180</v>
      </c>
      <c r="U22" s="184">
        <f t="shared" si="6"/>
        <v>156</v>
      </c>
      <c r="V22" s="184">
        <f t="shared" si="6"/>
        <v>59</v>
      </c>
      <c r="W22" s="184">
        <f t="shared" si="6"/>
        <v>157</v>
      </c>
      <c r="X22" s="184">
        <f t="shared" si="6"/>
        <v>165</v>
      </c>
      <c r="Y22" s="184">
        <f t="shared" si="6"/>
        <v>259</v>
      </c>
      <c r="Z22" s="282">
        <f t="shared" si="6"/>
        <v>2887.1</v>
      </c>
    </row>
    <row r="23" spans="2:27" s="185" customFormat="1">
      <c r="C23" s="190"/>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180" t="s">
        <v>117</v>
      </c>
      <c r="C24" s="187" t="s">
        <v>84</v>
      </c>
      <c r="D24" s="211">
        <f t="shared" ref="D24:Y26" si="8">INDEX(scorematrix,MATCH($C24,renners,0),MATCH(D$3,etappes,0))</f>
        <v>0</v>
      </c>
      <c r="E24" s="211">
        <f t="shared" si="8"/>
        <v>8</v>
      </c>
      <c r="F24" s="211">
        <f t="shared" si="8"/>
        <v>22</v>
      </c>
      <c r="G24" s="211">
        <f t="shared" si="8"/>
        <v>0</v>
      </c>
      <c r="H24" s="211">
        <f t="shared" si="8"/>
        <v>0</v>
      </c>
      <c r="I24" s="211">
        <f t="shared" si="8"/>
        <v>0</v>
      </c>
      <c r="J24" s="211">
        <f t="shared" si="8"/>
        <v>9</v>
      </c>
      <c r="K24" s="211">
        <f t="shared" si="8"/>
        <v>0</v>
      </c>
      <c r="L24" s="211">
        <f t="shared" si="8"/>
        <v>0</v>
      </c>
      <c r="M24" s="211">
        <f t="shared" si="8"/>
        <v>0</v>
      </c>
      <c r="N24" s="211">
        <f t="shared" si="8"/>
        <v>0</v>
      </c>
      <c r="O24" s="211">
        <f t="shared" si="8"/>
        <v>0</v>
      </c>
      <c r="P24" s="211">
        <f t="shared" si="8"/>
        <v>0</v>
      </c>
      <c r="Q24" s="280">
        <f t="shared" si="8"/>
        <v>0</v>
      </c>
      <c r="R24" s="211">
        <f t="shared" si="8"/>
        <v>0</v>
      </c>
      <c r="S24" s="211">
        <f t="shared" si="8"/>
        <v>18</v>
      </c>
      <c r="T24" s="211">
        <f t="shared" si="8"/>
        <v>0</v>
      </c>
      <c r="U24" s="211">
        <f t="shared" si="8"/>
        <v>0</v>
      </c>
      <c r="V24" s="211">
        <f t="shared" si="8"/>
        <v>0</v>
      </c>
      <c r="W24" s="211">
        <f t="shared" si="8"/>
        <v>0</v>
      </c>
      <c r="X24" s="211">
        <f t="shared" si="8"/>
        <v>0</v>
      </c>
      <c r="Y24" s="211">
        <f t="shared" si="8"/>
        <v>0</v>
      </c>
      <c r="Z24" s="284">
        <f>SUM(D24:Y24)</f>
        <v>57</v>
      </c>
    </row>
    <row r="25" spans="2:27" s="188" customFormat="1">
      <c r="B25" s="180" t="s">
        <v>126</v>
      </c>
      <c r="C25" s="187" t="s">
        <v>112</v>
      </c>
      <c r="D25" s="211">
        <f t="shared" si="8"/>
        <v>0</v>
      </c>
      <c r="E25" s="211">
        <f t="shared" si="8"/>
        <v>0</v>
      </c>
      <c r="F25" s="211">
        <f t="shared" si="8"/>
        <v>0</v>
      </c>
      <c r="G25" s="211">
        <f t="shared" si="8"/>
        <v>0</v>
      </c>
      <c r="H25" s="211">
        <f t="shared" si="8"/>
        <v>0</v>
      </c>
      <c r="I25" s="211">
        <f t="shared" si="8"/>
        <v>0</v>
      </c>
      <c r="J25" s="211">
        <f t="shared" si="8"/>
        <v>0</v>
      </c>
      <c r="K25" s="211">
        <f t="shared" si="8"/>
        <v>34</v>
      </c>
      <c r="L25" s="211">
        <f t="shared" si="8"/>
        <v>24</v>
      </c>
      <c r="M25" s="211">
        <f t="shared" si="8"/>
        <v>9</v>
      </c>
      <c r="N25" s="211">
        <f t="shared" si="8"/>
        <v>22</v>
      </c>
      <c r="O25" s="211">
        <f t="shared" si="8"/>
        <v>17</v>
      </c>
      <c r="P25" s="211">
        <f t="shared" si="8"/>
        <v>0</v>
      </c>
      <c r="Q25" s="211">
        <f t="shared" si="8"/>
        <v>0</v>
      </c>
      <c r="R25" s="211">
        <f t="shared" si="8"/>
        <v>13</v>
      </c>
      <c r="S25" s="211">
        <f t="shared" si="8"/>
        <v>0</v>
      </c>
      <c r="T25" s="211">
        <f t="shared" si="8"/>
        <v>22</v>
      </c>
      <c r="U25" s="211">
        <f t="shared" si="8"/>
        <v>18</v>
      </c>
      <c r="V25" s="280">
        <f t="shared" si="8"/>
        <v>10</v>
      </c>
      <c r="W25" s="211">
        <f t="shared" si="8"/>
        <v>27</v>
      </c>
      <c r="X25" s="211">
        <f t="shared" si="8"/>
        <v>3</v>
      </c>
      <c r="Y25" s="211">
        <f t="shared" si="8"/>
        <v>36</v>
      </c>
      <c r="Z25" s="284">
        <f>SUM(D25:Y25)</f>
        <v>235</v>
      </c>
    </row>
    <row r="26" spans="2:27" s="188" customFormat="1">
      <c r="B26" s="180" t="s">
        <v>168</v>
      </c>
      <c r="C26" s="187" t="s">
        <v>120</v>
      </c>
      <c r="D26" s="211">
        <f t="shared" si="8"/>
        <v>0</v>
      </c>
      <c r="E26" s="211">
        <f t="shared" si="8"/>
        <v>0</v>
      </c>
      <c r="F26" s="211">
        <f t="shared" si="8"/>
        <v>0</v>
      </c>
      <c r="G26" s="211">
        <f t="shared" si="8"/>
        <v>0</v>
      </c>
      <c r="H26" s="211">
        <f t="shared" si="8"/>
        <v>0</v>
      </c>
      <c r="I26" s="211">
        <f t="shared" si="8"/>
        <v>0</v>
      </c>
      <c r="J26" s="211">
        <f t="shared" si="8"/>
        <v>0</v>
      </c>
      <c r="K26" s="211">
        <f t="shared" si="8"/>
        <v>0</v>
      </c>
      <c r="L26" s="211">
        <f t="shared" si="8"/>
        <v>14</v>
      </c>
      <c r="M26" s="211">
        <f t="shared" si="8"/>
        <v>0</v>
      </c>
      <c r="N26" s="211">
        <f t="shared" si="8"/>
        <v>0</v>
      </c>
      <c r="O26" s="211">
        <f t="shared" si="8"/>
        <v>0</v>
      </c>
      <c r="P26" s="211">
        <f t="shared" si="8"/>
        <v>0</v>
      </c>
      <c r="Q26" s="211">
        <f t="shared" si="8"/>
        <v>0</v>
      </c>
      <c r="R26" s="211">
        <f t="shared" si="8"/>
        <v>0</v>
      </c>
      <c r="S26" s="211">
        <f t="shared" si="8"/>
        <v>0</v>
      </c>
      <c r="T26" s="211">
        <f t="shared" si="8"/>
        <v>11</v>
      </c>
      <c r="U26" s="211">
        <f t="shared" si="8"/>
        <v>0</v>
      </c>
      <c r="V26" s="280">
        <f t="shared" si="8"/>
        <v>0</v>
      </c>
      <c r="W26" s="211">
        <f t="shared" si="8"/>
        <v>0</v>
      </c>
      <c r="X26" s="211">
        <f t="shared" si="8"/>
        <v>0</v>
      </c>
      <c r="Y26" s="211">
        <f t="shared" si="8"/>
        <v>12</v>
      </c>
      <c r="Z26" s="284">
        <f>SUM(D26:Y26)</f>
        <v>37</v>
      </c>
    </row>
  </sheetData>
  <phoneticPr fontId="0" type="noConversion"/>
  <pageMargins left="0.75" right="0.75" top="1" bottom="1" header="0.5" footer="0.5"/>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sheetPr enableFormatConditionsCalculation="0">
    <tabColor indexed="12"/>
  </sheetPr>
  <dimension ref="B1:AA26"/>
  <sheetViews>
    <sheetView showZeros="0" workbookViewId="0">
      <selection activeCell="U22" sqref="U22"/>
    </sheetView>
  </sheetViews>
  <sheetFormatPr defaultRowHeight="12.75"/>
  <cols>
    <col min="1" max="1" width="2.7109375" style="125" customWidth="1"/>
    <col min="2" max="2" width="8.85546875" style="125" customWidth="1"/>
    <col min="3" max="3" width="13" style="130"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43"/>
      <c r="C1" s="236" t="s">
        <v>179</v>
      </c>
    </row>
    <row r="2" spans="2:27">
      <c r="B2" s="243"/>
      <c r="C2" s="237"/>
      <c r="G2" s="146"/>
    </row>
    <row r="3" spans="2:27" s="144" customFormat="1" ht="13.5" thickBot="1">
      <c r="B3" s="245"/>
      <c r="C3" s="238" t="s">
        <v>180</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46" t="s">
        <v>181</v>
      </c>
      <c r="C4" s="239" t="s">
        <v>114</v>
      </c>
      <c r="D4" s="126">
        <f t="shared" ref="D4:M13" si="0">INDEX(scorematrix,MATCH($C4,renners,0),MATCH(D$3,etappes,0))</f>
        <v>0</v>
      </c>
      <c r="E4" s="126">
        <f t="shared" si="0"/>
        <v>0</v>
      </c>
      <c r="F4" s="126">
        <f t="shared" si="0"/>
        <v>0</v>
      </c>
      <c r="G4" s="126">
        <f t="shared" si="0"/>
        <v>0.1</v>
      </c>
      <c r="H4" s="126">
        <f t="shared" si="0"/>
        <v>4</v>
      </c>
      <c r="I4" s="126">
        <f t="shared" si="0"/>
        <v>12</v>
      </c>
      <c r="J4" s="126">
        <f t="shared" si="0"/>
        <v>4</v>
      </c>
      <c r="K4" s="126">
        <f t="shared" si="0"/>
        <v>50</v>
      </c>
      <c r="L4" s="126">
        <f t="shared" si="0"/>
        <v>26</v>
      </c>
      <c r="M4" s="126">
        <f t="shared" si="0"/>
        <v>14</v>
      </c>
      <c r="N4" s="126">
        <f t="shared" ref="N4:Y13" si="1">INDEX(scorematrix,MATCH($C4,renners,0),MATCH(N$3,etappes,0))</f>
        <v>44</v>
      </c>
      <c r="O4" s="126">
        <f t="shared" si="1"/>
        <v>26</v>
      </c>
      <c r="P4" s="126">
        <f t="shared" si="1"/>
        <v>14</v>
      </c>
      <c r="Q4" s="126">
        <f t="shared" si="1"/>
        <v>14</v>
      </c>
      <c r="R4" s="126">
        <f t="shared" si="1"/>
        <v>50</v>
      </c>
      <c r="S4" s="126">
        <f t="shared" si="1"/>
        <v>15</v>
      </c>
      <c r="T4" s="126">
        <f t="shared" si="1"/>
        <v>50</v>
      </c>
      <c r="U4" s="126">
        <f t="shared" si="1"/>
        <v>34</v>
      </c>
      <c r="V4" s="126">
        <f t="shared" si="1"/>
        <v>15</v>
      </c>
      <c r="W4" s="126">
        <f t="shared" si="1"/>
        <v>40</v>
      </c>
      <c r="X4" s="126">
        <f t="shared" si="1"/>
        <v>14</v>
      </c>
      <c r="Y4" s="126">
        <f t="shared" si="1"/>
        <v>77</v>
      </c>
      <c r="Z4" s="204">
        <f t="shared" ref="Z4:Z21" si="2">SUM(D4:Y4)</f>
        <v>503.1</v>
      </c>
      <c r="AA4" s="125" t="str">
        <f t="shared" ref="AA4:AA18" si="3">C4</f>
        <v>Froome</v>
      </c>
    </row>
    <row r="5" spans="2:27">
      <c r="B5" s="246" t="s">
        <v>182</v>
      </c>
      <c r="C5" s="240" t="s">
        <v>150</v>
      </c>
      <c r="D5" s="126">
        <f t="shared" si="0"/>
        <v>0</v>
      </c>
      <c r="E5" s="126">
        <f t="shared" si="0"/>
        <v>0</v>
      </c>
      <c r="F5" s="126">
        <f t="shared" si="0"/>
        <v>0</v>
      </c>
      <c r="G5" s="126">
        <f t="shared" si="0"/>
        <v>0</v>
      </c>
      <c r="H5" s="126">
        <f t="shared" si="0"/>
        <v>3</v>
      </c>
      <c r="I5" s="126">
        <f t="shared" si="0"/>
        <v>10</v>
      </c>
      <c r="J5" s="126">
        <f t="shared" si="0"/>
        <v>3</v>
      </c>
      <c r="K5" s="126">
        <f t="shared" si="0"/>
        <v>42</v>
      </c>
      <c r="L5" s="126">
        <f t="shared" si="0"/>
        <v>3</v>
      </c>
      <c r="M5" s="126">
        <f t="shared" si="0"/>
        <v>3</v>
      </c>
      <c r="N5" s="126">
        <f t="shared" si="1"/>
        <v>27</v>
      </c>
      <c r="O5" s="126">
        <f t="shared" si="1"/>
        <v>3</v>
      </c>
      <c r="P5" s="126">
        <f t="shared" si="1"/>
        <v>3</v>
      </c>
      <c r="Q5" s="126">
        <f t="shared" si="1"/>
        <v>3</v>
      </c>
      <c r="R5" s="126">
        <f t="shared" si="1"/>
        <v>11</v>
      </c>
      <c r="S5" s="126">
        <f t="shared" si="1"/>
        <v>0</v>
      </c>
      <c r="T5" s="126">
        <f t="shared" si="1"/>
        <v>0</v>
      </c>
      <c r="U5" s="126">
        <f t="shared" si="1"/>
        <v>20</v>
      </c>
      <c r="V5" s="126">
        <f t="shared" si="1"/>
        <v>0</v>
      </c>
      <c r="W5" s="126">
        <f t="shared" si="1"/>
        <v>22</v>
      </c>
      <c r="X5" s="126">
        <f t="shared" si="1"/>
        <v>0</v>
      </c>
      <c r="Y5" s="126">
        <f t="shared" si="1"/>
        <v>14</v>
      </c>
      <c r="Z5" s="204">
        <f t="shared" si="2"/>
        <v>167</v>
      </c>
      <c r="AA5" s="125" t="str">
        <f t="shared" si="3"/>
        <v>Porte</v>
      </c>
    </row>
    <row r="6" spans="2:27">
      <c r="B6" s="246" t="s">
        <v>105</v>
      </c>
      <c r="C6" s="240" t="s">
        <v>106</v>
      </c>
      <c r="D6" s="126">
        <f t="shared" si="0"/>
        <v>0</v>
      </c>
      <c r="E6" s="126">
        <f t="shared" si="0"/>
        <v>34</v>
      </c>
      <c r="F6" s="126">
        <f t="shared" si="0"/>
        <v>35</v>
      </c>
      <c r="G6" s="126">
        <f t="shared" si="0"/>
        <v>0</v>
      </c>
      <c r="H6" s="126">
        <f t="shared" si="0"/>
        <v>31</v>
      </c>
      <c r="I6" s="126">
        <f t="shared" si="0"/>
        <v>35</v>
      </c>
      <c r="J6" s="126">
        <f t="shared" si="0"/>
        <v>40</v>
      </c>
      <c r="K6" s="126">
        <f t="shared" si="0"/>
        <v>5</v>
      </c>
      <c r="L6" s="126">
        <f t="shared" si="0"/>
        <v>5</v>
      </c>
      <c r="M6" s="126">
        <f t="shared" si="0"/>
        <v>29</v>
      </c>
      <c r="N6" s="126">
        <f t="shared" si="1"/>
        <v>14</v>
      </c>
      <c r="O6" s="126">
        <f t="shared" si="1"/>
        <v>31</v>
      </c>
      <c r="P6" s="126">
        <f t="shared" si="1"/>
        <v>35</v>
      </c>
      <c r="Q6" s="126">
        <f t="shared" si="1"/>
        <v>5</v>
      </c>
      <c r="R6" s="126">
        <f t="shared" si="1"/>
        <v>5</v>
      </c>
      <c r="S6" s="126">
        <f t="shared" si="1"/>
        <v>5</v>
      </c>
      <c r="T6" s="126">
        <f t="shared" si="1"/>
        <v>5</v>
      </c>
      <c r="U6" s="126">
        <f t="shared" si="1"/>
        <v>5</v>
      </c>
      <c r="V6" s="126">
        <f t="shared" si="1"/>
        <v>5</v>
      </c>
      <c r="W6" s="126">
        <f t="shared" si="1"/>
        <v>5</v>
      </c>
      <c r="X6" s="126">
        <f t="shared" si="1"/>
        <v>29</v>
      </c>
      <c r="Y6" s="126">
        <f t="shared" si="1"/>
        <v>10</v>
      </c>
      <c r="Z6" s="204">
        <f t="shared" si="2"/>
        <v>368</v>
      </c>
      <c r="AA6" s="125" t="str">
        <f t="shared" si="3"/>
        <v>Sagan</v>
      </c>
    </row>
    <row r="7" spans="2:27">
      <c r="B7" s="246" t="s">
        <v>183</v>
      </c>
      <c r="C7" s="240" t="s">
        <v>134</v>
      </c>
      <c r="D7" s="126">
        <f t="shared" si="0"/>
        <v>0</v>
      </c>
      <c r="E7" s="126">
        <f t="shared" si="0"/>
        <v>0</v>
      </c>
      <c r="F7" s="126">
        <f t="shared" si="0"/>
        <v>0</v>
      </c>
      <c r="G7" s="126">
        <f t="shared" si="0"/>
        <v>0</v>
      </c>
      <c r="H7" s="126">
        <f t="shared" si="0"/>
        <v>0</v>
      </c>
      <c r="I7" s="126">
        <f t="shared" si="0"/>
        <v>0</v>
      </c>
      <c r="J7" s="126">
        <f t="shared" si="0"/>
        <v>0</v>
      </c>
      <c r="K7" s="126">
        <f t="shared" si="0"/>
        <v>0</v>
      </c>
      <c r="L7" s="126">
        <f t="shared" si="0"/>
        <v>0</v>
      </c>
      <c r="M7" s="126">
        <f t="shared" si="0"/>
        <v>0</v>
      </c>
      <c r="N7" s="126">
        <f t="shared" si="1"/>
        <v>0</v>
      </c>
      <c r="O7" s="126">
        <f t="shared" si="1"/>
        <v>0</v>
      </c>
      <c r="P7" s="126">
        <f t="shared" si="1"/>
        <v>0</v>
      </c>
      <c r="Q7" s="126">
        <f t="shared" si="1"/>
        <v>0</v>
      </c>
      <c r="R7" s="126">
        <f t="shared" si="1"/>
        <v>0</v>
      </c>
      <c r="S7" s="126">
        <f t="shared" si="1"/>
        <v>0</v>
      </c>
      <c r="T7" s="126">
        <f t="shared" si="1"/>
        <v>0</v>
      </c>
      <c r="U7" s="126">
        <f t="shared" si="1"/>
        <v>0</v>
      </c>
      <c r="V7" s="126">
        <f t="shared" si="1"/>
        <v>0</v>
      </c>
      <c r="W7" s="126">
        <f t="shared" si="1"/>
        <v>0</v>
      </c>
      <c r="X7" s="126">
        <f t="shared" si="1"/>
        <v>0</v>
      </c>
      <c r="Y7" s="126">
        <f t="shared" si="1"/>
        <v>0</v>
      </c>
      <c r="Z7" s="204">
        <f t="shared" si="2"/>
        <v>0</v>
      </c>
      <c r="AA7" s="125" t="str">
        <f t="shared" si="3"/>
        <v>van den Broeck</v>
      </c>
    </row>
    <row r="8" spans="2:27">
      <c r="B8" s="246" t="s">
        <v>118</v>
      </c>
      <c r="C8" s="240" t="s">
        <v>85</v>
      </c>
      <c r="D8" s="126">
        <f t="shared" si="0"/>
        <v>0</v>
      </c>
      <c r="E8" s="126">
        <f t="shared" si="0"/>
        <v>0</v>
      </c>
      <c r="F8" s="126">
        <f t="shared" si="0"/>
        <v>0</v>
      </c>
      <c r="G8" s="126">
        <f t="shared" si="0"/>
        <v>0</v>
      </c>
      <c r="H8" s="126">
        <f t="shared" si="0"/>
        <v>26</v>
      </c>
      <c r="I8" s="126">
        <f t="shared" si="0"/>
        <v>39</v>
      </c>
      <c r="J8" s="126">
        <f t="shared" si="0"/>
        <v>0</v>
      </c>
      <c r="K8" s="126">
        <f t="shared" si="0"/>
        <v>4</v>
      </c>
      <c r="L8" s="126">
        <f t="shared" si="0"/>
        <v>4</v>
      </c>
      <c r="M8" s="126">
        <f t="shared" si="0"/>
        <v>34</v>
      </c>
      <c r="N8" s="126">
        <f t="shared" si="1"/>
        <v>4</v>
      </c>
      <c r="O8" s="126">
        <f t="shared" si="1"/>
        <v>3</v>
      </c>
      <c r="P8" s="126">
        <f t="shared" si="1"/>
        <v>14</v>
      </c>
      <c r="Q8" s="126">
        <f t="shared" si="1"/>
        <v>3</v>
      </c>
      <c r="R8" s="126">
        <f t="shared" si="1"/>
        <v>3</v>
      </c>
      <c r="S8" s="126">
        <f t="shared" si="1"/>
        <v>3</v>
      </c>
      <c r="T8" s="126">
        <f t="shared" si="1"/>
        <v>3</v>
      </c>
      <c r="U8" s="126">
        <f t="shared" si="1"/>
        <v>3</v>
      </c>
      <c r="V8" s="126">
        <f t="shared" si="1"/>
        <v>3</v>
      </c>
      <c r="W8" s="126">
        <f t="shared" si="1"/>
        <v>3</v>
      </c>
      <c r="X8" s="126">
        <f t="shared" si="1"/>
        <v>33</v>
      </c>
      <c r="Y8" s="126">
        <f t="shared" si="1"/>
        <v>5</v>
      </c>
      <c r="Z8" s="204">
        <f t="shared" si="2"/>
        <v>187</v>
      </c>
      <c r="AA8" s="125" t="str">
        <f t="shared" si="3"/>
        <v>Greipel</v>
      </c>
    </row>
    <row r="9" spans="2:27">
      <c r="B9" s="246" t="s">
        <v>184</v>
      </c>
      <c r="C9" s="240" t="s">
        <v>69</v>
      </c>
      <c r="D9" s="126">
        <f t="shared" si="0"/>
        <v>0</v>
      </c>
      <c r="E9" s="126">
        <f t="shared" si="0"/>
        <v>1</v>
      </c>
      <c r="F9" s="126">
        <f t="shared" si="0"/>
        <v>15</v>
      </c>
      <c r="G9" s="126">
        <f t="shared" si="0"/>
        <v>0</v>
      </c>
      <c r="H9" s="126">
        <f t="shared" si="0"/>
        <v>0</v>
      </c>
      <c r="I9" s="126">
        <f t="shared" si="0"/>
        <v>9</v>
      </c>
      <c r="J9" s="126">
        <f t="shared" si="0"/>
        <v>0</v>
      </c>
      <c r="K9" s="126">
        <f t="shared" si="0"/>
        <v>0</v>
      </c>
      <c r="L9" s="126">
        <f t="shared" si="0"/>
        <v>20</v>
      </c>
      <c r="M9" s="126">
        <f t="shared" si="0"/>
        <v>0</v>
      </c>
      <c r="N9" s="126">
        <f t="shared" si="1"/>
        <v>0</v>
      </c>
      <c r="O9" s="126">
        <f t="shared" si="1"/>
        <v>6</v>
      </c>
      <c r="P9" s="126">
        <f t="shared" si="1"/>
        <v>0</v>
      </c>
      <c r="Q9" s="126">
        <f t="shared" si="1"/>
        <v>0</v>
      </c>
      <c r="R9" s="126">
        <f t="shared" si="1"/>
        <v>0</v>
      </c>
      <c r="S9" s="126">
        <f t="shared" si="1"/>
        <v>0</v>
      </c>
      <c r="T9" s="126">
        <f t="shared" si="1"/>
        <v>0</v>
      </c>
      <c r="U9" s="126">
        <f t="shared" si="1"/>
        <v>0</v>
      </c>
      <c r="V9" s="126">
        <f t="shared" si="1"/>
        <v>0</v>
      </c>
      <c r="W9" s="126">
        <f t="shared" si="1"/>
        <v>0</v>
      </c>
      <c r="X9" s="126">
        <f t="shared" si="1"/>
        <v>0</v>
      </c>
      <c r="Y9" s="126">
        <f t="shared" si="1"/>
        <v>0</v>
      </c>
      <c r="Z9" s="204">
        <f t="shared" si="2"/>
        <v>51</v>
      </c>
      <c r="AA9" s="125" t="str">
        <f t="shared" si="3"/>
        <v>Evans</v>
      </c>
    </row>
    <row r="10" spans="2:27">
      <c r="B10" s="246" t="s">
        <v>131</v>
      </c>
      <c r="C10" s="240" t="s">
        <v>132</v>
      </c>
      <c r="D10" s="126">
        <f t="shared" si="0"/>
        <v>0</v>
      </c>
      <c r="E10" s="126">
        <f t="shared" si="0"/>
        <v>5</v>
      </c>
      <c r="F10" s="126">
        <f t="shared" si="0"/>
        <v>5</v>
      </c>
      <c r="G10" s="126">
        <f t="shared" si="0"/>
        <v>0</v>
      </c>
      <c r="H10" s="126">
        <f t="shared" si="0"/>
        <v>5</v>
      </c>
      <c r="I10" s="126">
        <f t="shared" si="0"/>
        <v>5</v>
      </c>
      <c r="J10" s="126">
        <f t="shared" si="0"/>
        <v>4</v>
      </c>
      <c r="K10" s="126">
        <f t="shared" si="0"/>
        <v>4</v>
      </c>
      <c r="L10" s="126">
        <f t="shared" si="0"/>
        <v>5</v>
      </c>
      <c r="M10" s="126">
        <f t="shared" si="0"/>
        <v>5</v>
      </c>
      <c r="N10" s="126">
        <f t="shared" si="1"/>
        <v>5</v>
      </c>
      <c r="O10" s="126">
        <f t="shared" si="1"/>
        <v>5</v>
      </c>
      <c r="P10" s="126">
        <f t="shared" si="1"/>
        <v>5</v>
      </c>
      <c r="Q10" s="126">
        <f t="shared" si="1"/>
        <v>5</v>
      </c>
      <c r="R10" s="126">
        <f t="shared" si="1"/>
        <v>2</v>
      </c>
      <c r="S10" s="126">
        <f t="shared" si="1"/>
        <v>2</v>
      </c>
      <c r="T10" s="126">
        <f t="shared" si="1"/>
        <v>2</v>
      </c>
      <c r="U10" s="126">
        <f t="shared" si="1"/>
        <v>2</v>
      </c>
      <c r="V10" s="126">
        <f t="shared" si="1"/>
        <v>14</v>
      </c>
      <c r="W10" s="126">
        <f t="shared" si="1"/>
        <v>3</v>
      </c>
      <c r="X10" s="126">
        <f t="shared" si="1"/>
        <v>3</v>
      </c>
      <c r="Y10" s="126">
        <f t="shared" si="1"/>
        <v>5</v>
      </c>
      <c r="Z10" s="204">
        <f t="shared" si="2"/>
        <v>91</v>
      </c>
      <c r="AA10" s="125" t="str">
        <f t="shared" si="3"/>
        <v>Rolland</v>
      </c>
    </row>
    <row r="11" spans="2:27">
      <c r="B11" s="246" t="s">
        <v>147</v>
      </c>
      <c r="C11" s="240" t="s">
        <v>148</v>
      </c>
      <c r="D11" s="126">
        <f t="shared" si="0"/>
        <v>0</v>
      </c>
      <c r="E11" s="126">
        <f t="shared" si="0"/>
        <v>0</v>
      </c>
      <c r="F11" s="126">
        <f t="shared" si="0"/>
        <v>0</v>
      </c>
      <c r="G11" s="126">
        <f t="shared" si="0"/>
        <v>0</v>
      </c>
      <c r="H11" s="126">
        <f t="shared" si="0"/>
        <v>0</v>
      </c>
      <c r="I11" s="126">
        <f t="shared" si="0"/>
        <v>0</v>
      </c>
      <c r="J11" s="126">
        <f t="shared" si="0"/>
        <v>0</v>
      </c>
      <c r="K11" s="126">
        <f t="shared" si="0"/>
        <v>0</v>
      </c>
      <c r="L11" s="126">
        <f t="shared" si="0"/>
        <v>0</v>
      </c>
      <c r="M11" s="126">
        <f t="shared" si="0"/>
        <v>0</v>
      </c>
      <c r="N11" s="126">
        <f t="shared" si="1"/>
        <v>0</v>
      </c>
      <c r="O11" s="126">
        <f t="shared" si="1"/>
        <v>0</v>
      </c>
      <c r="P11" s="126">
        <f t="shared" si="1"/>
        <v>0</v>
      </c>
      <c r="Q11" s="126">
        <f t="shared" si="1"/>
        <v>0</v>
      </c>
      <c r="R11" s="126">
        <f t="shared" si="1"/>
        <v>0</v>
      </c>
      <c r="S11" s="126">
        <f t="shared" si="1"/>
        <v>0</v>
      </c>
      <c r="T11" s="126">
        <f t="shared" si="1"/>
        <v>0</v>
      </c>
      <c r="U11" s="126">
        <f t="shared" si="1"/>
        <v>0</v>
      </c>
      <c r="V11" s="126">
        <f t="shared" si="1"/>
        <v>0</v>
      </c>
      <c r="W11" s="126">
        <f t="shared" si="1"/>
        <v>0</v>
      </c>
      <c r="X11" s="126">
        <f t="shared" si="1"/>
        <v>0</v>
      </c>
      <c r="Y11" s="126">
        <f t="shared" si="1"/>
        <v>0</v>
      </c>
      <c r="Z11" s="204">
        <f t="shared" si="2"/>
        <v>0</v>
      </c>
      <c r="AA11" s="125" t="str">
        <f t="shared" si="3"/>
        <v>Pinot</v>
      </c>
    </row>
    <row r="12" spans="2:27">
      <c r="B12" s="246" t="s">
        <v>167</v>
      </c>
      <c r="C12" s="240" t="s">
        <v>169</v>
      </c>
      <c r="D12" s="126">
        <f t="shared" si="0"/>
        <v>0</v>
      </c>
      <c r="E12" s="126">
        <f t="shared" si="0"/>
        <v>0</v>
      </c>
      <c r="F12" s="126">
        <f t="shared" si="0"/>
        <v>0</v>
      </c>
      <c r="G12" s="126">
        <f t="shared" si="0"/>
        <v>0</v>
      </c>
      <c r="H12" s="126">
        <f t="shared" si="0"/>
        <v>0</v>
      </c>
      <c r="I12" s="126">
        <f t="shared" si="0"/>
        <v>0</v>
      </c>
      <c r="J12" s="126">
        <f t="shared" si="0"/>
        <v>0</v>
      </c>
      <c r="K12" s="126">
        <f t="shared" si="0"/>
        <v>0</v>
      </c>
      <c r="L12" s="126">
        <f t="shared" si="0"/>
        <v>0</v>
      </c>
      <c r="M12" s="126">
        <f t="shared" si="0"/>
        <v>0</v>
      </c>
      <c r="N12" s="126">
        <f t="shared" si="1"/>
        <v>0</v>
      </c>
      <c r="O12" s="126">
        <f t="shared" si="1"/>
        <v>0</v>
      </c>
      <c r="P12" s="126">
        <f t="shared" si="1"/>
        <v>0</v>
      </c>
      <c r="Q12" s="126">
        <f t="shared" si="1"/>
        <v>0</v>
      </c>
      <c r="R12" s="126">
        <f t="shared" si="1"/>
        <v>0</v>
      </c>
      <c r="S12" s="126">
        <f t="shared" si="1"/>
        <v>0</v>
      </c>
      <c r="T12" s="126">
        <f t="shared" si="1"/>
        <v>0</v>
      </c>
      <c r="U12" s="126">
        <f t="shared" si="1"/>
        <v>0</v>
      </c>
      <c r="V12" s="126">
        <f t="shared" si="1"/>
        <v>0</v>
      </c>
      <c r="W12" s="126">
        <f t="shared" si="1"/>
        <v>0</v>
      </c>
      <c r="X12" s="126">
        <f t="shared" si="1"/>
        <v>0</v>
      </c>
      <c r="Y12" s="126">
        <f t="shared" si="1"/>
        <v>0</v>
      </c>
      <c r="Z12" s="204">
        <f t="shared" si="2"/>
        <v>0</v>
      </c>
      <c r="AA12" s="125" t="str">
        <f t="shared" si="3"/>
        <v>Bouhanni</v>
      </c>
    </row>
    <row r="13" spans="2:27">
      <c r="B13" s="246" t="s">
        <v>145</v>
      </c>
      <c r="C13" s="240" t="s">
        <v>146</v>
      </c>
      <c r="D13" s="126">
        <f t="shared" si="0"/>
        <v>0</v>
      </c>
      <c r="E13" s="126">
        <f t="shared" si="0"/>
        <v>0</v>
      </c>
      <c r="F13" s="126">
        <f t="shared" si="0"/>
        <v>0</v>
      </c>
      <c r="G13" s="126">
        <f t="shared" si="0"/>
        <v>0</v>
      </c>
      <c r="H13" s="126">
        <f t="shared" si="0"/>
        <v>0</v>
      </c>
      <c r="I13" s="126">
        <f t="shared" si="0"/>
        <v>0</v>
      </c>
      <c r="J13" s="126">
        <f t="shared" si="0"/>
        <v>0</v>
      </c>
      <c r="K13" s="126">
        <f t="shared" si="0"/>
        <v>22</v>
      </c>
      <c r="L13" s="126">
        <f t="shared" si="0"/>
        <v>18</v>
      </c>
      <c r="M13" s="126">
        <f t="shared" si="0"/>
        <v>5</v>
      </c>
      <c r="N13" s="126">
        <f t="shared" si="1"/>
        <v>18</v>
      </c>
      <c r="O13" s="126">
        <f t="shared" si="1"/>
        <v>7</v>
      </c>
      <c r="P13" s="126">
        <f t="shared" si="1"/>
        <v>27</v>
      </c>
      <c r="Q13" s="126">
        <f t="shared" si="1"/>
        <v>8</v>
      </c>
      <c r="R13" s="126">
        <f t="shared" si="1"/>
        <v>28</v>
      </c>
      <c r="S13" s="126">
        <f t="shared" si="1"/>
        <v>8</v>
      </c>
      <c r="T13" s="126">
        <f t="shared" si="1"/>
        <v>39</v>
      </c>
      <c r="U13" s="126">
        <f t="shared" si="1"/>
        <v>24</v>
      </c>
      <c r="V13" s="126">
        <f t="shared" si="1"/>
        <v>9</v>
      </c>
      <c r="W13" s="126">
        <f t="shared" si="1"/>
        <v>26</v>
      </c>
      <c r="X13" s="126">
        <f t="shared" si="1"/>
        <v>7</v>
      </c>
      <c r="Y13" s="126">
        <f t="shared" si="1"/>
        <v>48</v>
      </c>
      <c r="Z13" s="204">
        <f t="shared" si="2"/>
        <v>294</v>
      </c>
      <c r="AA13" s="125" t="str">
        <f t="shared" si="3"/>
        <v>Contador</v>
      </c>
    </row>
    <row r="14" spans="2:27">
      <c r="B14" s="246" t="s">
        <v>151</v>
      </c>
      <c r="C14" s="240" t="s">
        <v>159</v>
      </c>
      <c r="D14" s="126">
        <f t="shared" ref="D14:M20" si="4">INDEX(scorematrix,MATCH($C14,renners,0),MATCH(D$3,etappes,0))</f>
        <v>0</v>
      </c>
      <c r="E14" s="126">
        <f t="shared" si="4"/>
        <v>0</v>
      </c>
      <c r="F14" s="126">
        <f t="shared" si="4"/>
        <v>0</v>
      </c>
      <c r="G14" s="126">
        <f t="shared" si="4"/>
        <v>0</v>
      </c>
      <c r="H14" s="126">
        <f t="shared" si="4"/>
        <v>0</v>
      </c>
      <c r="I14" s="126">
        <f t="shared" si="4"/>
        <v>0</v>
      </c>
      <c r="J14" s="126">
        <f t="shared" si="4"/>
        <v>0</v>
      </c>
      <c r="K14" s="126">
        <f t="shared" si="4"/>
        <v>17</v>
      </c>
      <c r="L14" s="126">
        <f t="shared" si="4"/>
        <v>24</v>
      </c>
      <c r="M14" s="126">
        <f t="shared" si="4"/>
        <v>2</v>
      </c>
      <c r="N14" s="126">
        <f t="shared" ref="N14:Y20" si="5">INDEX(scorematrix,MATCH($C14,renners,0),MATCH(N$3,etappes,0))</f>
        <v>0</v>
      </c>
      <c r="O14" s="126">
        <f t="shared" si="5"/>
        <v>0</v>
      </c>
      <c r="P14" s="126">
        <f t="shared" si="5"/>
        <v>1</v>
      </c>
      <c r="Q14" s="126">
        <f t="shared" si="5"/>
        <v>1</v>
      </c>
      <c r="R14" s="126">
        <f t="shared" si="5"/>
        <v>27</v>
      </c>
      <c r="S14" s="126">
        <f t="shared" si="5"/>
        <v>4</v>
      </c>
      <c r="T14" s="126">
        <f t="shared" si="5"/>
        <v>32</v>
      </c>
      <c r="U14" s="126">
        <f t="shared" si="5"/>
        <v>28</v>
      </c>
      <c r="V14" s="126">
        <f t="shared" si="5"/>
        <v>6</v>
      </c>
      <c r="W14" s="126">
        <f t="shared" si="5"/>
        <v>40</v>
      </c>
      <c r="X14" s="126">
        <f t="shared" si="5"/>
        <v>10</v>
      </c>
      <c r="Y14" s="126">
        <f t="shared" si="5"/>
        <v>55</v>
      </c>
      <c r="Z14" s="204">
        <f t="shared" si="2"/>
        <v>247</v>
      </c>
      <c r="AA14" s="125" t="str">
        <f t="shared" si="3"/>
        <v>Rodriguez</v>
      </c>
    </row>
    <row r="15" spans="2:27">
      <c r="B15" s="246" t="s">
        <v>177</v>
      </c>
      <c r="C15" s="240" t="s">
        <v>175</v>
      </c>
      <c r="D15" s="126">
        <f t="shared" si="4"/>
        <v>43</v>
      </c>
      <c r="E15" s="126">
        <f t="shared" si="4"/>
        <v>3</v>
      </c>
      <c r="F15" s="126">
        <f t="shared" si="4"/>
        <v>3</v>
      </c>
      <c r="G15" s="126">
        <f t="shared" si="4"/>
        <v>0</v>
      </c>
      <c r="H15" s="126">
        <f t="shared" si="4"/>
        <v>23</v>
      </c>
      <c r="I15" s="126">
        <f t="shared" si="4"/>
        <v>22</v>
      </c>
      <c r="J15" s="126">
        <f t="shared" si="4"/>
        <v>0</v>
      </c>
      <c r="K15" s="126">
        <f t="shared" si="4"/>
        <v>2</v>
      </c>
      <c r="L15" s="126">
        <f t="shared" si="4"/>
        <v>2</v>
      </c>
      <c r="M15" s="126">
        <f t="shared" si="4"/>
        <v>21</v>
      </c>
      <c r="N15" s="126">
        <f t="shared" si="5"/>
        <v>1</v>
      </c>
      <c r="O15" s="126">
        <f t="shared" si="5"/>
        <v>25</v>
      </c>
      <c r="P15" s="126">
        <f t="shared" si="5"/>
        <v>1</v>
      </c>
      <c r="Q15" s="126">
        <f t="shared" si="5"/>
        <v>1</v>
      </c>
      <c r="R15" s="126">
        <f t="shared" si="5"/>
        <v>1</v>
      </c>
      <c r="S15" s="126">
        <f t="shared" si="5"/>
        <v>1</v>
      </c>
      <c r="T15" s="126">
        <f t="shared" si="5"/>
        <v>1</v>
      </c>
      <c r="U15" s="126">
        <f t="shared" si="5"/>
        <v>1</v>
      </c>
      <c r="V15" s="126">
        <f t="shared" si="5"/>
        <v>1</v>
      </c>
      <c r="W15" s="126">
        <f t="shared" si="5"/>
        <v>1</v>
      </c>
      <c r="X15" s="126">
        <f t="shared" si="5"/>
        <v>21</v>
      </c>
      <c r="Y15" s="126">
        <f t="shared" si="5"/>
        <v>1</v>
      </c>
      <c r="Z15" s="204">
        <f t="shared" si="2"/>
        <v>175</v>
      </c>
      <c r="AA15" s="125" t="str">
        <f t="shared" si="3"/>
        <v>Kristoff</v>
      </c>
    </row>
    <row r="16" spans="2:27">
      <c r="B16" s="246" t="s">
        <v>126</v>
      </c>
      <c r="C16" s="240" t="s">
        <v>112</v>
      </c>
      <c r="D16" s="126">
        <f t="shared" si="4"/>
        <v>0</v>
      </c>
      <c r="E16" s="126">
        <f t="shared" si="4"/>
        <v>0</v>
      </c>
      <c r="F16" s="126">
        <f t="shared" si="4"/>
        <v>0</v>
      </c>
      <c r="G16" s="126">
        <f t="shared" si="4"/>
        <v>0</v>
      </c>
      <c r="H16" s="126">
        <f t="shared" si="4"/>
        <v>0</v>
      </c>
      <c r="I16" s="126">
        <f t="shared" si="4"/>
        <v>0</v>
      </c>
      <c r="J16" s="126">
        <f t="shared" si="4"/>
        <v>0</v>
      </c>
      <c r="K16" s="126">
        <f t="shared" si="4"/>
        <v>34</v>
      </c>
      <c r="L16" s="126">
        <f t="shared" si="4"/>
        <v>24</v>
      </c>
      <c r="M16" s="126">
        <f t="shared" si="4"/>
        <v>9</v>
      </c>
      <c r="N16" s="126">
        <f t="shared" si="5"/>
        <v>22</v>
      </c>
      <c r="O16" s="126">
        <f t="shared" si="5"/>
        <v>17</v>
      </c>
      <c r="P16" s="126">
        <f t="shared" si="5"/>
        <v>0</v>
      </c>
      <c r="Q16" s="126">
        <f t="shared" si="5"/>
        <v>0</v>
      </c>
      <c r="R16" s="126">
        <f t="shared" si="5"/>
        <v>13</v>
      </c>
      <c r="S16" s="126">
        <f t="shared" si="5"/>
        <v>0</v>
      </c>
      <c r="T16" s="126">
        <f t="shared" si="5"/>
        <v>22</v>
      </c>
      <c r="U16" s="126">
        <f t="shared" si="5"/>
        <v>18</v>
      </c>
      <c r="V16" s="126">
        <f t="shared" si="5"/>
        <v>10</v>
      </c>
      <c r="W16" s="126">
        <f t="shared" si="5"/>
        <v>27</v>
      </c>
      <c r="X16" s="126">
        <f t="shared" si="5"/>
        <v>3</v>
      </c>
      <c r="Y16" s="126">
        <f t="shared" si="5"/>
        <v>36</v>
      </c>
      <c r="Z16" s="204">
        <f t="shared" si="2"/>
        <v>235</v>
      </c>
      <c r="AA16" s="125" t="str">
        <f t="shared" si="3"/>
        <v>Valverde</v>
      </c>
    </row>
    <row r="17" spans="2:27" s="182" customFormat="1">
      <c r="B17" s="246" t="s">
        <v>116</v>
      </c>
      <c r="C17" s="240" t="s">
        <v>67</v>
      </c>
      <c r="D17" s="126">
        <f t="shared" si="4"/>
        <v>0</v>
      </c>
      <c r="E17" s="126">
        <f t="shared" si="4"/>
        <v>0</v>
      </c>
      <c r="F17" s="126">
        <f t="shared" si="4"/>
        <v>0</v>
      </c>
      <c r="G17" s="126">
        <f t="shared" si="4"/>
        <v>0</v>
      </c>
      <c r="H17" s="126">
        <f t="shared" si="4"/>
        <v>39</v>
      </c>
      <c r="I17" s="126">
        <f t="shared" si="4"/>
        <v>27</v>
      </c>
      <c r="J17" s="126">
        <f t="shared" si="4"/>
        <v>0</v>
      </c>
      <c r="K17" s="126">
        <f t="shared" si="4"/>
        <v>3</v>
      </c>
      <c r="L17" s="126">
        <f t="shared" si="4"/>
        <v>3</v>
      </c>
      <c r="M17" s="126">
        <f t="shared" si="4"/>
        <v>29</v>
      </c>
      <c r="N17" s="126">
        <f t="shared" si="5"/>
        <v>3</v>
      </c>
      <c r="O17" s="126">
        <f t="shared" si="5"/>
        <v>34</v>
      </c>
      <c r="P17" s="126">
        <f t="shared" si="5"/>
        <v>39</v>
      </c>
      <c r="Q17" s="126">
        <f t="shared" si="5"/>
        <v>4</v>
      </c>
      <c r="R17" s="126">
        <f t="shared" si="5"/>
        <v>4</v>
      </c>
      <c r="S17" s="126">
        <f t="shared" si="5"/>
        <v>4</v>
      </c>
      <c r="T17" s="126">
        <f t="shared" si="5"/>
        <v>4</v>
      </c>
      <c r="U17" s="126">
        <f t="shared" si="5"/>
        <v>4</v>
      </c>
      <c r="V17" s="126">
        <f t="shared" si="5"/>
        <v>4</v>
      </c>
      <c r="W17" s="126">
        <f t="shared" si="5"/>
        <v>4</v>
      </c>
      <c r="X17" s="126">
        <f t="shared" si="5"/>
        <v>30</v>
      </c>
      <c r="Y17" s="126">
        <f t="shared" si="5"/>
        <v>7</v>
      </c>
      <c r="Z17" s="204">
        <f t="shared" si="2"/>
        <v>242</v>
      </c>
      <c r="AA17" s="125" t="str">
        <f t="shared" si="3"/>
        <v>Cavendish</v>
      </c>
    </row>
    <row r="18" spans="2:27" s="182" customFormat="1">
      <c r="B18" s="246" t="s">
        <v>110</v>
      </c>
      <c r="C18" s="240" t="s">
        <v>86</v>
      </c>
      <c r="D18" s="126">
        <f t="shared" si="4"/>
        <v>0</v>
      </c>
      <c r="E18" s="126">
        <f t="shared" si="4"/>
        <v>0</v>
      </c>
      <c r="F18" s="126">
        <f t="shared" si="4"/>
        <v>0</v>
      </c>
      <c r="G18" s="126">
        <f t="shared" si="4"/>
        <v>0</v>
      </c>
      <c r="H18" s="126">
        <f t="shared" si="4"/>
        <v>0</v>
      </c>
      <c r="I18" s="126">
        <f t="shared" si="4"/>
        <v>11</v>
      </c>
      <c r="J18" s="126">
        <f t="shared" si="4"/>
        <v>0</v>
      </c>
      <c r="K18" s="126">
        <f t="shared" si="4"/>
        <v>0</v>
      </c>
      <c r="L18" s="126">
        <f t="shared" si="4"/>
        <v>0</v>
      </c>
      <c r="M18" s="126">
        <f t="shared" si="4"/>
        <v>15</v>
      </c>
      <c r="N18" s="126">
        <f t="shared" si="5"/>
        <v>0</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14</v>
      </c>
      <c r="Y18" s="126">
        <f t="shared" si="5"/>
        <v>0</v>
      </c>
      <c r="Z18" s="204">
        <f t="shared" si="2"/>
        <v>40</v>
      </c>
      <c r="AA18" s="125" t="str">
        <f t="shared" si="3"/>
        <v>Goss</v>
      </c>
    </row>
    <row r="19" spans="2:27">
      <c r="B19" s="246" t="s">
        <v>170</v>
      </c>
      <c r="C19" s="240" t="s">
        <v>166</v>
      </c>
      <c r="D19" s="126">
        <f t="shared" si="4"/>
        <v>0</v>
      </c>
      <c r="E19" s="126">
        <f t="shared" si="4"/>
        <v>0</v>
      </c>
      <c r="F19" s="126">
        <f t="shared" si="4"/>
        <v>0</v>
      </c>
      <c r="G19" s="126">
        <f t="shared" si="4"/>
        <v>0</v>
      </c>
      <c r="H19" s="126">
        <f t="shared" si="4"/>
        <v>14</v>
      </c>
      <c r="I19" s="126">
        <f t="shared" si="4"/>
        <v>0</v>
      </c>
      <c r="J19" s="126">
        <f t="shared" si="4"/>
        <v>30</v>
      </c>
      <c r="K19" s="126">
        <f t="shared" si="4"/>
        <v>0</v>
      </c>
      <c r="L19" s="126">
        <f t="shared" si="4"/>
        <v>0</v>
      </c>
      <c r="M19" s="126">
        <f t="shared" si="4"/>
        <v>0</v>
      </c>
      <c r="N19" s="126">
        <f t="shared" si="5"/>
        <v>0</v>
      </c>
      <c r="O19" s="126">
        <f t="shared" si="5"/>
        <v>0</v>
      </c>
      <c r="P19" s="126">
        <f t="shared" si="5"/>
        <v>6</v>
      </c>
      <c r="Q19" s="126">
        <f t="shared" si="5"/>
        <v>0</v>
      </c>
      <c r="R19" s="126">
        <f t="shared" si="5"/>
        <v>0</v>
      </c>
      <c r="S19" s="126">
        <f t="shared" si="5"/>
        <v>0</v>
      </c>
      <c r="T19" s="126">
        <f t="shared" si="5"/>
        <v>0</v>
      </c>
      <c r="U19" s="126">
        <f t="shared" si="5"/>
        <v>0</v>
      </c>
      <c r="V19" s="126">
        <f t="shared" si="5"/>
        <v>0</v>
      </c>
      <c r="W19" s="126">
        <f t="shared" si="5"/>
        <v>0</v>
      </c>
      <c r="X19" s="126">
        <f t="shared" si="5"/>
        <v>0</v>
      </c>
      <c r="Y19" s="126">
        <f t="shared" si="5"/>
        <v>0</v>
      </c>
      <c r="Z19" s="204">
        <f t="shared" si="2"/>
        <v>50</v>
      </c>
      <c r="AA19" s="125" t="str">
        <f>C19</f>
        <v>Degenkolb</v>
      </c>
    </row>
    <row r="20" spans="2:27" ht="13.5" thickBot="1">
      <c r="B20" s="246" t="s">
        <v>107</v>
      </c>
      <c r="C20" s="240" t="s">
        <v>108</v>
      </c>
      <c r="D20" s="126">
        <f t="shared" si="4"/>
        <v>50</v>
      </c>
      <c r="E20" s="126">
        <f t="shared" si="4"/>
        <v>5</v>
      </c>
      <c r="F20" s="126">
        <f t="shared" si="4"/>
        <v>4</v>
      </c>
      <c r="G20" s="126">
        <f t="shared" si="4"/>
        <v>0</v>
      </c>
      <c r="H20" s="126">
        <f t="shared" si="4"/>
        <v>0</v>
      </c>
      <c r="I20" s="126">
        <f t="shared" si="4"/>
        <v>27</v>
      </c>
      <c r="J20" s="126">
        <f t="shared" si="4"/>
        <v>0</v>
      </c>
      <c r="K20" s="126">
        <f t="shared" si="4"/>
        <v>0</v>
      </c>
      <c r="L20" s="126">
        <f t="shared" si="4"/>
        <v>0</v>
      </c>
      <c r="M20" s="126">
        <f t="shared" si="4"/>
        <v>37</v>
      </c>
      <c r="N20" s="126">
        <f t="shared" si="5"/>
        <v>2</v>
      </c>
      <c r="O20" s="126">
        <f t="shared" si="5"/>
        <v>37</v>
      </c>
      <c r="P20" s="126">
        <f t="shared" si="5"/>
        <v>2</v>
      </c>
      <c r="Q20" s="126">
        <f t="shared" si="5"/>
        <v>2</v>
      </c>
      <c r="R20" s="126">
        <f t="shared" si="5"/>
        <v>2</v>
      </c>
      <c r="S20" s="126">
        <f t="shared" si="5"/>
        <v>2</v>
      </c>
      <c r="T20" s="126">
        <f t="shared" si="5"/>
        <v>2</v>
      </c>
      <c r="U20" s="126">
        <f t="shared" si="5"/>
        <v>2</v>
      </c>
      <c r="V20" s="126">
        <f t="shared" si="5"/>
        <v>2</v>
      </c>
      <c r="W20" s="126">
        <f t="shared" si="5"/>
        <v>2</v>
      </c>
      <c r="X20" s="126">
        <f t="shared" si="5"/>
        <v>37</v>
      </c>
      <c r="Y20" s="126">
        <f t="shared" si="5"/>
        <v>3</v>
      </c>
      <c r="Z20" s="204">
        <f t="shared" si="2"/>
        <v>218</v>
      </c>
      <c r="AA20" s="125" t="str">
        <f>C20</f>
        <v>Kittel</v>
      </c>
    </row>
    <row r="21" spans="2:27" s="183" customFormat="1">
      <c r="B21" s="247"/>
      <c r="C21" s="241"/>
      <c r="D21" s="196"/>
      <c r="E21" s="196"/>
      <c r="F21" s="196"/>
      <c r="G21" s="196"/>
      <c r="H21" s="196"/>
      <c r="I21" s="196"/>
      <c r="J21" s="196"/>
      <c r="K21" s="196"/>
      <c r="L21" s="196"/>
      <c r="M21" s="196"/>
      <c r="N21" s="196">
        <f>N26</f>
        <v>35</v>
      </c>
      <c r="O21" s="196"/>
      <c r="P21" s="196"/>
      <c r="Q21" s="196"/>
      <c r="R21" s="196">
        <f>R24</f>
        <v>0</v>
      </c>
      <c r="S21" s="196"/>
      <c r="T21" s="196"/>
      <c r="U21" s="196">
        <f>U25</f>
        <v>5</v>
      </c>
      <c r="V21" s="196"/>
      <c r="W21" s="196"/>
      <c r="X21" s="196"/>
      <c r="Y21" s="196"/>
      <c r="Z21" s="281">
        <f t="shared" si="2"/>
        <v>40</v>
      </c>
    </row>
    <row r="22" spans="2:27" s="129" customFormat="1">
      <c r="B22" s="248"/>
      <c r="C22" s="242"/>
      <c r="D22" s="184">
        <f t="shared" ref="D22:Z22" si="6">SUM(D4:D21)</f>
        <v>93</v>
      </c>
      <c r="E22" s="184">
        <f t="shared" ref="E22" si="7">SUM(E4:E21)</f>
        <v>48</v>
      </c>
      <c r="F22" s="184">
        <f>SUM(F4:F21)</f>
        <v>62</v>
      </c>
      <c r="G22" s="184">
        <f t="shared" si="6"/>
        <v>0.1</v>
      </c>
      <c r="H22" s="184">
        <f t="shared" si="6"/>
        <v>145</v>
      </c>
      <c r="I22" s="184">
        <f t="shared" si="6"/>
        <v>197</v>
      </c>
      <c r="J22" s="184">
        <f t="shared" si="6"/>
        <v>81</v>
      </c>
      <c r="K22" s="184">
        <f t="shared" si="6"/>
        <v>183</v>
      </c>
      <c r="L22" s="184">
        <f t="shared" si="6"/>
        <v>134</v>
      </c>
      <c r="M22" s="184">
        <f t="shared" si="6"/>
        <v>203</v>
      </c>
      <c r="N22" s="184">
        <f t="shared" si="6"/>
        <v>175</v>
      </c>
      <c r="O22" s="184">
        <f t="shared" si="6"/>
        <v>194</v>
      </c>
      <c r="P22" s="184">
        <f t="shared" si="6"/>
        <v>147</v>
      </c>
      <c r="Q22" s="184">
        <f t="shared" si="6"/>
        <v>46</v>
      </c>
      <c r="R22" s="184">
        <f t="shared" si="6"/>
        <v>146</v>
      </c>
      <c r="S22" s="184">
        <f t="shared" si="6"/>
        <v>44</v>
      </c>
      <c r="T22" s="184">
        <f t="shared" si="6"/>
        <v>160</v>
      </c>
      <c r="U22" s="184">
        <f t="shared" si="6"/>
        <v>146</v>
      </c>
      <c r="V22" s="184">
        <f t="shared" si="6"/>
        <v>69</v>
      </c>
      <c r="W22" s="184">
        <f t="shared" si="6"/>
        <v>173</v>
      </c>
      <c r="X22" s="184">
        <f t="shared" si="6"/>
        <v>201</v>
      </c>
      <c r="Y22" s="184">
        <f t="shared" si="6"/>
        <v>261</v>
      </c>
      <c r="Z22" s="282">
        <f t="shared" si="6"/>
        <v>2908.1</v>
      </c>
    </row>
    <row r="23" spans="2:27" s="185" customFormat="1">
      <c r="B23" s="249"/>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246" t="s">
        <v>129</v>
      </c>
      <c r="C24" s="244" t="s">
        <v>76</v>
      </c>
      <c r="D24" s="211">
        <f t="shared" ref="D24:Y26" si="8">INDEX(scorematrix,MATCH($C24,renners,0),MATCH(D$3,etappes,0))</f>
        <v>0</v>
      </c>
      <c r="E24" s="211">
        <f t="shared" si="8"/>
        <v>0</v>
      </c>
      <c r="F24" s="211">
        <f t="shared" si="8"/>
        <v>0</v>
      </c>
      <c r="G24" s="211">
        <f t="shared" si="8"/>
        <v>0</v>
      </c>
      <c r="H24" s="211">
        <f t="shared" si="8"/>
        <v>0</v>
      </c>
      <c r="I24" s="211">
        <f t="shared" si="8"/>
        <v>0</v>
      </c>
      <c r="J24" s="211">
        <f t="shared" si="8"/>
        <v>0</v>
      </c>
      <c r="K24" s="211">
        <f t="shared" si="8"/>
        <v>0</v>
      </c>
      <c r="L24" s="211">
        <f t="shared" si="8"/>
        <v>0</v>
      </c>
      <c r="M24" s="211">
        <f t="shared" si="8"/>
        <v>0</v>
      </c>
      <c r="N24" s="211">
        <f t="shared" si="8"/>
        <v>0</v>
      </c>
      <c r="O24" s="211">
        <f t="shared" si="8"/>
        <v>0</v>
      </c>
      <c r="P24" s="211">
        <f t="shared" si="8"/>
        <v>0</v>
      </c>
      <c r="Q24" s="211">
        <f t="shared" si="8"/>
        <v>0</v>
      </c>
      <c r="R24" s="280">
        <f t="shared" si="8"/>
        <v>0</v>
      </c>
      <c r="S24" s="211">
        <f t="shared" si="8"/>
        <v>7</v>
      </c>
      <c r="T24" s="211">
        <f t="shared" si="8"/>
        <v>0</v>
      </c>
      <c r="U24" s="211">
        <f t="shared" si="8"/>
        <v>0</v>
      </c>
      <c r="V24" s="211">
        <f t="shared" si="8"/>
        <v>0</v>
      </c>
      <c r="W24" s="211">
        <f t="shared" si="8"/>
        <v>0</v>
      </c>
      <c r="X24" s="211">
        <f t="shared" si="8"/>
        <v>0</v>
      </c>
      <c r="Y24" s="211">
        <f t="shared" si="8"/>
        <v>0</v>
      </c>
      <c r="Z24" s="284">
        <f>SUM(D24:Y24)</f>
        <v>7</v>
      </c>
    </row>
    <row r="25" spans="2:27" s="188" customFormat="1">
      <c r="B25" s="246" t="s">
        <v>185</v>
      </c>
      <c r="C25" s="244" t="s">
        <v>83</v>
      </c>
      <c r="D25" s="211">
        <f t="shared" si="8"/>
        <v>0</v>
      </c>
      <c r="E25" s="211">
        <f t="shared" si="8"/>
        <v>0</v>
      </c>
      <c r="F25" s="211">
        <f t="shared" si="8"/>
        <v>0</v>
      </c>
      <c r="G25" s="211">
        <f t="shared" si="8"/>
        <v>0</v>
      </c>
      <c r="H25" s="211">
        <f t="shared" si="8"/>
        <v>0</v>
      </c>
      <c r="I25" s="211">
        <f t="shared" si="8"/>
        <v>0</v>
      </c>
      <c r="J25" s="211">
        <f t="shared" si="8"/>
        <v>0</v>
      </c>
      <c r="K25" s="211">
        <f t="shared" si="8"/>
        <v>31</v>
      </c>
      <c r="L25" s="211">
        <f t="shared" si="8"/>
        <v>26</v>
      </c>
      <c r="M25" s="211">
        <f t="shared" si="8"/>
        <v>8</v>
      </c>
      <c r="N25" s="211">
        <f t="shared" si="8"/>
        <v>23</v>
      </c>
      <c r="O25" s="211">
        <f t="shared" si="8"/>
        <v>8</v>
      </c>
      <c r="P25" s="211">
        <f t="shared" si="8"/>
        <v>35</v>
      </c>
      <c r="Q25" s="211">
        <f t="shared" si="8"/>
        <v>9</v>
      </c>
      <c r="R25" s="211">
        <f t="shared" si="8"/>
        <v>27</v>
      </c>
      <c r="S25" s="211">
        <f t="shared" si="8"/>
        <v>9</v>
      </c>
      <c r="T25" s="211">
        <f t="shared" si="8"/>
        <v>22</v>
      </c>
      <c r="U25" s="280">
        <f t="shared" si="8"/>
        <v>5</v>
      </c>
      <c r="V25" s="211">
        <f t="shared" si="8"/>
        <v>5</v>
      </c>
      <c r="W25" s="211">
        <f t="shared" si="8"/>
        <v>15</v>
      </c>
      <c r="X25" s="211">
        <f t="shared" si="8"/>
        <v>5</v>
      </c>
      <c r="Y25" s="211">
        <f t="shared" si="8"/>
        <v>40</v>
      </c>
      <c r="Z25" s="284">
        <f>SUM(D25:Y25)</f>
        <v>268</v>
      </c>
    </row>
    <row r="26" spans="2:27" s="188" customFormat="1">
      <c r="B26" s="246" t="s">
        <v>113</v>
      </c>
      <c r="C26" s="244" t="s">
        <v>70</v>
      </c>
      <c r="D26" s="211">
        <f t="shared" si="8"/>
        <v>0</v>
      </c>
      <c r="E26" s="211">
        <f t="shared" si="8"/>
        <v>0</v>
      </c>
      <c r="F26" s="211">
        <f t="shared" si="8"/>
        <v>0</v>
      </c>
      <c r="G26" s="211">
        <f t="shared" si="8"/>
        <v>0</v>
      </c>
      <c r="H26" s="211">
        <f t="shared" si="8"/>
        <v>0</v>
      </c>
      <c r="I26" s="211">
        <f t="shared" si="8"/>
        <v>0</v>
      </c>
      <c r="J26" s="211">
        <f t="shared" si="8"/>
        <v>0</v>
      </c>
      <c r="K26" s="211">
        <f t="shared" si="8"/>
        <v>0</v>
      </c>
      <c r="L26" s="211">
        <f t="shared" si="8"/>
        <v>0</v>
      </c>
      <c r="M26" s="211">
        <f t="shared" si="8"/>
        <v>0</v>
      </c>
      <c r="N26" s="280">
        <f t="shared" si="8"/>
        <v>35</v>
      </c>
      <c r="O26" s="211">
        <f t="shared" si="8"/>
        <v>0</v>
      </c>
      <c r="P26" s="211">
        <f t="shared" si="8"/>
        <v>0</v>
      </c>
      <c r="Q26" s="211">
        <f t="shared" si="8"/>
        <v>0</v>
      </c>
      <c r="R26" s="211">
        <f t="shared" si="8"/>
        <v>0</v>
      </c>
      <c r="S26" s="211">
        <f t="shared" si="8"/>
        <v>0</v>
      </c>
      <c r="T26" s="211">
        <f t="shared" si="8"/>
        <v>0</v>
      </c>
      <c r="U26" s="211">
        <f t="shared" si="8"/>
        <v>0</v>
      </c>
      <c r="V26" s="211">
        <f t="shared" si="8"/>
        <v>0</v>
      </c>
      <c r="W26" s="211">
        <f t="shared" si="8"/>
        <v>0</v>
      </c>
      <c r="X26" s="211">
        <f t="shared" si="8"/>
        <v>0</v>
      </c>
      <c r="Y26" s="211">
        <f t="shared" si="8"/>
        <v>0</v>
      </c>
      <c r="Z26" s="284">
        <f>SUM(D26:Y26)</f>
        <v>35</v>
      </c>
    </row>
  </sheetData>
  <phoneticPr fontId="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sheetPr enableFormatConditionsCalculation="0">
    <tabColor indexed="39"/>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19"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1" t="s">
        <v>64</v>
      </c>
    </row>
    <row r="2" spans="3:27">
      <c r="F2" s="3"/>
    </row>
    <row r="3" spans="3:27" s="4" customFormat="1" ht="13.5" thickBot="1">
      <c r="C3" s="23"/>
      <c r="D3" s="9">
        <f>Score!C1</f>
        <v>1</v>
      </c>
      <c r="E3" s="9">
        <f>Score!E1</f>
        <v>3</v>
      </c>
      <c r="F3" s="9">
        <f>Score!F1</f>
        <v>4</v>
      </c>
      <c r="G3" s="9">
        <f>Score!G1</f>
        <v>5</v>
      </c>
      <c r="H3" s="9">
        <f>Score!H1</f>
        <v>6</v>
      </c>
      <c r="I3" s="9">
        <f>Score!I1</f>
        <v>7</v>
      </c>
      <c r="J3" s="9">
        <f>Score!J1</f>
        <v>8</v>
      </c>
      <c r="K3" s="9">
        <f>Score!K1</f>
        <v>9</v>
      </c>
      <c r="L3" s="9">
        <f>Score!L1</f>
        <v>10</v>
      </c>
      <c r="M3" s="9">
        <f>Score!M1</f>
        <v>11</v>
      </c>
      <c r="N3" s="9">
        <f>Score!N1</f>
        <v>12</v>
      </c>
      <c r="O3" s="9">
        <f>Score!O1</f>
        <v>13</v>
      </c>
      <c r="P3" s="9">
        <f>Score!P1</f>
        <v>14</v>
      </c>
      <c r="Q3" s="9">
        <f>Score!Q1</f>
        <v>15</v>
      </c>
      <c r="R3" s="9">
        <f>Score!R1</f>
        <v>16</v>
      </c>
      <c r="S3" s="9">
        <f>Score!S1</f>
        <v>17</v>
      </c>
      <c r="T3" s="9">
        <f>Score!T1</f>
        <v>18</v>
      </c>
      <c r="U3" s="9">
        <f>Score!U1</f>
        <v>19</v>
      </c>
      <c r="V3" s="9">
        <f>Score!V1</f>
        <v>20</v>
      </c>
      <c r="W3" s="9">
        <f>Score!W1</f>
        <v>21</v>
      </c>
      <c r="X3" s="9" t="e">
        <f>Score!#REF!</f>
        <v>#REF!</v>
      </c>
      <c r="Y3" s="9" t="s">
        <v>2</v>
      </c>
      <c r="Z3" s="7"/>
    </row>
    <row r="4" spans="3:27" ht="13.5" thickTop="1">
      <c r="C4" t="s">
        <v>27</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s="19" t="s">
        <v>28</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29</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50</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s="19" t="s">
        <v>51</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52</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53</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s="44" t="s">
        <v>54</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55</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56</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57</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58</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59</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60</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61</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62</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63</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76" customFormat="1">
      <c r="D21" s="77"/>
      <c r="E21" s="78"/>
      <c r="F21" s="77"/>
      <c r="G21" s="77"/>
      <c r="H21" s="77"/>
      <c r="I21" s="77"/>
      <c r="J21" s="77"/>
      <c r="K21" s="77"/>
      <c r="L21" s="77"/>
      <c r="M21" s="77"/>
      <c r="N21" s="77"/>
      <c r="O21" s="77"/>
      <c r="P21" s="77"/>
      <c r="Q21" s="77"/>
      <c r="R21" s="77"/>
      <c r="S21" s="77"/>
      <c r="T21" s="77"/>
      <c r="U21" s="77"/>
      <c r="V21" s="77"/>
      <c r="W21" s="77"/>
      <c r="X21" s="77"/>
      <c r="Y21" s="77"/>
      <c r="Z21" s="81"/>
    </row>
    <row r="22" spans="3:27" s="1" customFormat="1">
      <c r="C22"/>
      <c r="D22" s="74" t="e">
        <f t="shared" ref="D22:Z22" si="2">SUM(D4:D21)</f>
        <v>#N/A</v>
      </c>
      <c r="E22" s="74" t="e">
        <f t="shared" si="2"/>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5" t="e">
        <f t="shared" si="2"/>
        <v>#N/A</v>
      </c>
    </row>
    <row r="23" spans="3:27" s="58" customFormat="1">
      <c r="C23"/>
      <c r="D23" s="59"/>
      <c r="E23" s="59"/>
      <c r="F23" s="54"/>
      <c r="G23" s="59"/>
      <c r="H23" s="59"/>
      <c r="I23" s="59"/>
      <c r="J23" s="59"/>
      <c r="K23" s="59"/>
      <c r="L23" s="59"/>
      <c r="M23" s="59"/>
      <c r="N23" s="59"/>
      <c r="O23" s="59"/>
      <c r="P23" s="59"/>
      <c r="Q23" s="59"/>
      <c r="R23" s="59"/>
      <c r="S23" s="59"/>
      <c r="T23" s="59"/>
      <c r="U23" s="59"/>
      <c r="V23" s="59"/>
      <c r="W23" s="59"/>
      <c r="X23" s="59"/>
      <c r="Y23" s="59"/>
      <c r="Z23" s="67"/>
    </row>
    <row r="24" spans="3:27" s="70" customFormat="1">
      <c r="C24" s="38"/>
      <c r="D24" s="106" t="e">
        <f>VLOOKUP($C24,Score!$B$2:$X$71,2,0)</f>
        <v>#N/A</v>
      </c>
      <c r="E24" s="106" t="e">
        <f>VLOOKUP($C24,Score!$B$2:$X$71,2,0)</f>
        <v>#N/A</v>
      </c>
      <c r="F24" s="106" t="e">
        <f>VLOOKUP($C24,Score!$B$2:$X$71,2,0)</f>
        <v>#N/A</v>
      </c>
      <c r="G24" s="106" t="e">
        <f>VLOOKUP($C24,Score!$B$2:$X$71,2,0)</f>
        <v>#N/A</v>
      </c>
      <c r="H24" s="106" t="e">
        <f>VLOOKUP($C24,Score!$B$2:$X$71,2,0)</f>
        <v>#N/A</v>
      </c>
      <c r="I24" s="106" t="e">
        <f>VLOOKUP($C24,Score!$B$2:$X$71,2,0)</f>
        <v>#N/A</v>
      </c>
      <c r="J24" s="106" t="e">
        <f>VLOOKUP($C24,Score!$B$2:$X$71,2,0)</f>
        <v>#N/A</v>
      </c>
      <c r="K24" s="106" t="e">
        <f>VLOOKUP($C24,Score!$B$2:$X$71,2,0)</f>
        <v>#N/A</v>
      </c>
      <c r="L24" s="106" t="e">
        <f>VLOOKUP($C24,Score!$B$2:$X$71,2,0)</f>
        <v>#N/A</v>
      </c>
      <c r="M24" s="106" t="e">
        <f>VLOOKUP($C24,Score!$B$2:$X$71,2,0)</f>
        <v>#N/A</v>
      </c>
      <c r="N24" s="106" t="e">
        <f>VLOOKUP($C24,Score!$B$2:$X$71,2,0)</f>
        <v>#N/A</v>
      </c>
      <c r="O24" s="106" t="e">
        <f>VLOOKUP($C24,Score!$B$2:$X$71,2,0)</f>
        <v>#N/A</v>
      </c>
      <c r="P24" s="106" t="e">
        <f>VLOOKUP($C24,Score!$B$2:$X$71,2,0)</f>
        <v>#N/A</v>
      </c>
      <c r="Q24" s="106" t="e">
        <f>VLOOKUP($C24,Score!$B$2:$X$71,2,0)</f>
        <v>#N/A</v>
      </c>
      <c r="R24" s="106" t="e">
        <f>VLOOKUP($C24,Score!$B$2:$X$71,2,0)</f>
        <v>#N/A</v>
      </c>
      <c r="S24" s="106" t="e">
        <f>VLOOKUP($C24,Score!$B$2:$X$71,2,0)</f>
        <v>#N/A</v>
      </c>
      <c r="T24" s="106" t="e">
        <f>VLOOKUP($C24,Score!$B$2:$X$71,2,0)</f>
        <v>#N/A</v>
      </c>
      <c r="U24" s="106" t="e">
        <f>VLOOKUP($C24,Score!$B$2:$X$71,2,0)</f>
        <v>#N/A</v>
      </c>
      <c r="V24" s="106" t="e">
        <f>VLOOKUP($C24,Score!$B$2:$X$71,2,0)</f>
        <v>#N/A</v>
      </c>
      <c r="W24" s="106" t="e">
        <f>VLOOKUP($C24,Score!$B$2:$X$71,2,0)</f>
        <v>#N/A</v>
      </c>
      <c r="X24" s="106" t="e">
        <f>VLOOKUP($C24,Score!$B$2:$X$71,2,0)</f>
        <v>#N/A</v>
      </c>
      <c r="Y24" s="106" t="e">
        <f>VLOOKUP($C24,Score!$B$2:$X$71,2,0)</f>
        <v>#N/A</v>
      </c>
      <c r="Z24" s="106" t="e">
        <f>VLOOKUP($C24,Score!$B$2:$X$71,2,0)</f>
        <v>#N/A</v>
      </c>
    </row>
    <row r="25" spans="3:27" s="70" customFormat="1">
      <c r="C25" s="38"/>
      <c r="D25" s="106" t="e">
        <f>VLOOKUP($C25,Score!$B$2:$X$71,2,0)</f>
        <v>#N/A</v>
      </c>
      <c r="E25" s="106" t="e">
        <f>VLOOKUP($C25,Score!$B$2:$X$71,2,0)</f>
        <v>#N/A</v>
      </c>
      <c r="F25" s="106" t="e">
        <f>VLOOKUP($C25,Score!$B$2:$X$71,2,0)</f>
        <v>#N/A</v>
      </c>
      <c r="G25" s="106" t="e">
        <f>VLOOKUP($C25,Score!$B$2:$X$71,2,0)</f>
        <v>#N/A</v>
      </c>
      <c r="H25" s="106" t="e">
        <f>VLOOKUP($C25,Score!$B$2:$X$71,2,0)</f>
        <v>#N/A</v>
      </c>
      <c r="I25" s="106" t="e">
        <f>VLOOKUP($C25,Score!$B$2:$X$71,2,0)</f>
        <v>#N/A</v>
      </c>
      <c r="J25" s="106" t="e">
        <f>VLOOKUP($C25,Score!$B$2:$X$71,2,0)</f>
        <v>#N/A</v>
      </c>
      <c r="K25" s="106" t="e">
        <f>VLOOKUP($C25,Score!$B$2:$X$71,2,0)</f>
        <v>#N/A</v>
      </c>
      <c r="L25" s="106" t="e">
        <f>VLOOKUP($C25,Score!$B$2:$X$71,2,0)</f>
        <v>#N/A</v>
      </c>
      <c r="M25" s="106" t="e">
        <f>VLOOKUP($C25,Score!$B$2:$X$71,2,0)</f>
        <v>#N/A</v>
      </c>
      <c r="N25" s="106" t="e">
        <f>VLOOKUP($C25,Score!$B$2:$X$71,2,0)</f>
        <v>#N/A</v>
      </c>
      <c r="O25" s="106" t="e">
        <f>VLOOKUP($C25,Score!$B$2:$X$71,2,0)</f>
        <v>#N/A</v>
      </c>
      <c r="P25" s="106" t="e">
        <f>VLOOKUP($C25,Score!$B$2:$X$71,2,0)</f>
        <v>#N/A</v>
      </c>
      <c r="Q25" s="106" t="e">
        <f>VLOOKUP($C25,Score!$B$2:$X$71,2,0)</f>
        <v>#N/A</v>
      </c>
      <c r="R25" s="106" t="e">
        <f>VLOOKUP($C25,Score!$B$2:$X$71,2,0)</f>
        <v>#N/A</v>
      </c>
      <c r="S25" s="106" t="e">
        <f>VLOOKUP($C25,Score!$B$2:$X$71,2,0)</f>
        <v>#N/A</v>
      </c>
      <c r="T25" s="106" t="e">
        <f>VLOOKUP($C25,Score!$B$2:$X$71,2,0)</f>
        <v>#N/A</v>
      </c>
      <c r="U25" s="106" t="e">
        <f>VLOOKUP($C25,Score!$B$2:$X$71,2,0)</f>
        <v>#N/A</v>
      </c>
      <c r="V25" s="106" t="e">
        <f>VLOOKUP($C25,Score!$B$2:$X$71,2,0)</f>
        <v>#N/A</v>
      </c>
      <c r="W25" s="106" t="e">
        <f>VLOOKUP($C25,Score!$B$2:$X$71,2,0)</f>
        <v>#N/A</v>
      </c>
      <c r="X25" s="106" t="e">
        <f>VLOOKUP($C25,Score!$B$2:$X$71,2,0)</f>
        <v>#N/A</v>
      </c>
      <c r="Y25" s="106" t="e">
        <f>VLOOKUP($C25,Score!$B$2:$X$71,2,0)</f>
        <v>#N/A</v>
      </c>
      <c r="Z25" s="106" t="e">
        <f>VLOOKUP($C25,Score!$B$2:$X$71,2,0)</f>
        <v>#N/A</v>
      </c>
    </row>
    <row r="26" spans="3:27" s="70" customFormat="1">
      <c r="C26" s="38"/>
      <c r="D26" s="106" t="e">
        <f>VLOOKUP($C26,Score!$B$2:$X$71,2,0)</f>
        <v>#N/A</v>
      </c>
      <c r="E26" s="106" t="e">
        <f>VLOOKUP($C26,Score!$B$2:$X$71,2,0)</f>
        <v>#N/A</v>
      </c>
      <c r="F26" s="106" t="e">
        <f>VLOOKUP($C26,Score!$B$2:$X$71,2,0)</f>
        <v>#N/A</v>
      </c>
      <c r="G26" s="106" t="e">
        <f>VLOOKUP($C26,Score!$B$2:$X$71,2,0)</f>
        <v>#N/A</v>
      </c>
      <c r="H26" s="106" t="e">
        <f>VLOOKUP($C26,Score!$B$2:$X$71,2,0)</f>
        <v>#N/A</v>
      </c>
      <c r="I26" s="106" t="e">
        <f>VLOOKUP($C26,Score!$B$2:$X$71,2,0)</f>
        <v>#N/A</v>
      </c>
      <c r="J26" s="106" t="e">
        <f>VLOOKUP($C26,Score!$B$2:$X$71,2,0)</f>
        <v>#N/A</v>
      </c>
      <c r="K26" s="106" t="e">
        <f>VLOOKUP($C26,Score!$B$2:$X$71,2,0)</f>
        <v>#N/A</v>
      </c>
      <c r="L26" s="106" t="e">
        <f>VLOOKUP($C26,Score!$B$2:$X$71,2,0)</f>
        <v>#N/A</v>
      </c>
      <c r="M26" s="106" t="e">
        <f>VLOOKUP($C26,Score!$B$2:$X$71,2,0)</f>
        <v>#N/A</v>
      </c>
      <c r="N26" s="106" t="e">
        <f>VLOOKUP($C26,Score!$B$2:$X$71,2,0)</f>
        <v>#N/A</v>
      </c>
      <c r="O26" s="106" t="e">
        <f>VLOOKUP($C26,Score!$B$2:$X$71,2,0)</f>
        <v>#N/A</v>
      </c>
      <c r="P26" s="106" t="e">
        <f>VLOOKUP($C26,Score!$B$2:$X$71,2,0)</f>
        <v>#N/A</v>
      </c>
      <c r="Q26" s="106" t="e">
        <f>VLOOKUP($C26,Score!$B$2:$X$71,2,0)</f>
        <v>#N/A</v>
      </c>
      <c r="R26" s="106" t="e">
        <f>VLOOKUP($C26,Score!$B$2:$X$71,2,0)</f>
        <v>#N/A</v>
      </c>
      <c r="S26" s="106" t="e">
        <f>VLOOKUP($C26,Score!$B$2:$X$71,2,0)</f>
        <v>#N/A</v>
      </c>
      <c r="T26" s="106" t="e">
        <f>VLOOKUP($C26,Score!$B$2:$X$71,2,0)</f>
        <v>#N/A</v>
      </c>
      <c r="U26" s="106" t="e">
        <f>VLOOKUP($C26,Score!$B$2:$X$71,2,0)</f>
        <v>#N/A</v>
      </c>
      <c r="V26" s="106" t="e">
        <f>VLOOKUP($C26,Score!$B$2:$X$71,2,0)</f>
        <v>#N/A</v>
      </c>
      <c r="W26" s="106" t="e">
        <f>VLOOKUP($C26,Score!$B$2:$X$71,2,0)</f>
        <v>#N/A</v>
      </c>
      <c r="X26" s="106" t="e">
        <f>VLOOKUP($C26,Score!$B$2:$X$71,2,0)</f>
        <v>#N/A</v>
      </c>
      <c r="Y26" s="106" t="e">
        <f>VLOOKUP($C26,Score!$B$2:$X$71,2,0)</f>
        <v>#N/A</v>
      </c>
      <c r="Z26" s="106" t="e">
        <f>VLOOKUP($C26,Score!$B$2:$X$71,2,0)</f>
        <v>#N/A</v>
      </c>
    </row>
    <row r="27" spans="3:27" s="56" customFormat="1">
      <c r="C27" s="29"/>
      <c r="D27" s="45"/>
      <c r="E27" s="45"/>
      <c r="F27" s="46"/>
      <c r="G27" s="45"/>
      <c r="H27" s="45"/>
      <c r="I27" s="45"/>
      <c r="J27" s="45"/>
      <c r="K27" s="45"/>
      <c r="L27" s="45"/>
      <c r="M27" s="45"/>
      <c r="N27" s="45"/>
      <c r="Z27" s="49"/>
    </row>
    <row r="28" spans="3:27" s="56" customFormat="1">
      <c r="C28" s="29"/>
      <c r="D28" s="45"/>
      <c r="E28" s="45"/>
      <c r="F28" s="46"/>
      <c r="G28" s="45"/>
      <c r="H28" s="45"/>
      <c r="I28" s="45"/>
      <c r="J28" s="45"/>
      <c r="K28" s="45"/>
      <c r="L28" s="45"/>
      <c r="M28" s="45"/>
      <c r="N28" s="45"/>
      <c r="Z28" s="49"/>
    </row>
    <row r="29" spans="3:27" s="56" customFormat="1">
      <c r="C29" s="29"/>
      <c r="D29" s="45"/>
      <c r="E29" s="45"/>
      <c r="F29" s="46"/>
      <c r="G29" s="45"/>
      <c r="H29" s="45"/>
      <c r="I29" s="45"/>
      <c r="J29" s="45"/>
      <c r="K29" s="45"/>
      <c r="L29" s="45"/>
      <c r="M29" s="45"/>
      <c r="N29" s="45"/>
      <c r="Z29" s="49"/>
    </row>
    <row r="30" spans="3:27" s="56" customFormat="1">
      <c r="C30" s="19"/>
      <c r="D30" s="45"/>
      <c r="E30" s="45"/>
      <c r="F30" s="46"/>
      <c r="G30" s="45"/>
      <c r="H30" s="45"/>
      <c r="I30" s="45"/>
      <c r="J30" s="45"/>
      <c r="K30" s="45"/>
      <c r="L30" s="45"/>
      <c r="M30" s="45"/>
      <c r="N30" s="45"/>
      <c r="Z30" s="49"/>
    </row>
    <row r="31" spans="3:27" s="56" customFormat="1">
      <c r="C31" s="19"/>
      <c r="D31" s="45"/>
      <c r="E31" s="45"/>
      <c r="F31" s="46"/>
      <c r="G31" s="45"/>
      <c r="H31" s="45"/>
      <c r="I31" s="45"/>
      <c r="J31" s="45"/>
      <c r="K31" s="45"/>
      <c r="L31" s="45"/>
      <c r="M31" s="45"/>
      <c r="N31" s="45"/>
      <c r="Z31" s="49"/>
    </row>
    <row r="32" spans="3:27" s="14" customFormat="1">
      <c r="C32" s="19"/>
      <c r="D32" s="10"/>
      <c r="E32" s="10"/>
      <c r="F32" s="11"/>
      <c r="G32" s="12"/>
      <c r="H32" s="12"/>
      <c r="I32" s="12"/>
      <c r="J32" s="12"/>
      <c r="K32" s="12"/>
      <c r="L32" s="12"/>
      <c r="M32" s="12"/>
      <c r="N32" s="12"/>
      <c r="O32" s="13"/>
      <c r="Z32" s="15"/>
    </row>
    <row r="33" spans="3:26" s="14" customFormat="1">
      <c r="C33" s="19"/>
      <c r="D33" s="10"/>
      <c r="E33" s="10"/>
      <c r="F33" s="11"/>
      <c r="G33" s="12"/>
      <c r="H33" s="12"/>
      <c r="I33" s="12"/>
      <c r="J33" s="12"/>
      <c r="K33" s="12"/>
      <c r="L33" s="12"/>
      <c r="M33" s="12"/>
      <c r="N33" s="12"/>
      <c r="O33" s="13"/>
      <c r="Z33" s="15"/>
    </row>
    <row r="34" spans="3:26" s="14" customFormat="1">
      <c r="C34" s="19"/>
      <c r="D34" s="10"/>
      <c r="E34" s="10"/>
      <c r="F34" s="11"/>
      <c r="G34" s="12"/>
      <c r="H34" s="12"/>
      <c r="I34" s="12"/>
      <c r="J34" s="12"/>
      <c r="K34" s="12"/>
      <c r="L34" s="12"/>
      <c r="M34" s="12"/>
      <c r="N34" s="12"/>
      <c r="O34" s="13"/>
      <c r="Z34" s="15"/>
    </row>
    <row r="35" spans="3:26" s="14" customFormat="1">
      <c r="C35" s="19"/>
      <c r="D35" s="10"/>
      <c r="E35" s="10"/>
      <c r="F35" s="11"/>
      <c r="G35" s="12"/>
      <c r="H35" s="12"/>
      <c r="I35" s="12"/>
      <c r="J35" s="12"/>
      <c r="K35" s="12"/>
      <c r="L35" s="12"/>
      <c r="M35" s="12"/>
      <c r="N35" s="12"/>
      <c r="O35" s="13"/>
      <c r="Z35" s="15"/>
    </row>
    <row r="36" spans="3:26" s="14" customFormat="1">
      <c r="C36" s="19"/>
      <c r="D36" s="10"/>
      <c r="E36" s="10"/>
      <c r="F36" s="11"/>
      <c r="G36" s="12"/>
      <c r="H36" s="12"/>
      <c r="I36" s="12"/>
      <c r="J36" s="12"/>
      <c r="K36" s="12"/>
      <c r="L36" s="12"/>
      <c r="M36" s="12"/>
      <c r="N36" s="12"/>
      <c r="O36" s="13"/>
      <c r="Z36" s="15"/>
    </row>
    <row r="37" spans="3:26" s="14" customFormat="1">
      <c r="C37" s="19"/>
      <c r="D37" s="10"/>
      <c r="E37" s="10"/>
      <c r="F37" s="11"/>
      <c r="G37" s="12"/>
      <c r="H37" s="12"/>
      <c r="I37" s="12"/>
      <c r="J37" s="12"/>
      <c r="K37" s="12"/>
      <c r="L37" s="12"/>
      <c r="M37" s="12"/>
      <c r="N37" s="12"/>
      <c r="O37" s="13"/>
      <c r="Z37" s="15"/>
    </row>
    <row r="38" spans="3:26" s="14" customFormat="1">
      <c r="C38" s="19"/>
      <c r="D38" s="10"/>
      <c r="E38" s="10"/>
      <c r="F38" s="11"/>
      <c r="G38" s="12"/>
      <c r="H38" s="12"/>
      <c r="I38" s="12"/>
      <c r="J38" s="12"/>
      <c r="K38" s="12"/>
      <c r="L38" s="12"/>
      <c r="M38" s="12"/>
      <c r="N38" s="12"/>
      <c r="O38" s="13"/>
      <c r="Z38" s="15"/>
    </row>
    <row r="39" spans="3:26" s="14" customFormat="1">
      <c r="C39" s="19"/>
      <c r="D39" s="10"/>
      <c r="E39" s="10"/>
      <c r="F39" s="11"/>
      <c r="G39" s="12"/>
      <c r="H39" s="12"/>
      <c r="I39" s="12"/>
      <c r="J39" s="12"/>
      <c r="K39" s="12"/>
      <c r="L39" s="12"/>
      <c r="M39" s="12"/>
      <c r="N39" s="12"/>
      <c r="O39" s="13"/>
      <c r="Z39" s="15"/>
    </row>
    <row r="40" spans="3:26" s="14" customFormat="1">
      <c r="C40" s="19"/>
      <c r="D40" s="10"/>
      <c r="E40" s="10"/>
      <c r="F40" s="11"/>
      <c r="G40" s="12"/>
      <c r="H40" s="12"/>
      <c r="I40" s="12"/>
      <c r="J40" s="12"/>
      <c r="K40" s="12"/>
      <c r="L40" s="12"/>
      <c r="M40" s="12"/>
      <c r="N40" s="12"/>
      <c r="O40" s="13"/>
      <c r="Z40" s="15"/>
    </row>
    <row r="41" spans="3:26" s="14" customFormat="1">
      <c r="C41" s="19"/>
      <c r="D41" s="10"/>
      <c r="E41" s="10"/>
      <c r="F41" s="11"/>
      <c r="G41" s="12"/>
      <c r="H41" s="12"/>
      <c r="I41" s="12"/>
      <c r="J41" s="12"/>
      <c r="K41" s="12"/>
      <c r="L41" s="12"/>
      <c r="M41" s="12"/>
      <c r="N41" s="12"/>
      <c r="O41" s="13"/>
      <c r="Z41" s="15"/>
    </row>
    <row r="42" spans="3:26" s="14" customFormat="1">
      <c r="C42" s="19"/>
      <c r="D42" s="10"/>
      <c r="E42" s="10"/>
      <c r="F42" s="11"/>
      <c r="G42" s="12"/>
      <c r="H42" s="12"/>
      <c r="I42" s="12"/>
      <c r="J42" s="12"/>
      <c r="K42" s="12"/>
      <c r="L42" s="12"/>
      <c r="M42" s="12"/>
      <c r="N42" s="12"/>
      <c r="O42" s="13"/>
      <c r="Z42" s="15"/>
    </row>
    <row r="43" spans="3:26" s="14" customFormat="1">
      <c r="C43" s="19"/>
      <c r="D43" s="10"/>
      <c r="E43" s="10"/>
      <c r="F43" s="11"/>
      <c r="G43" s="12"/>
      <c r="H43" s="12"/>
      <c r="I43" s="12"/>
      <c r="J43" s="12"/>
      <c r="K43" s="12"/>
      <c r="L43" s="12"/>
      <c r="M43" s="12"/>
      <c r="N43" s="12"/>
      <c r="O43" s="13"/>
      <c r="Z43" s="15"/>
    </row>
    <row r="44" spans="3:26" s="14" customFormat="1">
      <c r="C44" s="19"/>
      <c r="D44" s="10"/>
      <c r="E44" s="10"/>
      <c r="F44" s="11"/>
      <c r="G44" s="12"/>
      <c r="H44" s="12"/>
      <c r="I44" s="12"/>
      <c r="J44" s="12"/>
      <c r="K44" s="12"/>
      <c r="L44" s="12"/>
      <c r="M44" s="12"/>
      <c r="N44" s="12"/>
      <c r="O44" s="13"/>
      <c r="Z44" s="15"/>
    </row>
    <row r="45" spans="3:26" s="14" customFormat="1">
      <c r="C45" s="19"/>
      <c r="D45" s="10"/>
      <c r="E45" s="10"/>
      <c r="F45" s="11"/>
      <c r="G45" s="12"/>
      <c r="H45" s="12"/>
      <c r="I45" s="12"/>
      <c r="J45" s="12"/>
      <c r="K45" s="12"/>
      <c r="L45" s="12"/>
      <c r="M45" s="12"/>
      <c r="N45" s="12"/>
      <c r="O45" s="13"/>
      <c r="Z45" s="15"/>
    </row>
    <row r="46" spans="3:26" s="14" customFormat="1">
      <c r="C46" s="19"/>
      <c r="D46" s="10"/>
      <c r="E46" s="10"/>
      <c r="F46" s="11"/>
      <c r="G46" s="12"/>
      <c r="H46" s="12"/>
      <c r="I46" s="12"/>
      <c r="J46" s="12"/>
      <c r="K46" s="12"/>
      <c r="L46" s="12"/>
      <c r="M46" s="12"/>
      <c r="N46" s="12"/>
      <c r="O46" s="13"/>
      <c r="Z46" s="15"/>
    </row>
    <row r="47" spans="3:26" s="14" customFormat="1">
      <c r="C47" s="19"/>
      <c r="D47" s="10"/>
      <c r="E47" s="10"/>
      <c r="F47" s="11"/>
      <c r="G47" s="12"/>
      <c r="H47" s="12"/>
      <c r="I47" s="12"/>
      <c r="J47" s="12"/>
      <c r="K47" s="12"/>
      <c r="L47" s="12"/>
      <c r="M47" s="12"/>
      <c r="N47" s="12"/>
      <c r="O47" s="13"/>
      <c r="Z47" s="15"/>
    </row>
    <row r="48" spans="3:26" s="14" customFormat="1">
      <c r="C48" s="19"/>
      <c r="D48" s="10"/>
      <c r="E48" s="10"/>
      <c r="F48" s="11"/>
      <c r="G48" s="12"/>
      <c r="H48" s="12"/>
      <c r="I48" s="12"/>
      <c r="J48" s="12"/>
      <c r="K48" s="12"/>
      <c r="L48" s="12"/>
      <c r="M48" s="12"/>
      <c r="N48" s="12"/>
      <c r="O48" s="13"/>
      <c r="Z48" s="15"/>
    </row>
    <row r="49" spans="3:26" s="14" customFormat="1">
      <c r="C49" s="19"/>
      <c r="D49" s="10"/>
      <c r="E49" s="10"/>
      <c r="F49" s="11"/>
      <c r="G49" s="12"/>
      <c r="H49" s="12"/>
      <c r="I49" s="12"/>
      <c r="J49" s="12"/>
      <c r="K49" s="12"/>
      <c r="L49" s="12"/>
      <c r="M49" s="12"/>
      <c r="N49" s="12"/>
      <c r="O49" s="13"/>
      <c r="Z49" s="15"/>
    </row>
    <row r="50" spans="3:26" s="14" customFormat="1">
      <c r="C50" s="19"/>
      <c r="D50" s="10"/>
      <c r="E50" s="10"/>
      <c r="F50" s="11"/>
      <c r="G50" s="12"/>
      <c r="H50" s="12"/>
      <c r="I50" s="12"/>
      <c r="J50" s="12"/>
      <c r="K50" s="12"/>
      <c r="L50" s="12"/>
      <c r="M50" s="12"/>
      <c r="N50" s="12"/>
      <c r="O50" s="13"/>
      <c r="Z50" s="15"/>
    </row>
    <row r="51" spans="3:26" s="14" customFormat="1">
      <c r="C51" s="19"/>
      <c r="D51" s="10"/>
      <c r="E51" s="10"/>
      <c r="F51" s="11"/>
      <c r="G51" s="12"/>
      <c r="H51" s="12"/>
      <c r="I51" s="12"/>
      <c r="J51" s="12"/>
      <c r="K51" s="12"/>
      <c r="L51" s="12"/>
      <c r="M51" s="12"/>
      <c r="N51" s="12"/>
      <c r="O51" s="13"/>
      <c r="Z51" s="15"/>
    </row>
    <row r="52" spans="3:26" s="14" customFormat="1">
      <c r="C52" s="19"/>
      <c r="D52" s="10"/>
      <c r="E52" s="10"/>
      <c r="F52" s="11"/>
      <c r="G52" s="12"/>
      <c r="H52" s="12"/>
      <c r="I52" s="12"/>
      <c r="J52" s="12"/>
      <c r="K52" s="12"/>
      <c r="L52" s="12"/>
      <c r="M52" s="12"/>
      <c r="N52" s="12"/>
      <c r="O52" s="13"/>
      <c r="Z52" s="15"/>
    </row>
    <row r="53" spans="3:26" s="14" customFormat="1">
      <c r="C53" s="19"/>
      <c r="D53" s="10"/>
      <c r="E53" s="10"/>
      <c r="F53" s="11"/>
      <c r="G53" s="12"/>
      <c r="H53" s="12"/>
      <c r="I53" s="12"/>
      <c r="J53" s="12"/>
      <c r="K53" s="12"/>
      <c r="L53" s="12"/>
      <c r="M53" s="12"/>
      <c r="N53" s="12"/>
      <c r="O53" s="13"/>
      <c r="Z53" s="15"/>
    </row>
    <row r="54" spans="3:26" s="14" customFormat="1">
      <c r="C54" s="19"/>
      <c r="D54" s="10"/>
      <c r="E54" s="10"/>
      <c r="F54" s="11"/>
      <c r="G54" s="12"/>
      <c r="H54" s="12"/>
      <c r="I54" s="12"/>
      <c r="J54" s="12"/>
      <c r="K54" s="12"/>
      <c r="L54" s="12"/>
      <c r="M54" s="12"/>
      <c r="N54" s="12"/>
      <c r="O54" s="13"/>
      <c r="Z54" s="15"/>
    </row>
    <row r="55" spans="3:26" s="14" customFormat="1">
      <c r="C55" s="19"/>
      <c r="D55" s="10"/>
      <c r="E55" s="10"/>
      <c r="F55" s="11"/>
      <c r="G55" s="12"/>
      <c r="H55" s="12"/>
      <c r="I55" s="12"/>
      <c r="J55" s="12"/>
      <c r="K55" s="12"/>
      <c r="L55" s="12"/>
      <c r="M55" s="12"/>
      <c r="N55" s="12"/>
      <c r="O55" s="13"/>
      <c r="Z55" s="15"/>
    </row>
    <row r="56" spans="3:26" s="14" customFormat="1">
      <c r="C56" s="19"/>
      <c r="D56" s="10"/>
      <c r="E56" s="10"/>
      <c r="F56" s="11"/>
      <c r="G56" s="12"/>
      <c r="H56" s="12"/>
      <c r="I56" s="12"/>
      <c r="J56" s="12"/>
      <c r="K56" s="12"/>
      <c r="L56" s="12"/>
      <c r="M56" s="12"/>
      <c r="N56" s="12"/>
      <c r="O56" s="13"/>
      <c r="Z56" s="15"/>
    </row>
    <row r="57" spans="3:26" s="14" customFormat="1">
      <c r="C57" s="19"/>
      <c r="D57" s="10"/>
      <c r="E57" s="10"/>
      <c r="F57" s="11"/>
      <c r="G57" s="12"/>
      <c r="H57" s="12"/>
      <c r="I57" s="12"/>
      <c r="J57" s="12"/>
      <c r="K57" s="12"/>
      <c r="L57" s="12"/>
      <c r="M57" s="12"/>
      <c r="N57" s="12"/>
      <c r="O57" s="13"/>
      <c r="Z57" s="15"/>
    </row>
    <row r="58" spans="3:26" s="14" customFormat="1">
      <c r="C58" s="19"/>
      <c r="D58" s="10"/>
      <c r="E58" s="10"/>
      <c r="F58" s="11"/>
      <c r="G58" s="12"/>
      <c r="H58" s="12"/>
      <c r="I58" s="12"/>
      <c r="J58" s="12"/>
      <c r="K58" s="12"/>
      <c r="L58" s="12"/>
      <c r="M58" s="12"/>
      <c r="N58" s="12"/>
      <c r="O58" s="13"/>
      <c r="Z58" s="15"/>
    </row>
    <row r="59" spans="3:26" s="14" customFormat="1">
      <c r="C59" s="19"/>
      <c r="D59" s="10"/>
      <c r="E59" s="10"/>
      <c r="F59" s="11"/>
      <c r="G59" s="12"/>
      <c r="H59" s="12"/>
      <c r="I59" s="12"/>
      <c r="J59" s="12"/>
      <c r="K59" s="12"/>
      <c r="L59" s="12"/>
      <c r="M59" s="12"/>
      <c r="N59" s="12"/>
      <c r="O59" s="13"/>
      <c r="Z59" s="15"/>
    </row>
    <row r="60" spans="3:26" s="14" customFormat="1">
      <c r="C60" s="19"/>
      <c r="D60" s="10"/>
      <c r="E60" s="10"/>
      <c r="F60" s="11"/>
      <c r="G60" s="12"/>
      <c r="H60" s="12"/>
      <c r="I60" s="12"/>
      <c r="J60" s="12"/>
      <c r="K60" s="12"/>
      <c r="L60" s="12"/>
      <c r="M60" s="12"/>
      <c r="N60" s="12"/>
      <c r="O60" s="13"/>
      <c r="Z60" s="15"/>
    </row>
    <row r="61" spans="3:26" s="14" customFormat="1">
      <c r="C61" s="19"/>
      <c r="D61" s="10"/>
      <c r="E61" s="10"/>
      <c r="F61" s="11"/>
      <c r="G61" s="12"/>
      <c r="H61" s="12"/>
      <c r="I61" s="12"/>
      <c r="J61" s="12"/>
      <c r="K61" s="12"/>
      <c r="L61" s="12"/>
      <c r="M61" s="12"/>
      <c r="N61" s="12"/>
      <c r="O61" s="13"/>
      <c r="Z61" s="15"/>
    </row>
    <row r="62" spans="3:26" s="14" customFormat="1">
      <c r="C62" s="19"/>
      <c r="D62" s="10"/>
      <c r="E62" s="10"/>
      <c r="F62" s="11"/>
      <c r="G62" s="12"/>
      <c r="H62" s="12"/>
      <c r="I62" s="12"/>
      <c r="J62" s="12"/>
      <c r="K62" s="12"/>
      <c r="L62" s="12"/>
      <c r="M62" s="12"/>
      <c r="N62" s="12"/>
      <c r="O62" s="13"/>
      <c r="Z62" s="15"/>
    </row>
    <row r="63" spans="3:26" s="14" customFormat="1">
      <c r="C63" s="19"/>
      <c r="D63" s="10"/>
      <c r="E63" s="10"/>
      <c r="F63" s="11"/>
      <c r="G63" s="12"/>
      <c r="H63" s="12"/>
      <c r="I63" s="12"/>
      <c r="J63" s="12"/>
      <c r="K63" s="12"/>
      <c r="L63" s="12"/>
      <c r="M63" s="12"/>
      <c r="N63" s="12"/>
      <c r="O63" s="13"/>
      <c r="Z63" s="15"/>
    </row>
    <row r="64" spans="3:26" s="14" customFormat="1">
      <c r="C64" s="19"/>
      <c r="D64" s="10"/>
      <c r="E64" s="10"/>
      <c r="F64" s="11"/>
      <c r="G64" s="12"/>
      <c r="H64" s="12"/>
      <c r="I64" s="12"/>
      <c r="J64" s="12"/>
      <c r="K64" s="12"/>
      <c r="L64" s="12"/>
      <c r="M64" s="12"/>
      <c r="N64" s="12"/>
      <c r="O64" s="13"/>
      <c r="Z64" s="15"/>
    </row>
    <row r="65" spans="3:26" s="14" customFormat="1">
      <c r="C65" s="19"/>
      <c r="D65" s="10"/>
      <c r="E65" s="10"/>
      <c r="F65" s="11"/>
      <c r="G65" s="12"/>
      <c r="H65" s="12"/>
      <c r="I65" s="12"/>
      <c r="J65" s="12"/>
      <c r="K65" s="12"/>
      <c r="L65" s="12"/>
      <c r="M65" s="12"/>
      <c r="N65" s="12"/>
      <c r="O65" s="13"/>
      <c r="Z65" s="15"/>
    </row>
    <row r="66" spans="3:26" s="14" customFormat="1">
      <c r="C66" s="19"/>
      <c r="D66" s="10"/>
      <c r="E66" s="10"/>
      <c r="F66" s="11"/>
      <c r="G66" s="12"/>
      <c r="H66" s="12"/>
      <c r="I66" s="12"/>
      <c r="J66" s="12"/>
      <c r="K66" s="12"/>
      <c r="L66" s="12"/>
      <c r="M66" s="12"/>
      <c r="N66" s="12"/>
      <c r="O66" s="13"/>
      <c r="Z66" s="15"/>
    </row>
    <row r="67" spans="3:26" s="14" customFormat="1">
      <c r="C67" s="19"/>
      <c r="D67" s="10"/>
      <c r="E67" s="10"/>
      <c r="F67" s="11"/>
      <c r="G67" s="12"/>
      <c r="H67" s="12"/>
      <c r="I67" s="12"/>
      <c r="J67" s="12"/>
      <c r="K67" s="12"/>
      <c r="L67" s="12"/>
      <c r="M67" s="12"/>
      <c r="N67" s="12"/>
      <c r="O67" s="13"/>
      <c r="Z67" s="15"/>
    </row>
    <row r="68" spans="3:26" s="14" customFormat="1">
      <c r="C68" s="19"/>
      <c r="D68" s="10"/>
      <c r="E68" s="10"/>
      <c r="F68" s="11"/>
      <c r="G68" s="12"/>
      <c r="H68" s="12"/>
      <c r="I68" s="12"/>
      <c r="J68" s="12"/>
      <c r="K68" s="12"/>
      <c r="L68" s="12"/>
      <c r="M68" s="12"/>
      <c r="N68" s="12"/>
      <c r="O68" s="13"/>
      <c r="Z68" s="15"/>
    </row>
    <row r="69" spans="3:26" s="14" customFormat="1">
      <c r="C69" s="19"/>
      <c r="D69" s="10"/>
      <c r="E69" s="10"/>
      <c r="F69" s="11"/>
      <c r="G69" s="12"/>
      <c r="H69" s="12"/>
      <c r="I69" s="12"/>
      <c r="J69" s="12"/>
      <c r="K69" s="12"/>
      <c r="L69" s="12"/>
      <c r="M69" s="12"/>
      <c r="N69" s="12"/>
      <c r="O69" s="13"/>
      <c r="Z69" s="15"/>
    </row>
    <row r="70" spans="3:26" s="14" customFormat="1">
      <c r="C70" s="19"/>
      <c r="D70" s="10"/>
      <c r="E70" s="10"/>
      <c r="F70" s="11"/>
      <c r="G70" s="12"/>
      <c r="H70" s="12"/>
      <c r="I70" s="12"/>
      <c r="J70" s="12"/>
      <c r="K70" s="12"/>
      <c r="L70" s="12"/>
      <c r="M70" s="12"/>
      <c r="N70" s="12"/>
      <c r="O70" s="13"/>
      <c r="Z70" s="15"/>
    </row>
    <row r="71" spans="3:26" s="14" customFormat="1">
      <c r="C71" s="19"/>
      <c r="D71" s="10"/>
      <c r="E71" s="10"/>
      <c r="F71" s="11"/>
      <c r="G71" s="12"/>
      <c r="H71" s="12"/>
      <c r="I71" s="12"/>
      <c r="J71" s="12"/>
      <c r="K71" s="12"/>
      <c r="L71" s="12"/>
      <c r="M71" s="12"/>
      <c r="N71" s="12"/>
      <c r="O71" s="13"/>
      <c r="Z71" s="15"/>
    </row>
  </sheetData>
  <phoneticPr fontId="0"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55"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1" t="s">
        <v>64</v>
      </c>
    </row>
    <row r="2" spans="3:27">
      <c r="F2" s="3"/>
    </row>
    <row r="3" spans="3:27" s="4" customFormat="1" ht="13.5" thickBot="1">
      <c r="C3" s="33"/>
      <c r="D3" s="9">
        <f>Score!C1</f>
        <v>1</v>
      </c>
      <c r="E3" s="9">
        <f>Score!E1</f>
        <v>3</v>
      </c>
      <c r="F3" s="9">
        <f>Score!F1</f>
        <v>4</v>
      </c>
      <c r="G3" s="9">
        <f>Score!G1</f>
        <v>5</v>
      </c>
      <c r="H3" s="9">
        <f>Score!H1</f>
        <v>6</v>
      </c>
      <c r="I3" s="9">
        <f>Score!I1</f>
        <v>7</v>
      </c>
      <c r="J3" s="9">
        <f>Score!J1</f>
        <v>8</v>
      </c>
      <c r="K3" s="9">
        <f>Score!K1</f>
        <v>9</v>
      </c>
      <c r="L3" s="9">
        <f>Score!L1</f>
        <v>10</v>
      </c>
      <c r="M3" s="9">
        <f>Score!M1</f>
        <v>11</v>
      </c>
      <c r="N3" s="9">
        <f>Score!N1</f>
        <v>12</v>
      </c>
      <c r="O3" s="9">
        <f>Score!O1</f>
        <v>13</v>
      </c>
      <c r="P3" s="9">
        <f>Score!P1</f>
        <v>14</v>
      </c>
      <c r="Q3" s="9">
        <f>Score!Q1</f>
        <v>15</v>
      </c>
      <c r="R3" s="9">
        <f>Score!R1</f>
        <v>16</v>
      </c>
      <c r="S3" s="9">
        <f>Score!S1</f>
        <v>17</v>
      </c>
      <c r="T3" s="9">
        <f>Score!T1</f>
        <v>18</v>
      </c>
      <c r="U3" s="9">
        <f>Score!U1</f>
        <v>19</v>
      </c>
      <c r="V3" s="9">
        <f>Score!V1</f>
        <v>20</v>
      </c>
      <c r="W3" s="9">
        <f>Score!W1</f>
        <v>21</v>
      </c>
      <c r="X3" s="9" t="e">
        <f>Score!#REF!</f>
        <v>#REF!</v>
      </c>
      <c r="Y3" s="9" t="s">
        <v>2</v>
      </c>
      <c r="Z3" s="7"/>
    </row>
    <row r="4" spans="3:27">
      <c r="C4" t="s">
        <v>27</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t="s">
        <v>28</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29</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50</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51</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52</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53</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54</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55</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s="44" t="s">
        <v>56</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57</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58</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59</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60</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61</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62</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63</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76" customFormat="1">
      <c r="D21" s="77"/>
      <c r="E21" s="78"/>
      <c r="F21" s="77"/>
      <c r="G21" s="77"/>
      <c r="H21" s="77"/>
      <c r="I21" s="77"/>
      <c r="J21" s="77"/>
      <c r="K21" s="77"/>
      <c r="L21" s="77"/>
      <c r="M21" s="77"/>
      <c r="N21" s="77"/>
      <c r="O21" s="77"/>
      <c r="P21" s="77"/>
      <c r="Q21" s="77"/>
      <c r="R21" s="77"/>
      <c r="S21" s="77"/>
      <c r="T21" s="77"/>
      <c r="U21" s="77"/>
      <c r="V21" s="77"/>
      <c r="W21" s="77"/>
      <c r="X21" s="77"/>
      <c r="Y21" s="77"/>
      <c r="Z21" s="81"/>
    </row>
    <row r="22" spans="3:27" s="1" customFormat="1">
      <c r="C22"/>
      <c r="D22" s="74" t="e">
        <f t="shared" ref="D22:Z22" si="2">SUM(D4:D21)</f>
        <v>#N/A</v>
      </c>
      <c r="E22" s="74" t="e">
        <f t="shared" si="2"/>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5" t="e">
        <f t="shared" si="2"/>
        <v>#N/A</v>
      </c>
    </row>
    <row r="23" spans="3:27" s="58" customFormat="1">
      <c r="C23"/>
      <c r="D23" s="59"/>
      <c r="E23" s="59"/>
      <c r="F23" s="54"/>
      <c r="G23" s="59"/>
      <c r="H23" s="59"/>
      <c r="I23" s="59"/>
      <c r="J23" s="59"/>
      <c r="K23" s="59"/>
      <c r="L23" s="59"/>
      <c r="M23" s="59"/>
      <c r="N23" s="59"/>
      <c r="O23" s="59"/>
      <c r="P23" s="59"/>
      <c r="Q23" s="59"/>
      <c r="R23" s="59"/>
      <c r="S23" s="59"/>
      <c r="T23" s="59"/>
      <c r="U23" s="59"/>
      <c r="V23" s="59"/>
      <c r="W23" s="59"/>
      <c r="X23" s="59"/>
      <c r="Y23" s="59"/>
      <c r="Z23" s="67"/>
    </row>
    <row r="24" spans="3:27" s="70" customFormat="1">
      <c r="C24" s="71"/>
      <c r="D24" s="106" t="e">
        <f>VLOOKUP($C24,Score!$B$2:$X$71,2,0)</f>
        <v>#N/A</v>
      </c>
      <c r="E24" s="106" t="e">
        <f>VLOOKUP($C24,Score!$B$2:$X$71,2,0)</f>
        <v>#N/A</v>
      </c>
      <c r="F24" s="106" t="e">
        <f>VLOOKUP($C24,Score!$B$2:$X$71,2,0)</f>
        <v>#N/A</v>
      </c>
      <c r="G24" s="106" t="e">
        <f>VLOOKUP($C24,Score!$B$2:$X$71,2,0)</f>
        <v>#N/A</v>
      </c>
      <c r="H24" s="106" t="e">
        <f>VLOOKUP($C24,Score!$B$2:$X$71,2,0)</f>
        <v>#N/A</v>
      </c>
      <c r="I24" s="106" t="e">
        <f>VLOOKUP($C24,Score!$B$2:$X$71,2,0)</f>
        <v>#N/A</v>
      </c>
      <c r="J24" s="106" t="e">
        <f>VLOOKUP($C24,Score!$B$2:$X$71,2,0)</f>
        <v>#N/A</v>
      </c>
      <c r="K24" s="106" t="e">
        <f>VLOOKUP($C24,Score!$B$2:$X$71,2,0)</f>
        <v>#N/A</v>
      </c>
      <c r="L24" s="106" t="e">
        <f>VLOOKUP($C24,Score!$B$2:$X$71,2,0)</f>
        <v>#N/A</v>
      </c>
      <c r="M24" s="106" t="e">
        <f>VLOOKUP($C24,Score!$B$2:$X$71,2,0)</f>
        <v>#N/A</v>
      </c>
      <c r="N24" s="106" t="e">
        <f>VLOOKUP($C24,Score!$B$2:$X$71,2,0)</f>
        <v>#N/A</v>
      </c>
      <c r="O24" s="106" t="e">
        <f>VLOOKUP($C24,Score!$B$2:$X$71,2,0)</f>
        <v>#N/A</v>
      </c>
      <c r="P24" s="106" t="e">
        <f>VLOOKUP($C24,Score!$B$2:$X$71,2,0)</f>
        <v>#N/A</v>
      </c>
      <c r="Q24" s="106" t="e">
        <f>VLOOKUP($C24,Score!$B$2:$X$71,2,0)</f>
        <v>#N/A</v>
      </c>
      <c r="R24" s="106" t="e">
        <f>VLOOKUP($C24,Score!$B$2:$X$71,2,0)</f>
        <v>#N/A</v>
      </c>
      <c r="S24" s="106" t="e">
        <f>VLOOKUP($C24,Score!$B$2:$X$71,2,0)</f>
        <v>#N/A</v>
      </c>
      <c r="T24" s="106" t="e">
        <f>VLOOKUP($C24,Score!$B$2:$X$71,2,0)</f>
        <v>#N/A</v>
      </c>
      <c r="U24" s="106" t="e">
        <f>VLOOKUP($C24,Score!$B$2:$X$71,2,0)</f>
        <v>#N/A</v>
      </c>
      <c r="V24" s="106" t="e">
        <f>VLOOKUP($C24,Score!$B$2:$X$71,2,0)</f>
        <v>#N/A</v>
      </c>
      <c r="W24" s="106" t="e">
        <f>VLOOKUP($C24,Score!$B$2:$X$71,2,0)</f>
        <v>#N/A</v>
      </c>
      <c r="X24" s="106" t="e">
        <f>VLOOKUP($C24,Score!$B$2:$X$71,2,0)</f>
        <v>#N/A</v>
      </c>
      <c r="Y24" s="106" t="e">
        <f>VLOOKUP($C24,Score!$B$2:$X$71,2,0)</f>
        <v>#N/A</v>
      </c>
      <c r="Z24" s="106" t="e">
        <f>VLOOKUP($C24,Score!$B$2:$X$71,2,0)</f>
        <v>#N/A</v>
      </c>
    </row>
    <row r="25" spans="3:27" s="70" customFormat="1">
      <c r="C25" s="71"/>
      <c r="D25" s="106" t="e">
        <f>VLOOKUP($C25,Score!$B$2:$X$71,2,0)</f>
        <v>#N/A</v>
      </c>
      <c r="E25" s="106" t="e">
        <f>VLOOKUP($C25,Score!$B$2:$X$71,2,0)</f>
        <v>#N/A</v>
      </c>
      <c r="F25" s="106" t="e">
        <f>VLOOKUP($C25,Score!$B$2:$X$71,2,0)</f>
        <v>#N/A</v>
      </c>
      <c r="G25" s="106" t="e">
        <f>VLOOKUP($C25,Score!$B$2:$X$71,2,0)</f>
        <v>#N/A</v>
      </c>
      <c r="H25" s="106" t="e">
        <f>VLOOKUP($C25,Score!$B$2:$X$71,2,0)</f>
        <v>#N/A</v>
      </c>
      <c r="I25" s="106" t="e">
        <f>VLOOKUP($C25,Score!$B$2:$X$71,2,0)</f>
        <v>#N/A</v>
      </c>
      <c r="J25" s="106" t="e">
        <f>VLOOKUP($C25,Score!$B$2:$X$71,2,0)</f>
        <v>#N/A</v>
      </c>
      <c r="K25" s="106" t="e">
        <f>VLOOKUP($C25,Score!$B$2:$X$71,2,0)</f>
        <v>#N/A</v>
      </c>
      <c r="L25" s="106" t="e">
        <f>VLOOKUP($C25,Score!$B$2:$X$71,2,0)</f>
        <v>#N/A</v>
      </c>
      <c r="M25" s="106" t="e">
        <f>VLOOKUP($C25,Score!$B$2:$X$71,2,0)</f>
        <v>#N/A</v>
      </c>
      <c r="N25" s="106" t="e">
        <f>VLOOKUP($C25,Score!$B$2:$X$71,2,0)</f>
        <v>#N/A</v>
      </c>
      <c r="O25" s="106" t="e">
        <f>VLOOKUP($C25,Score!$B$2:$X$71,2,0)</f>
        <v>#N/A</v>
      </c>
      <c r="P25" s="106" t="e">
        <f>VLOOKUP($C25,Score!$B$2:$X$71,2,0)</f>
        <v>#N/A</v>
      </c>
      <c r="Q25" s="106" t="e">
        <f>VLOOKUP($C25,Score!$B$2:$X$71,2,0)</f>
        <v>#N/A</v>
      </c>
      <c r="R25" s="106" t="e">
        <f>VLOOKUP($C25,Score!$B$2:$X$71,2,0)</f>
        <v>#N/A</v>
      </c>
      <c r="S25" s="106" t="e">
        <f>VLOOKUP($C25,Score!$B$2:$X$71,2,0)</f>
        <v>#N/A</v>
      </c>
      <c r="T25" s="106" t="e">
        <f>VLOOKUP($C25,Score!$B$2:$X$71,2,0)</f>
        <v>#N/A</v>
      </c>
      <c r="U25" s="106" t="e">
        <f>VLOOKUP($C25,Score!$B$2:$X$71,2,0)</f>
        <v>#N/A</v>
      </c>
      <c r="V25" s="106" t="e">
        <f>VLOOKUP($C25,Score!$B$2:$X$71,2,0)</f>
        <v>#N/A</v>
      </c>
      <c r="W25" s="106" t="e">
        <f>VLOOKUP($C25,Score!$B$2:$X$71,2,0)</f>
        <v>#N/A</v>
      </c>
      <c r="X25" s="106" t="e">
        <f>VLOOKUP($C25,Score!$B$2:$X$71,2,0)</f>
        <v>#N/A</v>
      </c>
      <c r="Y25" s="106" t="e">
        <f>VLOOKUP($C25,Score!$B$2:$X$71,2,0)</f>
        <v>#N/A</v>
      </c>
      <c r="Z25" s="106" t="e">
        <f>VLOOKUP($C25,Score!$B$2:$X$71,2,0)</f>
        <v>#N/A</v>
      </c>
    </row>
    <row r="26" spans="3:27" s="70" customFormat="1">
      <c r="C26" s="94"/>
      <c r="D26" s="106" t="e">
        <f>VLOOKUP($C26,Score!$B$2:$X$71,2,0)</f>
        <v>#N/A</v>
      </c>
      <c r="E26" s="106" t="e">
        <f>VLOOKUP($C26,Score!$B$2:$X$71,2,0)</f>
        <v>#N/A</v>
      </c>
      <c r="F26" s="106" t="e">
        <f>VLOOKUP($C26,Score!$B$2:$X$71,2,0)</f>
        <v>#N/A</v>
      </c>
      <c r="G26" s="106" t="e">
        <f>VLOOKUP($C26,Score!$B$2:$X$71,2,0)</f>
        <v>#N/A</v>
      </c>
      <c r="H26" s="106" t="e">
        <f>VLOOKUP($C26,Score!$B$2:$X$71,2,0)</f>
        <v>#N/A</v>
      </c>
      <c r="I26" s="106" t="e">
        <f>VLOOKUP($C26,Score!$B$2:$X$71,2,0)</f>
        <v>#N/A</v>
      </c>
      <c r="J26" s="106" t="e">
        <f>VLOOKUP($C26,Score!$B$2:$X$71,2,0)</f>
        <v>#N/A</v>
      </c>
      <c r="K26" s="106" t="e">
        <f>VLOOKUP($C26,Score!$B$2:$X$71,2,0)</f>
        <v>#N/A</v>
      </c>
      <c r="L26" s="106" t="e">
        <f>VLOOKUP($C26,Score!$B$2:$X$71,2,0)</f>
        <v>#N/A</v>
      </c>
      <c r="M26" s="106" t="e">
        <f>VLOOKUP($C26,Score!$B$2:$X$71,2,0)</f>
        <v>#N/A</v>
      </c>
      <c r="N26" s="106" t="e">
        <f>VLOOKUP($C26,Score!$B$2:$X$71,2,0)</f>
        <v>#N/A</v>
      </c>
      <c r="O26" s="106" t="e">
        <f>VLOOKUP($C26,Score!$B$2:$X$71,2,0)</f>
        <v>#N/A</v>
      </c>
      <c r="P26" s="106" t="e">
        <f>VLOOKUP($C26,Score!$B$2:$X$71,2,0)</f>
        <v>#N/A</v>
      </c>
      <c r="Q26" s="106" t="e">
        <f>VLOOKUP($C26,Score!$B$2:$X$71,2,0)</f>
        <v>#N/A</v>
      </c>
      <c r="R26" s="106" t="e">
        <f>VLOOKUP($C26,Score!$B$2:$X$71,2,0)</f>
        <v>#N/A</v>
      </c>
      <c r="S26" s="106" t="e">
        <f>VLOOKUP($C26,Score!$B$2:$X$71,2,0)</f>
        <v>#N/A</v>
      </c>
      <c r="T26" s="106" t="e">
        <f>VLOOKUP($C26,Score!$B$2:$X$71,2,0)</f>
        <v>#N/A</v>
      </c>
      <c r="U26" s="106" t="e">
        <f>VLOOKUP($C26,Score!$B$2:$X$71,2,0)</f>
        <v>#N/A</v>
      </c>
      <c r="V26" s="106" t="e">
        <f>VLOOKUP($C26,Score!$B$2:$X$71,2,0)</f>
        <v>#N/A</v>
      </c>
      <c r="W26" s="106" t="e">
        <f>VLOOKUP($C26,Score!$B$2:$X$71,2,0)</f>
        <v>#N/A</v>
      </c>
      <c r="X26" s="106" t="e">
        <f>VLOOKUP($C26,Score!$B$2:$X$71,2,0)</f>
        <v>#N/A</v>
      </c>
      <c r="Y26" s="106" t="e">
        <f>VLOOKUP($C26,Score!$B$2:$X$71,2,0)</f>
        <v>#N/A</v>
      </c>
      <c r="Z26" s="106" t="e">
        <f>VLOOKUP($C26,Score!$B$2:$X$71,2,0)</f>
        <v>#N/A</v>
      </c>
    </row>
    <row r="27" spans="3:27" s="56" customFormat="1">
      <c r="C27" s="32"/>
      <c r="D27" s="45"/>
      <c r="E27" s="45"/>
      <c r="F27" s="46"/>
      <c r="G27" s="45"/>
      <c r="H27" s="45"/>
      <c r="I27" s="45"/>
      <c r="J27" s="45"/>
      <c r="K27" s="45"/>
      <c r="L27" s="45"/>
      <c r="M27" s="45"/>
      <c r="N27" s="45"/>
      <c r="Z27" s="49"/>
    </row>
    <row r="28" spans="3:27" s="56" customFormat="1">
      <c r="C28" s="63"/>
      <c r="D28" s="45"/>
      <c r="E28" s="45"/>
      <c r="F28" s="46"/>
      <c r="G28" s="45"/>
      <c r="H28" s="45"/>
      <c r="I28" s="45"/>
      <c r="J28" s="45"/>
      <c r="K28" s="45"/>
      <c r="L28" s="45"/>
      <c r="M28" s="45"/>
      <c r="N28" s="45"/>
      <c r="Z28" s="49"/>
    </row>
    <row r="29" spans="3:27" s="56" customFormat="1">
      <c r="C29" s="32"/>
      <c r="D29" s="45"/>
      <c r="E29" s="45"/>
      <c r="F29" s="46"/>
      <c r="G29" s="45"/>
      <c r="H29" s="45"/>
      <c r="I29" s="45"/>
      <c r="J29" s="45"/>
      <c r="K29" s="45"/>
      <c r="L29" s="45"/>
      <c r="M29" s="45"/>
      <c r="N29" s="45"/>
      <c r="Z29" s="49"/>
    </row>
    <row r="30" spans="3:27" s="56" customFormat="1">
      <c r="C30" s="32"/>
      <c r="D30" s="45"/>
      <c r="E30" s="45"/>
      <c r="F30" s="46"/>
      <c r="G30" s="45"/>
      <c r="H30" s="45"/>
      <c r="I30" s="45"/>
      <c r="J30" s="45"/>
      <c r="K30" s="45"/>
      <c r="L30" s="45"/>
      <c r="M30" s="45"/>
      <c r="N30" s="45"/>
      <c r="Z30" s="49"/>
    </row>
    <row r="31" spans="3:27" s="56" customFormat="1">
      <c r="C31" s="32"/>
      <c r="D31" s="45"/>
      <c r="E31" s="45"/>
      <c r="F31" s="46"/>
      <c r="G31" s="45"/>
      <c r="H31" s="45"/>
      <c r="I31" s="45"/>
      <c r="J31" s="45"/>
      <c r="K31" s="45"/>
      <c r="L31" s="45"/>
      <c r="M31" s="45"/>
      <c r="N31" s="45"/>
      <c r="Z31" s="49"/>
    </row>
    <row r="32" spans="3:27" s="14" customFormat="1">
      <c r="C32" s="16"/>
      <c r="D32" s="10"/>
      <c r="E32" s="10"/>
      <c r="F32" s="11"/>
      <c r="G32" s="12"/>
      <c r="H32" s="12"/>
      <c r="I32" s="12"/>
      <c r="J32" s="12"/>
      <c r="K32" s="12"/>
      <c r="L32" s="12"/>
      <c r="M32" s="12"/>
      <c r="N32" s="12"/>
      <c r="O32" s="13"/>
      <c r="Z32" s="15"/>
    </row>
    <row r="33" spans="3:26" s="14" customFormat="1">
      <c r="C33" s="16"/>
      <c r="D33" s="10"/>
      <c r="E33" s="10"/>
      <c r="F33" s="11"/>
      <c r="G33" s="12"/>
      <c r="H33" s="12"/>
      <c r="I33" s="12"/>
      <c r="J33" s="12"/>
      <c r="K33" s="12"/>
      <c r="L33" s="12"/>
      <c r="M33" s="12"/>
      <c r="N33" s="12"/>
      <c r="O33" s="13"/>
      <c r="Z33" s="15"/>
    </row>
    <row r="34" spans="3:26" s="14" customFormat="1">
      <c r="C34" s="16"/>
      <c r="D34" s="10"/>
      <c r="E34" s="10"/>
      <c r="F34" s="11"/>
      <c r="G34" s="12"/>
      <c r="H34" s="12"/>
      <c r="I34" s="12"/>
      <c r="J34" s="12"/>
      <c r="K34" s="12"/>
      <c r="L34" s="12"/>
      <c r="M34" s="12"/>
      <c r="N34" s="12"/>
      <c r="O34" s="13"/>
      <c r="Z34" s="15"/>
    </row>
    <row r="35" spans="3:26" s="14" customFormat="1">
      <c r="C35" s="16"/>
      <c r="D35" s="10"/>
      <c r="E35" s="10"/>
      <c r="F35" s="11"/>
      <c r="G35" s="12"/>
      <c r="H35" s="12"/>
      <c r="I35" s="12"/>
      <c r="J35" s="12"/>
      <c r="K35" s="12"/>
      <c r="L35" s="12"/>
      <c r="M35" s="12"/>
      <c r="N35" s="12"/>
      <c r="O35" s="13"/>
      <c r="Z35" s="15"/>
    </row>
    <row r="36" spans="3:26" s="14" customFormat="1">
      <c r="C36" s="16"/>
      <c r="D36" s="10"/>
      <c r="E36" s="10"/>
      <c r="F36" s="11"/>
      <c r="G36" s="12"/>
      <c r="H36" s="12"/>
      <c r="I36" s="12"/>
      <c r="J36" s="12"/>
      <c r="K36" s="12"/>
      <c r="L36" s="12"/>
      <c r="M36" s="12"/>
      <c r="N36" s="12"/>
      <c r="O36" s="13"/>
      <c r="Z36" s="15"/>
    </row>
    <row r="37" spans="3:26" s="14" customFormat="1">
      <c r="C37" s="16"/>
      <c r="D37" s="10"/>
      <c r="E37" s="10"/>
      <c r="F37" s="11"/>
      <c r="G37" s="12"/>
      <c r="H37" s="12"/>
      <c r="I37" s="12"/>
      <c r="J37" s="12"/>
      <c r="K37" s="12"/>
      <c r="L37" s="12"/>
      <c r="M37" s="12"/>
      <c r="N37" s="12"/>
      <c r="O37" s="13"/>
      <c r="Z37" s="15"/>
    </row>
    <row r="38" spans="3:26" s="14" customFormat="1">
      <c r="C38" s="16"/>
      <c r="D38" s="10"/>
      <c r="E38" s="10"/>
      <c r="F38" s="11"/>
      <c r="G38" s="12"/>
      <c r="H38" s="12"/>
      <c r="I38" s="12"/>
      <c r="J38" s="12"/>
      <c r="K38" s="12"/>
      <c r="L38" s="12"/>
      <c r="M38" s="12"/>
      <c r="N38" s="12"/>
      <c r="O38" s="13"/>
      <c r="Z38" s="15"/>
    </row>
    <row r="39" spans="3:26" s="14" customFormat="1">
      <c r="C39" s="16"/>
      <c r="D39" s="10"/>
      <c r="E39" s="10"/>
      <c r="F39" s="11"/>
      <c r="G39" s="12"/>
      <c r="H39" s="12"/>
      <c r="I39" s="12"/>
      <c r="J39" s="12"/>
      <c r="K39" s="12"/>
      <c r="L39" s="12"/>
      <c r="M39" s="12"/>
      <c r="N39" s="12"/>
      <c r="O39" s="13"/>
      <c r="Z39" s="15"/>
    </row>
    <row r="40" spans="3:26" s="14" customFormat="1">
      <c r="C40" s="16"/>
      <c r="D40" s="10"/>
      <c r="E40" s="10"/>
      <c r="F40" s="11"/>
      <c r="G40" s="12"/>
      <c r="H40" s="12"/>
      <c r="I40" s="12"/>
      <c r="J40" s="12"/>
      <c r="K40" s="12"/>
      <c r="L40" s="12"/>
      <c r="M40" s="12"/>
      <c r="N40" s="12"/>
      <c r="O40" s="13"/>
      <c r="Z40" s="15"/>
    </row>
    <row r="41" spans="3:26" s="14" customFormat="1">
      <c r="C41" s="57"/>
      <c r="D41" s="10"/>
      <c r="E41" s="10"/>
      <c r="F41" s="11"/>
      <c r="G41" s="12"/>
      <c r="H41" s="12"/>
      <c r="I41" s="12"/>
      <c r="J41" s="12"/>
      <c r="K41" s="12"/>
      <c r="L41" s="12"/>
      <c r="M41" s="12"/>
      <c r="N41" s="12"/>
      <c r="O41" s="13"/>
      <c r="Z41" s="15"/>
    </row>
    <row r="42" spans="3:26" s="14" customFormat="1">
      <c r="C42" s="57"/>
      <c r="D42" s="10"/>
      <c r="E42" s="10"/>
      <c r="F42" s="11"/>
      <c r="G42" s="12"/>
      <c r="H42" s="12"/>
      <c r="I42" s="12"/>
      <c r="J42" s="12"/>
      <c r="K42" s="12"/>
      <c r="L42" s="12"/>
      <c r="M42" s="12"/>
      <c r="N42" s="12"/>
      <c r="O42" s="13"/>
      <c r="Z42" s="15"/>
    </row>
    <row r="43" spans="3:26" s="14" customFormat="1">
      <c r="C43" s="57"/>
      <c r="D43" s="10"/>
      <c r="E43" s="10"/>
      <c r="F43" s="11"/>
      <c r="G43" s="12"/>
      <c r="H43" s="12"/>
      <c r="I43" s="12"/>
      <c r="J43" s="12"/>
      <c r="K43" s="12"/>
      <c r="L43" s="12"/>
      <c r="M43" s="12"/>
      <c r="N43" s="12"/>
      <c r="O43" s="13"/>
      <c r="Z43" s="15"/>
    </row>
    <row r="44" spans="3:26" s="14" customFormat="1">
      <c r="C44" s="57"/>
      <c r="D44" s="10"/>
      <c r="E44" s="10"/>
      <c r="F44" s="11"/>
      <c r="G44" s="12"/>
      <c r="H44" s="12"/>
      <c r="I44" s="12"/>
      <c r="J44" s="12"/>
      <c r="K44" s="12"/>
      <c r="L44" s="12"/>
      <c r="M44" s="12"/>
      <c r="N44" s="12"/>
      <c r="O44" s="13"/>
      <c r="Z44" s="15"/>
    </row>
    <row r="45" spans="3:26" s="14" customFormat="1">
      <c r="C45" s="57"/>
      <c r="D45" s="10"/>
      <c r="E45" s="10"/>
      <c r="F45" s="11"/>
      <c r="G45" s="12"/>
      <c r="H45" s="12"/>
      <c r="I45" s="12"/>
      <c r="J45" s="12"/>
      <c r="K45" s="12"/>
      <c r="L45" s="12"/>
      <c r="M45" s="12"/>
      <c r="N45" s="12"/>
      <c r="O45" s="13"/>
      <c r="Z45" s="15"/>
    </row>
    <row r="46" spans="3:26" s="14" customFormat="1">
      <c r="C46" s="57"/>
      <c r="D46" s="10"/>
      <c r="E46" s="10"/>
      <c r="F46" s="11"/>
      <c r="G46" s="12"/>
      <c r="H46" s="12"/>
      <c r="I46" s="12"/>
      <c r="J46" s="12"/>
      <c r="K46" s="12"/>
      <c r="L46" s="12"/>
      <c r="M46" s="12"/>
      <c r="N46" s="12"/>
      <c r="O46" s="13"/>
      <c r="Z46" s="15"/>
    </row>
    <row r="47" spans="3:26" s="14" customFormat="1">
      <c r="C47" s="57"/>
      <c r="D47" s="10"/>
      <c r="E47" s="10"/>
      <c r="F47" s="11"/>
      <c r="G47" s="12"/>
      <c r="H47" s="12"/>
      <c r="I47" s="12"/>
      <c r="J47" s="12"/>
      <c r="K47" s="12"/>
      <c r="L47" s="12"/>
      <c r="M47" s="12"/>
      <c r="N47" s="12"/>
      <c r="O47" s="13"/>
      <c r="Z47" s="15"/>
    </row>
    <row r="48" spans="3:26" s="14" customFormat="1">
      <c r="C48" s="57"/>
      <c r="D48" s="10"/>
      <c r="E48" s="10"/>
      <c r="F48" s="11"/>
      <c r="G48" s="12"/>
      <c r="H48" s="12"/>
      <c r="I48" s="12"/>
      <c r="J48" s="12"/>
      <c r="K48" s="12"/>
      <c r="L48" s="12"/>
      <c r="M48" s="12"/>
      <c r="N48" s="12"/>
      <c r="O48" s="13"/>
      <c r="Z48" s="15"/>
    </row>
    <row r="49" spans="3:26" s="14" customFormat="1">
      <c r="C49" s="57"/>
      <c r="D49" s="10"/>
      <c r="E49" s="10"/>
      <c r="F49" s="11"/>
      <c r="G49" s="12"/>
      <c r="H49" s="12"/>
      <c r="I49" s="12"/>
      <c r="J49" s="12"/>
      <c r="K49" s="12"/>
      <c r="L49" s="12"/>
      <c r="M49" s="12"/>
      <c r="N49" s="12"/>
      <c r="O49" s="13"/>
      <c r="Z49" s="15"/>
    </row>
    <row r="50" spans="3:26" s="14" customFormat="1">
      <c r="C50" s="57"/>
      <c r="D50" s="10"/>
      <c r="E50" s="10"/>
      <c r="F50" s="11"/>
      <c r="G50" s="12"/>
      <c r="H50" s="12"/>
      <c r="I50" s="12"/>
      <c r="J50" s="12"/>
      <c r="K50" s="12"/>
      <c r="L50" s="12"/>
      <c r="M50" s="12"/>
      <c r="N50" s="12"/>
      <c r="O50" s="13"/>
      <c r="Z50" s="15"/>
    </row>
    <row r="51" spans="3:26" s="14" customFormat="1">
      <c r="C51" s="57"/>
      <c r="D51" s="10"/>
      <c r="E51" s="10"/>
      <c r="F51" s="11"/>
      <c r="G51" s="12"/>
      <c r="H51" s="12"/>
      <c r="I51" s="12"/>
      <c r="J51" s="12"/>
      <c r="K51" s="12"/>
      <c r="L51" s="12"/>
      <c r="M51" s="12"/>
      <c r="N51" s="12"/>
      <c r="O51" s="13"/>
      <c r="Z51" s="15"/>
    </row>
    <row r="52" spans="3:26" s="14" customFormat="1">
      <c r="C52" s="57"/>
      <c r="D52" s="10"/>
      <c r="E52" s="10"/>
      <c r="F52" s="11"/>
      <c r="G52" s="12"/>
      <c r="H52" s="12"/>
      <c r="I52" s="12"/>
      <c r="J52" s="12"/>
      <c r="K52" s="12"/>
      <c r="L52" s="12"/>
      <c r="M52" s="12"/>
      <c r="N52" s="12"/>
      <c r="O52" s="13"/>
      <c r="Z52" s="15"/>
    </row>
    <row r="53" spans="3:26" s="14" customFormat="1">
      <c r="C53" s="57"/>
      <c r="D53" s="10"/>
      <c r="E53" s="10"/>
      <c r="F53" s="11"/>
      <c r="G53" s="12"/>
      <c r="H53" s="12"/>
      <c r="I53" s="12"/>
      <c r="J53" s="12"/>
      <c r="K53" s="12"/>
      <c r="L53" s="12"/>
      <c r="M53" s="12"/>
      <c r="N53" s="12"/>
      <c r="O53" s="13"/>
      <c r="Z53" s="15"/>
    </row>
    <row r="54" spans="3:26" s="14" customFormat="1">
      <c r="C54" s="57"/>
      <c r="D54" s="10"/>
      <c r="E54" s="10"/>
      <c r="F54" s="11"/>
      <c r="G54" s="12"/>
      <c r="H54" s="12"/>
      <c r="I54" s="12"/>
      <c r="J54" s="12"/>
      <c r="K54" s="12"/>
      <c r="L54" s="12"/>
      <c r="M54" s="12"/>
      <c r="N54" s="12"/>
      <c r="O54" s="13"/>
      <c r="Z54" s="15"/>
    </row>
    <row r="55" spans="3:26" s="14" customFormat="1">
      <c r="C55" s="57"/>
      <c r="D55" s="10"/>
      <c r="E55" s="10"/>
      <c r="F55" s="11"/>
      <c r="G55" s="12"/>
      <c r="H55" s="12"/>
      <c r="I55" s="12"/>
      <c r="J55" s="12"/>
      <c r="K55" s="12"/>
      <c r="L55" s="12"/>
      <c r="M55" s="12"/>
      <c r="N55" s="12"/>
      <c r="O55" s="13"/>
      <c r="Z55" s="15"/>
    </row>
    <row r="56" spans="3:26" s="14" customFormat="1">
      <c r="C56" s="57"/>
      <c r="D56" s="10"/>
      <c r="E56" s="10"/>
      <c r="F56" s="11"/>
      <c r="G56" s="12"/>
      <c r="H56" s="12"/>
      <c r="I56" s="12"/>
      <c r="J56" s="12"/>
      <c r="K56" s="12"/>
      <c r="L56" s="12"/>
      <c r="M56" s="12"/>
      <c r="N56" s="12"/>
      <c r="O56" s="13"/>
      <c r="Z56" s="15"/>
    </row>
    <row r="57" spans="3:26" s="14" customFormat="1">
      <c r="C57" s="57"/>
      <c r="D57" s="10"/>
      <c r="E57" s="10"/>
      <c r="F57" s="11"/>
      <c r="G57" s="12"/>
      <c r="H57" s="12"/>
      <c r="I57" s="12"/>
      <c r="J57" s="12"/>
      <c r="K57" s="12"/>
      <c r="L57" s="12"/>
      <c r="M57" s="12"/>
      <c r="N57" s="12"/>
      <c r="O57" s="13"/>
      <c r="Z57" s="15"/>
    </row>
    <row r="58" spans="3:26" s="14" customFormat="1">
      <c r="C58" s="57"/>
      <c r="D58" s="10"/>
      <c r="E58" s="10"/>
      <c r="F58" s="11"/>
      <c r="G58" s="12"/>
      <c r="H58" s="12"/>
      <c r="I58" s="12"/>
      <c r="J58" s="12"/>
      <c r="K58" s="12"/>
      <c r="L58" s="12"/>
      <c r="M58" s="12"/>
      <c r="N58" s="12"/>
      <c r="O58" s="13"/>
      <c r="Z58" s="15"/>
    </row>
    <row r="59" spans="3:26" s="14" customFormat="1">
      <c r="C59" s="57"/>
      <c r="D59" s="10"/>
      <c r="E59" s="10"/>
      <c r="F59" s="11"/>
      <c r="G59" s="12"/>
      <c r="H59" s="12"/>
      <c r="I59" s="12"/>
      <c r="J59" s="12"/>
      <c r="K59" s="12"/>
      <c r="L59" s="12"/>
      <c r="M59" s="12"/>
      <c r="N59" s="12"/>
      <c r="O59" s="13"/>
      <c r="Z59" s="15"/>
    </row>
    <row r="60" spans="3:26" s="14" customFormat="1">
      <c r="C60" s="57"/>
      <c r="D60" s="10"/>
      <c r="E60" s="10"/>
      <c r="F60" s="11"/>
      <c r="G60" s="12"/>
      <c r="H60" s="12"/>
      <c r="I60" s="12"/>
      <c r="J60" s="12"/>
      <c r="K60" s="12"/>
      <c r="L60" s="12"/>
      <c r="M60" s="12"/>
      <c r="N60" s="12"/>
      <c r="O60" s="13"/>
      <c r="Z60" s="15"/>
    </row>
    <row r="61" spans="3:26" s="14" customFormat="1">
      <c r="C61" s="57"/>
      <c r="D61" s="10"/>
      <c r="E61" s="10"/>
      <c r="F61" s="11"/>
      <c r="G61" s="12"/>
      <c r="H61" s="12"/>
      <c r="I61" s="12"/>
      <c r="J61" s="12"/>
      <c r="K61" s="12"/>
      <c r="L61" s="12"/>
      <c r="M61" s="12"/>
      <c r="N61" s="12"/>
      <c r="O61" s="13"/>
      <c r="Z61" s="15"/>
    </row>
    <row r="62" spans="3:26" s="14" customFormat="1">
      <c r="C62" s="57"/>
      <c r="D62" s="10"/>
      <c r="E62" s="10"/>
      <c r="F62" s="11"/>
      <c r="G62" s="12"/>
      <c r="H62" s="12"/>
      <c r="I62" s="12"/>
      <c r="J62" s="12"/>
      <c r="K62" s="12"/>
      <c r="L62" s="12"/>
      <c r="M62" s="12"/>
      <c r="N62" s="12"/>
      <c r="O62" s="13"/>
      <c r="Z62" s="15"/>
    </row>
    <row r="63" spans="3:26" s="14" customFormat="1">
      <c r="C63" s="57"/>
      <c r="D63" s="10"/>
      <c r="E63" s="10"/>
      <c r="F63" s="11"/>
      <c r="G63" s="12"/>
      <c r="H63" s="12"/>
      <c r="I63" s="12"/>
      <c r="J63" s="12"/>
      <c r="K63" s="12"/>
      <c r="L63" s="12"/>
      <c r="M63" s="12"/>
      <c r="N63" s="12"/>
      <c r="O63" s="13"/>
      <c r="Z63" s="15"/>
    </row>
    <row r="64" spans="3:26" s="14" customFormat="1">
      <c r="C64" s="57"/>
      <c r="D64" s="10"/>
      <c r="E64" s="10"/>
      <c r="F64" s="11"/>
      <c r="G64" s="12"/>
      <c r="H64" s="12"/>
      <c r="I64" s="12"/>
      <c r="J64" s="12"/>
      <c r="K64" s="12"/>
      <c r="L64" s="12"/>
      <c r="M64" s="12"/>
      <c r="N64" s="12"/>
      <c r="O64" s="13"/>
      <c r="Z64" s="15"/>
    </row>
    <row r="65" spans="3:26" s="14" customFormat="1">
      <c r="C65" s="57"/>
      <c r="D65" s="10"/>
      <c r="E65" s="10"/>
      <c r="F65" s="11"/>
      <c r="G65" s="12"/>
      <c r="H65" s="12"/>
      <c r="I65" s="12"/>
      <c r="J65" s="12"/>
      <c r="K65" s="12"/>
      <c r="L65" s="12"/>
      <c r="M65" s="12"/>
      <c r="N65" s="12"/>
      <c r="O65" s="13"/>
      <c r="Z65" s="15"/>
    </row>
    <row r="66" spans="3:26" s="14" customFormat="1">
      <c r="C66" s="57"/>
      <c r="D66" s="10"/>
      <c r="E66" s="10"/>
      <c r="F66" s="11"/>
      <c r="G66" s="12"/>
      <c r="H66" s="12"/>
      <c r="I66" s="12"/>
      <c r="J66" s="12"/>
      <c r="K66" s="12"/>
      <c r="L66" s="12"/>
      <c r="M66" s="12"/>
      <c r="N66" s="12"/>
      <c r="O66" s="13"/>
      <c r="Z66" s="15"/>
    </row>
    <row r="67" spans="3:26" s="14" customFormat="1">
      <c r="C67" s="57"/>
      <c r="D67" s="10"/>
      <c r="E67" s="10"/>
      <c r="F67" s="11"/>
      <c r="G67" s="12"/>
      <c r="H67" s="12"/>
      <c r="I67" s="12"/>
      <c r="J67" s="12"/>
      <c r="K67" s="12"/>
      <c r="L67" s="12"/>
      <c r="M67" s="12"/>
      <c r="N67" s="12"/>
      <c r="O67" s="13"/>
      <c r="Z67" s="15"/>
    </row>
    <row r="68" spans="3:26" s="14" customFormat="1">
      <c r="C68" s="57"/>
      <c r="D68" s="10"/>
      <c r="E68" s="10"/>
      <c r="F68" s="11"/>
      <c r="G68" s="12"/>
      <c r="H68" s="12"/>
      <c r="I68" s="12"/>
      <c r="J68" s="12"/>
      <c r="K68" s="12"/>
      <c r="L68" s="12"/>
      <c r="M68" s="12"/>
      <c r="N68" s="12"/>
      <c r="O68" s="13"/>
      <c r="Z68" s="15"/>
    </row>
    <row r="69" spans="3:26" s="14" customFormat="1">
      <c r="C69" s="57"/>
      <c r="D69" s="10"/>
      <c r="E69" s="10"/>
      <c r="F69" s="11"/>
      <c r="G69" s="12"/>
      <c r="H69" s="12"/>
      <c r="I69" s="12"/>
      <c r="J69" s="12"/>
      <c r="K69" s="12"/>
      <c r="L69" s="12"/>
      <c r="M69" s="12"/>
      <c r="N69" s="12"/>
      <c r="O69" s="13"/>
      <c r="Z69" s="15"/>
    </row>
    <row r="70" spans="3:26" s="14" customFormat="1">
      <c r="C70" s="57"/>
      <c r="D70" s="10"/>
      <c r="E70" s="10"/>
      <c r="F70" s="11"/>
      <c r="G70" s="12"/>
      <c r="H70" s="12"/>
      <c r="I70" s="12"/>
      <c r="J70" s="12"/>
      <c r="K70" s="12"/>
      <c r="L70" s="12"/>
      <c r="M70" s="12"/>
      <c r="N70" s="12"/>
      <c r="O70" s="13"/>
      <c r="Z70" s="15"/>
    </row>
    <row r="71" spans="3:26" s="14" customFormat="1">
      <c r="C71" s="57"/>
      <c r="D71" s="10"/>
      <c r="E71" s="10"/>
      <c r="F71" s="11"/>
      <c r="G71" s="12"/>
      <c r="H71" s="12"/>
      <c r="I71" s="12"/>
      <c r="J71" s="12"/>
      <c r="K71" s="12"/>
      <c r="L71" s="12"/>
      <c r="M71" s="12"/>
      <c r="N71" s="12"/>
      <c r="O71" s="13"/>
      <c r="Z71" s="15"/>
    </row>
  </sheetData>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55"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17" t="s">
        <v>64</v>
      </c>
    </row>
    <row r="2" spans="3:27">
      <c r="C2" s="1"/>
      <c r="F2" s="3"/>
    </row>
    <row r="3" spans="3:27" s="4" customFormat="1" ht="13.5" thickBot="1">
      <c r="C3" s="33"/>
      <c r="D3" s="9">
        <f>Score!C1</f>
        <v>1</v>
      </c>
      <c r="E3" s="9">
        <f>Score!E1</f>
        <v>3</v>
      </c>
      <c r="F3" s="9">
        <f>Score!F1</f>
        <v>4</v>
      </c>
      <c r="G3" s="9">
        <f>Score!G1</f>
        <v>5</v>
      </c>
      <c r="H3" s="9">
        <f>Score!H1</f>
        <v>6</v>
      </c>
      <c r="I3" s="9">
        <f>Score!I1</f>
        <v>7</v>
      </c>
      <c r="J3" s="9">
        <f>Score!J1</f>
        <v>8</v>
      </c>
      <c r="K3" s="9">
        <f>Score!K1</f>
        <v>9</v>
      </c>
      <c r="L3" s="9">
        <f>Score!L1</f>
        <v>10</v>
      </c>
      <c r="M3" s="9">
        <f>Score!M1</f>
        <v>11</v>
      </c>
      <c r="N3" s="9">
        <f>Score!N1</f>
        <v>12</v>
      </c>
      <c r="O3" s="9">
        <f>Score!O1</f>
        <v>13</v>
      </c>
      <c r="P3" s="9">
        <f>Score!P1</f>
        <v>14</v>
      </c>
      <c r="Q3" s="9">
        <f>Score!Q1</f>
        <v>15</v>
      </c>
      <c r="R3" s="9">
        <f>Score!R1</f>
        <v>16</v>
      </c>
      <c r="S3" s="9">
        <f>Score!S1</f>
        <v>17</v>
      </c>
      <c r="T3" s="9">
        <f>Score!T1</f>
        <v>18</v>
      </c>
      <c r="U3" s="9">
        <f>Score!U1</f>
        <v>19</v>
      </c>
      <c r="V3" s="9">
        <f>Score!V1</f>
        <v>20</v>
      </c>
      <c r="W3" s="9">
        <f>Score!W1</f>
        <v>21</v>
      </c>
      <c r="X3" s="9" t="e">
        <f>Score!#REF!</f>
        <v>#REF!</v>
      </c>
      <c r="Y3" s="9" t="s">
        <v>2</v>
      </c>
      <c r="Z3" s="7"/>
    </row>
    <row r="4" spans="3:27">
      <c r="C4" t="s">
        <v>27</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t="s">
        <v>28</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29</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50</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51</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52</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53</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54</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55</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56</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57</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58</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59</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60</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61</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62</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63</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76" customFormat="1">
      <c r="C21" s="76" t="s">
        <v>19</v>
      </c>
      <c r="D21" s="77"/>
      <c r="E21" s="78"/>
      <c r="F21" s="77"/>
      <c r="G21" s="77"/>
      <c r="H21" s="77"/>
      <c r="I21" s="77"/>
      <c r="J21" s="77"/>
      <c r="K21" s="77"/>
      <c r="L21" s="77"/>
      <c r="M21" s="77"/>
      <c r="N21" s="77"/>
      <c r="O21" s="77"/>
      <c r="P21" s="77"/>
      <c r="Q21" s="77"/>
      <c r="R21" s="77"/>
      <c r="S21" s="77"/>
      <c r="T21" s="77"/>
      <c r="U21" s="77"/>
      <c r="V21" s="77"/>
      <c r="W21" s="77"/>
      <c r="X21" s="77"/>
      <c r="Y21" s="77"/>
      <c r="Z21" s="81"/>
    </row>
    <row r="22" spans="3:27" s="1" customFormat="1">
      <c r="C22"/>
      <c r="D22" s="74" t="e">
        <f t="shared" ref="D22:Z22" si="2">SUM(D4:D21)</f>
        <v>#N/A</v>
      </c>
      <c r="E22" s="74" t="e">
        <f t="shared" si="2"/>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5" t="e">
        <f t="shared" si="2"/>
        <v>#N/A</v>
      </c>
    </row>
    <row r="23" spans="3:27" s="58" customFormat="1">
      <c r="C23"/>
      <c r="D23" s="59"/>
      <c r="E23" s="59"/>
      <c r="F23" s="54"/>
      <c r="G23" s="59"/>
      <c r="H23" s="59"/>
      <c r="I23" s="59"/>
      <c r="J23" s="59"/>
      <c r="K23" s="59"/>
      <c r="L23" s="59"/>
      <c r="M23" s="59"/>
      <c r="N23" s="59"/>
      <c r="O23" s="59"/>
      <c r="P23" s="59"/>
      <c r="Q23" s="59"/>
      <c r="R23" s="59"/>
      <c r="S23" s="59"/>
      <c r="T23" s="59"/>
      <c r="U23" s="59"/>
      <c r="V23" s="59"/>
      <c r="W23" s="59"/>
      <c r="X23" s="59"/>
      <c r="Y23" s="59"/>
      <c r="Z23" s="67"/>
    </row>
    <row r="24" spans="3:27" s="70" customFormat="1">
      <c r="C24"/>
      <c r="D24" s="69" t="e">
        <f>VLOOKUP($C24,Score!$B$2:$X$71,2,0)</f>
        <v>#N/A</v>
      </c>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row>
    <row r="25" spans="3:27" s="70" customFormat="1">
      <c r="C25"/>
      <c r="D25" s="69" t="e">
        <f>VLOOKUP($C25,Score!$B$2:$X$71,2,0)</f>
        <v>#N/A</v>
      </c>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row>
    <row r="26" spans="3:27" s="70" customFormat="1">
      <c r="C26"/>
      <c r="D26" s="69" t="e">
        <f>VLOOKUP($C26,Score!$B$2:$X$71,2,0)</f>
        <v>#N/A</v>
      </c>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row>
    <row r="27" spans="3:27" s="56" customFormat="1">
      <c r="C27" s="32"/>
      <c r="D27" s="45"/>
      <c r="E27" s="45"/>
      <c r="F27" s="46"/>
      <c r="G27" s="45"/>
      <c r="H27" s="45"/>
      <c r="I27" s="45"/>
      <c r="J27" s="45"/>
      <c r="K27" s="45"/>
      <c r="L27" s="45"/>
      <c r="M27" s="45"/>
      <c r="N27" s="45"/>
      <c r="Z27" s="49"/>
    </row>
    <row r="28" spans="3:27" s="56" customFormat="1">
      <c r="C28" s="64"/>
      <c r="D28" s="45"/>
      <c r="E28" s="45"/>
      <c r="F28" s="46"/>
      <c r="G28" s="45"/>
      <c r="H28" s="45"/>
      <c r="I28" s="45"/>
      <c r="J28" s="45"/>
      <c r="K28" s="45"/>
      <c r="L28" s="45"/>
      <c r="M28" s="45"/>
      <c r="N28" s="45"/>
      <c r="Z28" s="49"/>
    </row>
    <row r="29" spans="3:27" s="56" customFormat="1">
      <c r="C29" s="32"/>
      <c r="D29" s="45"/>
      <c r="E29" s="45"/>
      <c r="F29" s="46"/>
      <c r="G29" s="45"/>
      <c r="H29" s="45"/>
      <c r="I29" s="45"/>
      <c r="J29" s="45"/>
      <c r="K29" s="45"/>
      <c r="L29" s="45"/>
      <c r="M29" s="45"/>
      <c r="N29" s="45"/>
      <c r="Z29" s="49"/>
    </row>
    <row r="30" spans="3:27" s="56" customFormat="1">
      <c r="C30" s="32"/>
      <c r="D30" s="45"/>
      <c r="E30" s="45"/>
      <c r="F30" s="46"/>
      <c r="G30" s="45"/>
      <c r="H30" s="45"/>
      <c r="I30" s="45"/>
      <c r="J30" s="45"/>
      <c r="K30" s="45"/>
      <c r="L30" s="45"/>
      <c r="M30" s="45"/>
      <c r="N30" s="45"/>
      <c r="Z30" s="49"/>
    </row>
    <row r="31" spans="3:27" s="56" customFormat="1">
      <c r="C31" s="32"/>
      <c r="D31" s="45"/>
      <c r="E31" s="45"/>
      <c r="F31" s="46"/>
      <c r="G31" s="45"/>
      <c r="H31" s="45"/>
      <c r="I31" s="45"/>
      <c r="J31" s="45"/>
      <c r="K31" s="45"/>
      <c r="L31" s="45"/>
      <c r="M31" s="45"/>
      <c r="N31" s="45"/>
      <c r="Z31" s="49"/>
    </row>
    <row r="32" spans="3:27" s="14" customFormat="1">
      <c r="C32" s="16"/>
      <c r="D32" s="10"/>
      <c r="E32" s="10"/>
      <c r="F32" s="11"/>
      <c r="G32" s="12"/>
      <c r="H32" s="12"/>
      <c r="I32" s="12"/>
      <c r="J32" s="12"/>
      <c r="K32" s="12"/>
      <c r="L32" s="12"/>
      <c r="M32" s="12"/>
      <c r="N32" s="12"/>
      <c r="O32" s="13"/>
      <c r="Z32" s="15"/>
    </row>
    <row r="33" spans="3:26" s="14" customFormat="1">
      <c r="C33" s="16"/>
      <c r="D33" s="10"/>
      <c r="E33" s="10"/>
      <c r="F33" s="11"/>
      <c r="G33" s="12"/>
      <c r="H33" s="12"/>
      <c r="I33" s="12"/>
      <c r="J33" s="12"/>
      <c r="K33" s="12"/>
      <c r="L33" s="12"/>
      <c r="M33" s="12"/>
      <c r="N33" s="12"/>
      <c r="O33" s="13"/>
      <c r="Z33" s="15"/>
    </row>
    <row r="34" spans="3:26" s="14" customFormat="1">
      <c r="C34" s="16"/>
      <c r="D34" s="10"/>
      <c r="E34" s="10"/>
      <c r="F34" s="11"/>
      <c r="G34" s="12"/>
      <c r="H34" s="12"/>
      <c r="I34" s="12"/>
      <c r="J34" s="12"/>
      <c r="K34" s="12"/>
      <c r="L34" s="12"/>
      <c r="M34" s="12"/>
      <c r="N34" s="12"/>
      <c r="O34" s="13"/>
      <c r="Z34" s="15"/>
    </row>
    <row r="35" spans="3:26" s="14" customFormat="1">
      <c r="C35" s="16"/>
      <c r="D35" s="10"/>
      <c r="E35" s="10"/>
      <c r="F35" s="11"/>
      <c r="G35" s="12"/>
      <c r="H35" s="12"/>
      <c r="I35" s="12"/>
      <c r="J35" s="12"/>
      <c r="K35" s="12"/>
      <c r="L35" s="12"/>
      <c r="M35" s="12"/>
      <c r="N35" s="12"/>
      <c r="O35" s="13"/>
      <c r="Z35" s="15"/>
    </row>
    <row r="36" spans="3:26" s="14" customFormat="1">
      <c r="C36" s="16"/>
      <c r="D36" s="10"/>
      <c r="E36" s="10"/>
      <c r="F36" s="11"/>
      <c r="G36" s="12"/>
      <c r="H36" s="12"/>
      <c r="I36" s="12"/>
      <c r="J36" s="12"/>
      <c r="K36" s="12"/>
      <c r="L36" s="12"/>
      <c r="M36" s="12"/>
      <c r="N36" s="12"/>
      <c r="O36" s="13"/>
      <c r="Z36" s="15"/>
    </row>
    <row r="37" spans="3:26" s="14" customFormat="1">
      <c r="C37" s="16"/>
      <c r="D37" s="10"/>
      <c r="E37" s="10"/>
      <c r="F37" s="11"/>
      <c r="G37" s="12"/>
      <c r="H37" s="12"/>
      <c r="I37" s="12"/>
      <c r="J37" s="12"/>
      <c r="K37" s="12"/>
      <c r="L37" s="12"/>
      <c r="M37" s="12"/>
      <c r="N37" s="12"/>
      <c r="O37" s="13"/>
      <c r="Z37" s="15"/>
    </row>
    <row r="38" spans="3:26" s="14" customFormat="1">
      <c r="C38" s="16"/>
      <c r="D38" s="10"/>
      <c r="E38" s="10"/>
      <c r="F38" s="11"/>
      <c r="G38" s="12"/>
      <c r="H38" s="12"/>
      <c r="I38" s="12"/>
      <c r="J38" s="12"/>
      <c r="K38" s="12"/>
      <c r="L38" s="12"/>
      <c r="M38" s="12"/>
      <c r="N38" s="12"/>
      <c r="O38" s="13"/>
      <c r="Z38" s="15"/>
    </row>
    <row r="39" spans="3:26" s="14" customFormat="1">
      <c r="C39" s="16"/>
      <c r="D39" s="10"/>
      <c r="E39" s="10"/>
      <c r="F39" s="11"/>
      <c r="G39" s="12"/>
      <c r="H39" s="12"/>
      <c r="I39" s="12"/>
      <c r="J39" s="12"/>
      <c r="K39" s="12"/>
      <c r="L39" s="12"/>
      <c r="M39" s="12"/>
      <c r="N39" s="12"/>
      <c r="O39" s="13"/>
      <c r="Z39" s="15"/>
    </row>
    <row r="40" spans="3:26" s="14" customFormat="1">
      <c r="C40" s="16"/>
      <c r="D40" s="10"/>
      <c r="E40" s="10"/>
      <c r="F40" s="11"/>
      <c r="G40" s="12"/>
      <c r="H40" s="12"/>
      <c r="I40" s="12"/>
      <c r="J40" s="12"/>
      <c r="K40" s="12"/>
      <c r="L40" s="12"/>
      <c r="M40" s="12"/>
      <c r="N40" s="12"/>
      <c r="O40" s="13"/>
      <c r="Z40" s="15"/>
    </row>
    <row r="41" spans="3:26" s="14" customFormat="1">
      <c r="C41" s="57"/>
      <c r="D41" s="10"/>
      <c r="E41" s="10"/>
      <c r="F41" s="11"/>
      <c r="G41" s="12"/>
      <c r="H41" s="12"/>
      <c r="I41" s="12"/>
      <c r="J41" s="12"/>
      <c r="K41" s="12"/>
      <c r="L41" s="12"/>
      <c r="M41" s="12"/>
      <c r="N41" s="12"/>
      <c r="O41" s="13"/>
      <c r="Z41" s="15"/>
    </row>
    <row r="42" spans="3:26" s="14" customFormat="1">
      <c r="C42" s="57"/>
      <c r="D42" s="10"/>
      <c r="E42" s="10"/>
      <c r="F42" s="11"/>
      <c r="G42" s="12"/>
      <c r="H42" s="12"/>
      <c r="I42" s="12"/>
      <c r="J42" s="12"/>
      <c r="K42" s="12"/>
      <c r="L42" s="12"/>
      <c r="M42" s="12"/>
      <c r="N42" s="12"/>
      <c r="O42" s="13"/>
      <c r="Z42" s="15"/>
    </row>
    <row r="43" spans="3:26" s="14" customFormat="1">
      <c r="C43" s="57"/>
      <c r="D43" s="10"/>
      <c r="E43" s="10"/>
      <c r="F43" s="11"/>
      <c r="G43" s="12"/>
      <c r="H43" s="12"/>
      <c r="I43" s="12"/>
      <c r="J43" s="12"/>
      <c r="K43" s="12"/>
      <c r="L43" s="12"/>
      <c r="M43" s="12"/>
      <c r="N43" s="12"/>
      <c r="O43" s="13"/>
      <c r="Z43" s="15"/>
    </row>
    <row r="44" spans="3:26" s="14" customFormat="1">
      <c r="C44" s="57"/>
      <c r="D44" s="10"/>
      <c r="E44" s="10"/>
      <c r="F44" s="11"/>
      <c r="G44" s="12"/>
      <c r="H44" s="12"/>
      <c r="I44" s="12"/>
      <c r="J44" s="12"/>
      <c r="K44" s="12"/>
      <c r="L44" s="12"/>
      <c r="M44" s="12"/>
      <c r="N44" s="12"/>
      <c r="O44" s="13"/>
      <c r="Z44" s="15"/>
    </row>
    <row r="45" spans="3:26" s="14" customFormat="1">
      <c r="C45" s="57"/>
      <c r="D45" s="10"/>
      <c r="E45" s="10"/>
      <c r="F45" s="11"/>
      <c r="G45" s="12"/>
      <c r="H45" s="12"/>
      <c r="I45" s="12"/>
      <c r="J45" s="12"/>
      <c r="K45" s="12"/>
      <c r="L45" s="12"/>
      <c r="M45" s="12"/>
      <c r="N45" s="12"/>
      <c r="O45" s="13"/>
      <c r="Z45" s="15"/>
    </row>
    <row r="46" spans="3:26" s="14" customFormat="1">
      <c r="C46" s="57"/>
      <c r="D46" s="10"/>
      <c r="E46" s="10"/>
      <c r="F46" s="11"/>
      <c r="G46" s="12"/>
      <c r="H46" s="12"/>
      <c r="I46" s="12"/>
      <c r="J46" s="12"/>
      <c r="K46" s="12"/>
      <c r="L46" s="12"/>
      <c r="M46" s="12"/>
      <c r="N46" s="12"/>
      <c r="O46" s="13"/>
      <c r="Z46" s="15"/>
    </row>
    <row r="47" spans="3:26" s="14" customFormat="1">
      <c r="C47" s="57"/>
      <c r="D47" s="10"/>
      <c r="E47" s="10"/>
      <c r="F47" s="11"/>
      <c r="G47" s="12"/>
      <c r="H47" s="12"/>
      <c r="I47" s="12"/>
      <c r="J47" s="12"/>
      <c r="K47" s="12"/>
      <c r="L47" s="12"/>
      <c r="M47" s="12"/>
      <c r="N47" s="12"/>
      <c r="O47" s="13"/>
      <c r="Z47" s="15"/>
    </row>
    <row r="48" spans="3:26" s="14" customFormat="1">
      <c r="C48" s="57"/>
      <c r="D48" s="10"/>
      <c r="E48" s="10"/>
      <c r="F48" s="11"/>
      <c r="G48" s="12"/>
      <c r="H48" s="12"/>
      <c r="I48" s="12"/>
      <c r="J48" s="12"/>
      <c r="K48" s="12"/>
      <c r="L48" s="12"/>
      <c r="M48" s="12"/>
      <c r="N48" s="12"/>
      <c r="O48" s="13"/>
      <c r="Z48" s="15"/>
    </row>
    <row r="49" spans="3:26" s="14" customFormat="1">
      <c r="C49" s="57"/>
      <c r="D49" s="10"/>
      <c r="E49" s="10"/>
      <c r="F49" s="11"/>
      <c r="G49" s="12"/>
      <c r="H49" s="12"/>
      <c r="I49" s="12"/>
      <c r="J49" s="12"/>
      <c r="K49" s="12"/>
      <c r="L49" s="12"/>
      <c r="M49" s="12"/>
      <c r="N49" s="12"/>
      <c r="O49" s="13"/>
      <c r="Z49" s="15"/>
    </row>
    <row r="50" spans="3:26" s="14" customFormat="1">
      <c r="C50" s="57"/>
      <c r="D50" s="10"/>
      <c r="E50" s="10"/>
      <c r="F50" s="11"/>
      <c r="G50" s="12"/>
      <c r="H50" s="12"/>
      <c r="I50" s="12"/>
      <c r="J50" s="12"/>
      <c r="K50" s="12"/>
      <c r="L50" s="12"/>
      <c r="M50" s="12"/>
      <c r="N50" s="12"/>
      <c r="O50" s="13"/>
      <c r="Z50" s="15"/>
    </row>
    <row r="51" spans="3:26" s="14" customFormat="1">
      <c r="C51" s="57"/>
      <c r="D51" s="10"/>
      <c r="E51" s="10"/>
      <c r="F51" s="11"/>
      <c r="G51" s="12"/>
      <c r="H51" s="12"/>
      <c r="I51" s="12"/>
      <c r="J51" s="12"/>
      <c r="K51" s="12"/>
      <c r="L51" s="12"/>
      <c r="M51" s="12"/>
      <c r="N51" s="12"/>
      <c r="O51" s="13"/>
      <c r="Z51" s="15"/>
    </row>
    <row r="52" spans="3:26" s="14" customFormat="1">
      <c r="C52" s="57"/>
      <c r="D52" s="10"/>
      <c r="E52" s="10"/>
      <c r="F52" s="11"/>
      <c r="G52" s="12"/>
      <c r="H52" s="12"/>
      <c r="I52" s="12"/>
      <c r="J52" s="12"/>
      <c r="K52" s="12"/>
      <c r="L52" s="12"/>
      <c r="M52" s="12"/>
      <c r="N52" s="12"/>
      <c r="O52" s="13"/>
      <c r="Z52" s="15"/>
    </row>
    <row r="53" spans="3:26" s="14" customFormat="1">
      <c r="C53" s="57"/>
      <c r="D53" s="10"/>
      <c r="E53" s="10"/>
      <c r="F53" s="11"/>
      <c r="G53" s="12"/>
      <c r="H53" s="12"/>
      <c r="I53" s="12"/>
      <c r="J53" s="12"/>
      <c r="K53" s="12"/>
      <c r="L53" s="12"/>
      <c r="M53" s="12"/>
      <c r="N53" s="12"/>
      <c r="O53" s="13"/>
      <c r="Z53" s="15"/>
    </row>
    <row r="54" spans="3:26" s="14" customFormat="1">
      <c r="C54" s="57"/>
      <c r="D54" s="10"/>
      <c r="E54" s="10"/>
      <c r="F54" s="11"/>
      <c r="G54" s="12"/>
      <c r="H54" s="12"/>
      <c r="I54" s="12"/>
      <c r="J54" s="12"/>
      <c r="K54" s="12"/>
      <c r="L54" s="12"/>
      <c r="M54" s="12"/>
      <c r="N54" s="12"/>
      <c r="O54" s="13"/>
      <c r="Z54" s="15"/>
    </row>
    <row r="55" spans="3:26" s="14" customFormat="1">
      <c r="C55" s="57"/>
      <c r="D55" s="10"/>
      <c r="E55" s="10"/>
      <c r="F55" s="11"/>
      <c r="G55" s="12"/>
      <c r="H55" s="12"/>
      <c r="I55" s="12"/>
      <c r="J55" s="12"/>
      <c r="K55" s="12"/>
      <c r="L55" s="12"/>
      <c r="M55" s="12"/>
      <c r="N55" s="12"/>
      <c r="O55" s="13"/>
      <c r="Z55" s="15"/>
    </row>
    <row r="56" spans="3:26" s="14" customFormat="1">
      <c r="C56" s="57"/>
      <c r="D56" s="10"/>
      <c r="E56" s="10"/>
      <c r="F56" s="11"/>
      <c r="G56" s="12"/>
      <c r="H56" s="12"/>
      <c r="I56" s="12"/>
      <c r="J56" s="12"/>
      <c r="K56" s="12"/>
      <c r="L56" s="12"/>
      <c r="M56" s="12"/>
      <c r="N56" s="12"/>
      <c r="O56" s="13"/>
      <c r="Z56" s="15"/>
    </row>
    <row r="57" spans="3:26" s="14" customFormat="1">
      <c r="C57" s="57"/>
      <c r="D57" s="10"/>
      <c r="E57" s="10"/>
      <c r="F57" s="11"/>
      <c r="G57" s="12"/>
      <c r="H57" s="12"/>
      <c r="I57" s="12"/>
      <c r="J57" s="12"/>
      <c r="K57" s="12"/>
      <c r="L57" s="12"/>
      <c r="M57" s="12"/>
      <c r="N57" s="12"/>
      <c r="O57" s="13"/>
      <c r="Z57" s="15"/>
    </row>
    <row r="58" spans="3:26" s="14" customFormat="1">
      <c r="C58" s="57"/>
      <c r="D58" s="10"/>
      <c r="E58" s="10"/>
      <c r="F58" s="11"/>
      <c r="G58" s="12"/>
      <c r="H58" s="12"/>
      <c r="I58" s="12"/>
      <c r="J58" s="12"/>
      <c r="K58" s="12"/>
      <c r="L58" s="12"/>
      <c r="M58" s="12"/>
      <c r="N58" s="12"/>
      <c r="O58" s="13"/>
      <c r="Z58" s="15"/>
    </row>
    <row r="59" spans="3:26" s="14" customFormat="1">
      <c r="C59" s="57"/>
      <c r="D59" s="10"/>
      <c r="E59" s="10"/>
      <c r="F59" s="11"/>
      <c r="G59" s="12"/>
      <c r="H59" s="12"/>
      <c r="I59" s="12"/>
      <c r="J59" s="12"/>
      <c r="K59" s="12"/>
      <c r="L59" s="12"/>
      <c r="M59" s="12"/>
      <c r="N59" s="12"/>
      <c r="O59" s="13"/>
      <c r="Z59" s="15"/>
    </row>
    <row r="60" spans="3:26" s="14" customFormat="1">
      <c r="C60" s="57"/>
      <c r="D60" s="10"/>
      <c r="E60" s="10"/>
      <c r="F60" s="11"/>
      <c r="G60" s="12"/>
      <c r="H60" s="12"/>
      <c r="I60" s="12"/>
      <c r="J60" s="12"/>
      <c r="K60" s="12"/>
      <c r="L60" s="12"/>
      <c r="M60" s="12"/>
      <c r="N60" s="12"/>
      <c r="O60" s="13"/>
      <c r="Z60" s="15"/>
    </row>
    <row r="61" spans="3:26" s="14" customFormat="1">
      <c r="C61" s="57"/>
      <c r="D61" s="10"/>
      <c r="E61" s="10"/>
      <c r="F61" s="11"/>
      <c r="G61" s="12"/>
      <c r="H61" s="12"/>
      <c r="I61" s="12"/>
      <c r="J61" s="12"/>
      <c r="K61" s="12"/>
      <c r="L61" s="12"/>
      <c r="M61" s="12"/>
      <c r="N61" s="12"/>
      <c r="O61" s="13"/>
      <c r="Z61" s="15"/>
    </row>
    <row r="62" spans="3:26" s="14" customFormat="1">
      <c r="C62" s="57"/>
      <c r="D62" s="10"/>
      <c r="E62" s="10"/>
      <c r="F62" s="11"/>
      <c r="G62" s="12"/>
      <c r="H62" s="12"/>
      <c r="I62" s="12"/>
      <c r="J62" s="12"/>
      <c r="K62" s="12"/>
      <c r="L62" s="12"/>
      <c r="M62" s="12"/>
      <c r="N62" s="12"/>
      <c r="O62" s="13"/>
      <c r="Z62" s="15"/>
    </row>
    <row r="63" spans="3:26" s="14" customFormat="1">
      <c r="C63" s="57"/>
      <c r="D63" s="10"/>
      <c r="E63" s="10"/>
      <c r="F63" s="11"/>
      <c r="G63" s="12"/>
      <c r="H63" s="12"/>
      <c r="I63" s="12"/>
      <c r="J63" s="12"/>
      <c r="K63" s="12"/>
      <c r="L63" s="12"/>
      <c r="M63" s="12"/>
      <c r="N63" s="12"/>
      <c r="O63" s="13"/>
      <c r="Z63" s="15"/>
    </row>
    <row r="64" spans="3:26" s="14" customFormat="1">
      <c r="C64" s="57"/>
      <c r="D64" s="10"/>
      <c r="E64" s="10"/>
      <c r="F64" s="11"/>
      <c r="G64" s="12"/>
      <c r="H64" s="12"/>
      <c r="I64" s="12"/>
      <c r="J64" s="12"/>
      <c r="K64" s="12"/>
      <c r="L64" s="12"/>
      <c r="M64" s="12"/>
      <c r="N64" s="12"/>
      <c r="O64" s="13"/>
      <c r="Z64" s="15"/>
    </row>
    <row r="65" spans="3:26" s="14" customFormat="1">
      <c r="C65" s="57"/>
      <c r="D65" s="10"/>
      <c r="E65" s="10"/>
      <c r="F65" s="11"/>
      <c r="G65" s="12"/>
      <c r="H65" s="12"/>
      <c r="I65" s="12"/>
      <c r="J65" s="12"/>
      <c r="K65" s="12"/>
      <c r="L65" s="12"/>
      <c r="M65" s="12"/>
      <c r="N65" s="12"/>
      <c r="O65" s="13"/>
      <c r="Z65" s="15"/>
    </row>
    <row r="66" spans="3:26" s="14" customFormat="1">
      <c r="C66" s="57"/>
      <c r="D66" s="10"/>
      <c r="E66" s="10"/>
      <c r="F66" s="11"/>
      <c r="G66" s="12"/>
      <c r="H66" s="12"/>
      <c r="I66" s="12"/>
      <c r="J66" s="12"/>
      <c r="K66" s="12"/>
      <c r="L66" s="12"/>
      <c r="M66" s="12"/>
      <c r="N66" s="12"/>
      <c r="O66" s="13"/>
      <c r="Z66" s="15"/>
    </row>
    <row r="67" spans="3:26" s="14" customFormat="1">
      <c r="C67" s="57"/>
      <c r="D67" s="10"/>
      <c r="E67" s="10"/>
      <c r="F67" s="11"/>
      <c r="G67" s="12"/>
      <c r="H67" s="12"/>
      <c r="I67" s="12"/>
      <c r="J67" s="12"/>
      <c r="K67" s="12"/>
      <c r="L67" s="12"/>
      <c r="M67" s="12"/>
      <c r="N67" s="12"/>
      <c r="O67" s="13"/>
      <c r="Z67" s="15"/>
    </row>
    <row r="68" spans="3:26" s="14" customFormat="1">
      <c r="C68" s="57"/>
      <c r="D68" s="10"/>
      <c r="E68" s="10"/>
      <c r="F68" s="11"/>
      <c r="G68" s="12"/>
      <c r="H68" s="12"/>
      <c r="I68" s="12"/>
      <c r="J68" s="12"/>
      <c r="K68" s="12"/>
      <c r="L68" s="12"/>
      <c r="M68" s="12"/>
      <c r="N68" s="12"/>
      <c r="O68" s="13"/>
      <c r="Z68" s="15"/>
    </row>
    <row r="69" spans="3:26" s="14" customFormat="1">
      <c r="C69" s="57"/>
      <c r="D69" s="10"/>
      <c r="E69" s="10"/>
      <c r="F69" s="11"/>
      <c r="G69" s="12"/>
      <c r="H69" s="12"/>
      <c r="I69" s="12"/>
      <c r="J69" s="12"/>
      <c r="K69" s="12"/>
      <c r="L69" s="12"/>
      <c r="M69" s="12"/>
      <c r="N69" s="12"/>
      <c r="O69" s="13"/>
      <c r="Z69" s="15"/>
    </row>
    <row r="70" spans="3:26" s="14" customFormat="1">
      <c r="C70" s="57"/>
      <c r="D70" s="10"/>
      <c r="E70" s="10"/>
      <c r="F70" s="11"/>
      <c r="G70" s="12"/>
      <c r="H70" s="12"/>
      <c r="I70" s="12"/>
      <c r="J70" s="12"/>
      <c r="K70" s="12"/>
      <c r="L70" s="12"/>
      <c r="M70" s="12"/>
      <c r="N70" s="12"/>
      <c r="O70" s="13"/>
      <c r="Z70" s="15"/>
    </row>
    <row r="71" spans="3:26" s="14" customFormat="1">
      <c r="C71" s="57"/>
      <c r="D71" s="10"/>
      <c r="E71" s="10"/>
      <c r="F71" s="11"/>
      <c r="G71" s="12"/>
      <c r="H71" s="12"/>
      <c r="I71" s="12"/>
      <c r="J71" s="12"/>
      <c r="K71" s="12"/>
      <c r="L71" s="12"/>
      <c r="M71" s="12"/>
      <c r="N71" s="12"/>
      <c r="O71" s="13"/>
      <c r="Z71" s="15"/>
    </row>
  </sheetData>
  <phoneticPr fontId="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enableFormatConditionsCalculation="0">
    <tabColor indexed="12"/>
  </sheetPr>
  <dimension ref="C1:AA56"/>
  <sheetViews>
    <sheetView showZeros="0" workbookViewId="0">
      <selection activeCell="Z27" sqref="Z27"/>
    </sheetView>
  </sheetViews>
  <sheetFormatPr defaultRowHeight="12.75"/>
  <cols>
    <col min="1" max="1" width="2.7109375" customWidth="1"/>
    <col min="2" max="2" width="3.42578125" customWidth="1"/>
    <col min="3" max="3" width="12.28515625" style="8" customWidth="1"/>
    <col min="4" max="5" width="5.28515625" style="2" customWidth="1"/>
    <col min="6" max="6" width="5.42578125" style="5" customWidth="1"/>
    <col min="7" max="14" width="5.42578125" style="3" customWidth="1"/>
    <col min="15" max="15" width="5.42578125" style="4" customWidth="1"/>
    <col min="16" max="24" width="5.42578125" customWidth="1"/>
    <col min="25" max="25" width="6.85546875" customWidth="1"/>
    <col min="26" max="26" width="6.28515625" style="1" customWidth="1"/>
    <col min="27" max="27" width="15" customWidth="1"/>
  </cols>
  <sheetData>
    <row r="1" spans="3:27">
      <c r="C1" s="17" t="s">
        <v>64</v>
      </c>
      <c r="D1" s="3"/>
    </row>
    <row r="2" spans="3:27">
      <c r="C2" s="1"/>
      <c r="F2" s="3"/>
    </row>
    <row r="3" spans="3:27" s="4" customFormat="1" ht="13.5" thickBot="1">
      <c r="C3" s="33"/>
      <c r="D3" s="9">
        <f>Score!C1</f>
        <v>1</v>
      </c>
      <c r="E3" s="9">
        <f>Score!E1</f>
        <v>3</v>
      </c>
      <c r="F3" s="9">
        <f>Score!F1</f>
        <v>4</v>
      </c>
      <c r="G3" s="9">
        <f>Score!G1</f>
        <v>5</v>
      </c>
      <c r="H3" s="9">
        <f>Score!H1</f>
        <v>6</v>
      </c>
      <c r="I3" s="9">
        <f>Score!I1</f>
        <v>7</v>
      </c>
      <c r="J3" s="9">
        <f>Score!J1</f>
        <v>8</v>
      </c>
      <c r="K3" s="9">
        <f>Score!K1</f>
        <v>9</v>
      </c>
      <c r="L3" s="9">
        <f>Score!L1</f>
        <v>10</v>
      </c>
      <c r="M3" s="9">
        <f>Score!M1</f>
        <v>11</v>
      </c>
      <c r="N3" s="9">
        <f>Score!N1</f>
        <v>12</v>
      </c>
      <c r="O3" s="9">
        <f>Score!O1</f>
        <v>13</v>
      </c>
      <c r="P3" s="9">
        <f>Score!P1</f>
        <v>14</v>
      </c>
      <c r="Q3" s="9">
        <f>Score!Q1</f>
        <v>15</v>
      </c>
      <c r="R3" s="9">
        <f>Score!R1</f>
        <v>16</v>
      </c>
      <c r="S3" s="9">
        <f>Score!S1</f>
        <v>17</v>
      </c>
      <c r="T3" s="9">
        <f>Score!T1</f>
        <v>18</v>
      </c>
      <c r="U3" s="9">
        <f>Score!U1</f>
        <v>19</v>
      </c>
      <c r="V3" s="9">
        <f>Score!V1</f>
        <v>20</v>
      </c>
      <c r="W3" s="9">
        <f>Score!W1</f>
        <v>21</v>
      </c>
      <c r="X3" s="9" t="e">
        <f>Score!#REF!</f>
        <v>#REF!</v>
      </c>
      <c r="Y3" s="9" t="s">
        <v>2</v>
      </c>
      <c r="Z3" s="7"/>
    </row>
    <row r="4" spans="3:27">
      <c r="C4" t="s">
        <v>27</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t="s">
        <v>28</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29</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50</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51</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52</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53</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54</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55</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56</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57</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58</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59</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60</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61</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62</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63</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76" customFormat="1">
      <c r="C21" s="76" t="s">
        <v>19</v>
      </c>
      <c r="D21" s="77"/>
      <c r="E21" s="78"/>
      <c r="F21" s="77"/>
      <c r="G21" s="77"/>
      <c r="H21" s="77"/>
      <c r="I21" s="77"/>
      <c r="J21" s="77"/>
      <c r="K21" s="77"/>
      <c r="L21" s="77"/>
      <c r="M21" s="77"/>
      <c r="N21" s="77"/>
      <c r="O21" s="77"/>
      <c r="P21" s="77"/>
      <c r="Q21" s="77"/>
      <c r="R21" s="77"/>
      <c r="S21" s="77"/>
      <c r="T21" s="77"/>
      <c r="U21" s="77"/>
      <c r="V21" s="77"/>
      <c r="W21" s="77"/>
      <c r="X21" s="77"/>
      <c r="Y21" s="77"/>
      <c r="Z21" s="81"/>
    </row>
    <row r="22" spans="3:27" s="1" customFormat="1">
      <c r="C22"/>
      <c r="D22" s="74" t="e">
        <f t="shared" ref="D22:Z22" si="2">SUM(D4:D21)</f>
        <v>#N/A</v>
      </c>
      <c r="E22" s="74" t="e">
        <f t="shared" si="2"/>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5" t="e">
        <f t="shared" si="2"/>
        <v>#N/A</v>
      </c>
    </row>
    <row r="23" spans="3:27" s="58" customFormat="1">
      <c r="C23"/>
      <c r="D23" s="59"/>
      <c r="E23" s="59"/>
      <c r="F23" s="54"/>
      <c r="G23" s="59"/>
      <c r="H23" s="59"/>
      <c r="I23" s="59"/>
      <c r="J23" s="59"/>
      <c r="K23" s="59"/>
      <c r="L23" s="59"/>
      <c r="M23" s="59"/>
      <c r="N23" s="59"/>
      <c r="O23" s="59"/>
      <c r="P23" s="59"/>
      <c r="Q23" s="59"/>
      <c r="R23" s="59"/>
      <c r="S23" s="59"/>
      <c r="T23" s="59"/>
      <c r="U23" s="59"/>
      <c r="V23" s="59"/>
      <c r="W23" s="59"/>
      <c r="X23" s="59"/>
      <c r="Y23" s="59"/>
      <c r="Z23" s="67"/>
    </row>
    <row r="24" spans="3:27" s="70" customFormat="1">
      <c r="C24" s="68"/>
      <c r="D24" s="69" t="e">
        <f>VLOOKUP($C24,Score!$B$2:$X$71,2,0)</f>
        <v>#N/A</v>
      </c>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row>
    <row r="25" spans="3:27" s="70" customFormat="1">
      <c r="C25" s="68"/>
      <c r="D25" s="69" t="e">
        <f>VLOOKUP($C25,Score!$B$2:$X$71,2,0)</f>
        <v>#N/A</v>
      </c>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row>
    <row r="26" spans="3:27" s="70" customFormat="1">
      <c r="C26" s="68"/>
      <c r="D26" s="69" t="e">
        <f>VLOOKUP($C26,Score!$B$2:$X$71,2,0)</f>
        <v>#N/A</v>
      </c>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row>
    <row r="27" spans="3:27" s="48" customFormat="1">
      <c r="C27" s="47"/>
      <c r="D27" s="47"/>
      <c r="E27" s="47"/>
      <c r="F27" s="46"/>
      <c r="G27" s="47"/>
      <c r="H27" s="47"/>
      <c r="I27" s="47"/>
      <c r="J27" s="47"/>
      <c r="K27" s="47"/>
      <c r="L27" s="47"/>
      <c r="M27" s="47"/>
      <c r="N27" s="47"/>
      <c r="Z27" s="49"/>
    </row>
    <row r="28" spans="3:27" s="48" customFormat="1">
      <c r="C28" s="62"/>
      <c r="D28" s="47"/>
      <c r="E28" s="47"/>
      <c r="F28" s="46"/>
      <c r="G28" s="47"/>
      <c r="H28" s="47"/>
      <c r="I28" s="47"/>
      <c r="J28" s="47"/>
      <c r="K28" s="47"/>
      <c r="L28" s="47"/>
      <c r="M28" s="47"/>
      <c r="N28" s="47"/>
      <c r="Z28" s="49"/>
    </row>
    <row r="29" spans="3:27" s="48" customFormat="1">
      <c r="C29" s="60"/>
      <c r="D29" s="47"/>
      <c r="E29" s="47"/>
      <c r="F29" s="46"/>
      <c r="G29" s="47"/>
      <c r="H29" s="47"/>
      <c r="I29" s="47"/>
      <c r="J29" s="47"/>
      <c r="K29" s="47"/>
      <c r="L29" s="47"/>
      <c r="M29" s="47"/>
      <c r="N29" s="47"/>
      <c r="Z29" s="49"/>
    </row>
    <row r="30" spans="3:27" s="48" customFormat="1">
      <c r="C30" s="60"/>
      <c r="D30" s="47"/>
      <c r="E30" s="47"/>
      <c r="F30" s="46"/>
      <c r="G30" s="47"/>
      <c r="H30" s="47"/>
      <c r="I30" s="47"/>
      <c r="J30" s="47"/>
      <c r="K30" s="47"/>
      <c r="L30" s="47"/>
      <c r="M30" s="47"/>
      <c r="N30" s="47"/>
      <c r="Z30" s="49"/>
    </row>
    <row r="31" spans="3:27" s="50" customFormat="1">
      <c r="C31" s="51"/>
      <c r="D31" s="51"/>
      <c r="E31" s="51"/>
      <c r="F31" s="52"/>
      <c r="G31" s="51"/>
      <c r="H31" s="51"/>
      <c r="I31" s="51"/>
      <c r="J31" s="51"/>
      <c r="K31" s="51"/>
      <c r="L31" s="51"/>
      <c r="M31" s="51"/>
      <c r="N31" s="51"/>
      <c r="Z31" s="53"/>
    </row>
    <row r="44" spans="3:26" s="14" customFormat="1">
      <c r="C44" s="34"/>
      <c r="D44" s="10"/>
      <c r="E44" s="10"/>
      <c r="F44" s="11"/>
      <c r="G44" s="12"/>
      <c r="H44" s="12"/>
      <c r="I44" s="12"/>
      <c r="J44" s="12"/>
      <c r="K44" s="12"/>
      <c r="L44" s="12"/>
      <c r="M44" s="12"/>
      <c r="N44" s="12"/>
      <c r="O44" s="13"/>
      <c r="Z44" s="15"/>
    </row>
    <row r="45" spans="3:26" s="14" customFormat="1">
      <c r="C45" s="34"/>
      <c r="D45" s="10"/>
      <c r="E45" s="10"/>
      <c r="F45" s="11"/>
      <c r="G45" s="12"/>
      <c r="H45" s="12"/>
      <c r="I45" s="12"/>
      <c r="J45" s="12"/>
      <c r="K45" s="12"/>
      <c r="L45" s="12"/>
      <c r="M45" s="12"/>
      <c r="N45" s="12"/>
      <c r="O45" s="13"/>
      <c r="Z45" s="15"/>
    </row>
    <row r="46" spans="3:26" s="14" customFormat="1">
      <c r="C46" s="34"/>
      <c r="D46" s="10"/>
      <c r="E46" s="10"/>
      <c r="F46" s="11"/>
      <c r="G46" s="12"/>
      <c r="H46" s="12"/>
      <c r="I46" s="12"/>
      <c r="J46" s="12"/>
      <c r="K46" s="12"/>
      <c r="L46" s="12"/>
      <c r="M46" s="12"/>
      <c r="N46" s="12"/>
      <c r="O46" s="13"/>
      <c r="Z46" s="15"/>
    </row>
    <row r="47" spans="3:26" s="14" customFormat="1">
      <c r="C47" s="34"/>
      <c r="D47" s="10"/>
      <c r="E47" s="10"/>
      <c r="F47" s="11"/>
      <c r="G47" s="12"/>
      <c r="H47" s="12"/>
      <c r="I47" s="12"/>
      <c r="J47" s="12"/>
      <c r="K47" s="12"/>
      <c r="L47" s="12"/>
      <c r="M47" s="12"/>
      <c r="N47" s="12"/>
      <c r="O47" s="13"/>
      <c r="Z47" s="15"/>
    </row>
    <row r="48" spans="3:26" s="14" customFormat="1">
      <c r="C48" s="34"/>
      <c r="D48" s="10"/>
      <c r="E48" s="10"/>
      <c r="F48" s="11"/>
      <c r="G48" s="12"/>
      <c r="H48" s="12"/>
      <c r="I48" s="12"/>
      <c r="J48" s="12"/>
      <c r="K48" s="12"/>
      <c r="L48" s="12"/>
      <c r="M48" s="12"/>
      <c r="N48" s="12"/>
      <c r="O48" s="13"/>
      <c r="Z48" s="15"/>
    </row>
    <row r="49" spans="3:26" s="14" customFormat="1">
      <c r="C49" s="34"/>
      <c r="D49" s="10"/>
      <c r="E49" s="10"/>
      <c r="F49" s="11"/>
      <c r="G49" s="12"/>
      <c r="H49" s="12"/>
      <c r="I49" s="12"/>
      <c r="J49" s="12"/>
      <c r="K49" s="12"/>
      <c r="L49" s="12"/>
      <c r="M49" s="12"/>
      <c r="N49" s="12"/>
      <c r="O49" s="13"/>
      <c r="Z49" s="15"/>
    </row>
    <row r="50" spans="3:26" s="14" customFormat="1">
      <c r="C50" s="34"/>
      <c r="D50" s="10"/>
      <c r="E50" s="10"/>
      <c r="F50" s="11"/>
      <c r="G50" s="12"/>
      <c r="H50" s="12"/>
      <c r="I50" s="12"/>
      <c r="J50" s="12"/>
      <c r="K50" s="12"/>
      <c r="L50" s="12"/>
      <c r="M50" s="12"/>
      <c r="N50" s="12"/>
      <c r="O50" s="13"/>
      <c r="Z50" s="15"/>
    </row>
    <row r="51" spans="3:26" s="14" customFormat="1">
      <c r="C51" s="34"/>
      <c r="D51" s="10"/>
      <c r="E51" s="10"/>
      <c r="F51" s="11"/>
      <c r="G51" s="12"/>
      <c r="H51" s="12"/>
      <c r="I51" s="12"/>
      <c r="J51" s="12"/>
      <c r="K51" s="12"/>
      <c r="L51" s="12"/>
      <c r="M51" s="12"/>
      <c r="N51" s="12"/>
      <c r="O51" s="13"/>
      <c r="Z51" s="15"/>
    </row>
    <row r="52" spans="3:26" s="14" customFormat="1">
      <c r="C52" s="34"/>
      <c r="D52" s="10"/>
      <c r="E52" s="10"/>
      <c r="F52" s="11"/>
      <c r="G52" s="12"/>
      <c r="H52" s="12"/>
      <c r="I52" s="12"/>
      <c r="J52" s="12"/>
      <c r="K52" s="12"/>
      <c r="L52" s="12"/>
      <c r="M52" s="12"/>
      <c r="N52" s="12"/>
      <c r="O52" s="13"/>
      <c r="Z52" s="15"/>
    </row>
    <row r="53" spans="3:26" s="14" customFormat="1">
      <c r="C53" s="34"/>
      <c r="D53" s="10"/>
      <c r="E53" s="10"/>
      <c r="F53" s="11"/>
      <c r="G53" s="12"/>
      <c r="H53" s="12"/>
      <c r="I53" s="12"/>
      <c r="J53" s="12"/>
      <c r="K53" s="12"/>
      <c r="L53" s="12"/>
      <c r="M53" s="12"/>
      <c r="N53" s="12"/>
      <c r="O53" s="13"/>
      <c r="Z53" s="15"/>
    </row>
    <row r="54" spans="3:26" s="14" customFormat="1">
      <c r="C54" s="34"/>
      <c r="D54" s="10"/>
      <c r="E54" s="10"/>
      <c r="F54" s="11"/>
      <c r="G54" s="12"/>
      <c r="H54" s="12"/>
      <c r="I54" s="12"/>
      <c r="J54" s="12"/>
      <c r="K54" s="12"/>
      <c r="L54" s="12"/>
      <c r="M54" s="12"/>
      <c r="N54" s="12"/>
      <c r="O54" s="13"/>
      <c r="Z54" s="15"/>
    </row>
    <row r="55" spans="3:26" s="14" customFormat="1">
      <c r="C55" s="34"/>
      <c r="D55" s="10"/>
      <c r="E55" s="10"/>
      <c r="F55" s="11"/>
      <c r="G55" s="12"/>
      <c r="H55" s="12"/>
      <c r="I55" s="12"/>
      <c r="J55" s="12"/>
      <c r="K55" s="12"/>
      <c r="L55" s="12"/>
      <c r="M55" s="12"/>
      <c r="N55" s="12"/>
      <c r="O55" s="13"/>
      <c r="Z55" s="15"/>
    </row>
    <row r="56" spans="3:26" s="14" customFormat="1">
      <c r="C56" s="34"/>
      <c r="D56" s="10"/>
      <c r="E56" s="10"/>
      <c r="F56" s="11"/>
      <c r="G56" s="12"/>
      <c r="H56" s="12"/>
      <c r="I56" s="12"/>
      <c r="J56" s="12"/>
      <c r="K56" s="12"/>
      <c r="L56" s="12"/>
      <c r="M56" s="12"/>
      <c r="N56" s="12"/>
      <c r="O56" s="13"/>
      <c r="Z56" s="15"/>
    </row>
  </sheetData>
  <phoneticPr fontId="0"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55" customWidth="1"/>
    <col min="4" max="5" width="5.28515625" style="2" customWidth="1"/>
    <col min="6" max="6" width="5.42578125" style="5" customWidth="1"/>
    <col min="7" max="14" width="5.42578125" style="3" customWidth="1"/>
    <col min="15" max="15" width="5.42578125" style="4" customWidth="1"/>
    <col min="16" max="24" width="5.42578125" customWidth="1"/>
    <col min="25" max="25" width="6.5703125" customWidth="1"/>
    <col min="26" max="26" width="6.28515625" style="1" customWidth="1"/>
    <col min="27" max="27" width="15" customWidth="1"/>
  </cols>
  <sheetData>
    <row r="1" spans="3:27">
      <c r="C1" s="1" t="s">
        <v>64</v>
      </c>
    </row>
    <row r="2" spans="3:27">
      <c r="F2" s="3"/>
    </row>
    <row r="3" spans="3:27" s="4" customFormat="1" ht="13.5" thickBot="1">
      <c r="C3" s="33"/>
      <c r="D3" s="9">
        <f>Score!C1</f>
        <v>1</v>
      </c>
      <c r="E3" s="9">
        <f>Score!E1</f>
        <v>3</v>
      </c>
      <c r="F3" s="9">
        <f>Score!F1</f>
        <v>4</v>
      </c>
      <c r="G3" s="9">
        <f>Score!G1</f>
        <v>5</v>
      </c>
      <c r="H3" s="9">
        <f>Score!H1</f>
        <v>6</v>
      </c>
      <c r="I3" s="9">
        <f>Score!I1</f>
        <v>7</v>
      </c>
      <c r="J3" s="9">
        <f>Score!J1</f>
        <v>8</v>
      </c>
      <c r="K3" s="9">
        <f>Score!K1</f>
        <v>9</v>
      </c>
      <c r="L3" s="9">
        <f>Score!L1</f>
        <v>10</v>
      </c>
      <c r="M3" s="9">
        <f>Score!M1</f>
        <v>11</v>
      </c>
      <c r="N3" s="9">
        <f>Score!N1</f>
        <v>12</v>
      </c>
      <c r="O3" s="9">
        <f>Score!O1</f>
        <v>13</v>
      </c>
      <c r="P3" s="9">
        <f>Score!P1</f>
        <v>14</v>
      </c>
      <c r="Q3" s="9">
        <f>Score!Q1</f>
        <v>15</v>
      </c>
      <c r="R3" s="9">
        <f>Score!R1</f>
        <v>16</v>
      </c>
      <c r="S3" s="9">
        <f>Score!S1</f>
        <v>17</v>
      </c>
      <c r="T3" s="9">
        <f>Score!T1</f>
        <v>18</v>
      </c>
      <c r="U3" s="9">
        <f>Score!U1</f>
        <v>19</v>
      </c>
      <c r="V3" s="9">
        <f>Score!V1</f>
        <v>20</v>
      </c>
      <c r="W3" s="9">
        <f>Score!W1</f>
        <v>21</v>
      </c>
      <c r="X3" s="9" t="e">
        <f>Score!#REF!</f>
        <v>#REF!</v>
      </c>
      <c r="Y3" s="9" t="s">
        <v>2</v>
      </c>
      <c r="Z3" s="7"/>
    </row>
    <row r="4" spans="3:27">
      <c r="C4" s="79" t="s">
        <v>27</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19" si="0">SUM(D4:Y4)</f>
        <v>#N/A</v>
      </c>
      <c r="AA4" t="str">
        <f>C4</f>
        <v>Test</v>
      </c>
    </row>
    <row r="5" spans="3:27">
      <c r="C5" t="s">
        <v>28</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ref="AA5:AA20" si="1">C5</f>
        <v>test2</v>
      </c>
    </row>
    <row r="6" spans="3:27">
      <c r="C6" t="s">
        <v>29</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50</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51</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52</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53</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54</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55</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56</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57</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58</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59</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60</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61</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62</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63</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SUM(D20:Y20)</f>
        <v>#N/A</v>
      </c>
      <c r="AA20" t="str">
        <f t="shared" si="1"/>
        <v>test17</v>
      </c>
    </row>
    <row r="21" spans="3:27" s="76" customFormat="1">
      <c r="C21" s="76" t="s">
        <v>19</v>
      </c>
      <c r="D21" s="77"/>
      <c r="E21" s="78"/>
      <c r="F21" s="77"/>
      <c r="G21" s="77"/>
      <c r="H21" s="77"/>
      <c r="I21" s="77"/>
      <c r="J21" s="77"/>
      <c r="K21" s="77"/>
      <c r="L21" s="77"/>
      <c r="M21" s="77"/>
      <c r="N21" s="77"/>
      <c r="O21" s="77"/>
      <c r="P21" s="77"/>
      <c r="Q21" s="77"/>
      <c r="R21" s="77"/>
      <c r="S21" s="77"/>
      <c r="T21" s="77"/>
      <c r="U21" s="77"/>
      <c r="V21" s="77"/>
      <c r="W21" s="77"/>
      <c r="X21" s="77"/>
      <c r="Y21" s="77"/>
      <c r="Z21" s="81"/>
    </row>
    <row r="22" spans="3:27" s="1" customFormat="1">
      <c r="C22"/>
      <c r="D22" s="74" t="e">
        <f t="shared" ref="D22:Z22" si="2">SUM(D4:D21)</f>
        <v>#N/A</v>
      </c>
      <c r="E22" s="74" t="e">
        <f t="shared" si="2"/>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5" t="e">
        <f t="shared" si="2"/>
        <v>#N/A</v>
      </c>
    </row>
    <row r="23" spans="3:27" s="58" customFormat="1">
      <c r="C23"/>
      <c r="D23" s="59"/>
      <c r="E23" s="59"/>
      <c r="F23" s="54"/>
      <c r="G23" s="59"/>
      <c r="H23" s="59"/>
      <c r="I23" s="59"/>
      <c r="J23" s="59"/>
      <c r="K23" s="59"/>
      <c r="L23" s="59"/>
      <c r="M23" s="59"/>
      <c r="N23" s="59"/>
      <c r="O23" s="59"/>
      <c r="P23" s="59"/>
      <c r="Q23" s="59"/>
      <c r="R23" s="59"/>
      <c r="S23" s="59"/>
      <c r="T23" s="59"/>
      <c r="U23" s="59"/>
      <c r="V23" s="59"/>
      <c r="W23" s="59"/>
      <c r="X23" s="59"/>
      <c r="Y23" s="59"/>
      <c r="Z23" s="67"/>
    </row>
    <row r="24" spans="3:27" s="70" customFormat="1">
      <c r="C24" s="68"/>
      <c r="D24" s="69" t="e">
        <f>VLOOKUP($C24,Score!$B$2:$X$71,2,0)</f>
        <v>#N/A</v>
      </c>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row>
    <row r="25" spans="3:27" s="70" customFormat="1">
      <c r="C25" s="68"/>
      <c r="D25" s="69" t="e">
        <f>VLOOKUP($C25,Score!$B$2:$X$71,2,0)</f>
        <v>#N/A</v>
      </c>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row>
    <row r="26" spans="3:27" s="70" customFormat="1">
      <c r="C26" s="68"/>
      <c r="D26" s="69" t="e">
        <f>VLOOKUP($C26,Score!$B$2:$X$71,2,0)</f>
        <v>#N/A</v>
      </c>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row>
    <row r="27" spans="3:27" s="56" customFormat="1">
      <c r="C27" s="61"/>
      <c r="D27" s="45"/>
      <c r="E27" s="45"/>
      <c r="F27" s="46"/>
      <c r="G27" s="45"/>
      <c r="H27" s="45"/>
      <c r="I27" s="45"/>
      <c r="J27" s="45"/>
      <c r="K27" s="45"/>
      <c r="L27" s="45"/>
      <c r="M27" s="45"/>
      <c r="N27" s="45"/>
      <c r="Z27" s="49"/>
    </row>
    <row r="28" spans="3:27" s="56" customFormat="1">
      <c r="C28" s="29"/>
      <c r="D28" s="45"/>
      <c r="E28" s="45"/>
      <c r="F28" s="46"/>
      <c r="G28" s="45"/>
      <c r="H28" s="45"/>
      <c r="I28" s="45"/>
      <c r="J28" s="45"/>
      <c r="K28" s="45"/>
      <c r="L28" s="45"/>
      <c r="M28" s="45"/>
      <c r="N28" s="45"/>
      <c r="Z28" s="49"/>
    </row>
    <row r="29" spans="3:27" s="56" customFormat="1">
      <c r="C29" s="32"/>
      <c r="D29" s="45"/>
      <c r="E29" s="45"/>
      <c r="F29" s="46"/>
      <c r="G29" s="45"/>
      <c r="H29" s="45"/>
      <c r="I29" s="45"/>
      <c r="J29" s="45"/>
      <c r="K29" s="45"/>
      <c r="L29" s="45"/>
      <c r="M29" s="45"/>
      <c r="N29" s="45"/>
      <c r="Z29" s="49"/>
    </row>
    <row r="30" spans="3:27" s="56" customFormat="1">
      <c r="C30" s="32"/>
      <c r="D30" s="45"/>
      <c r="E30" s="45"/>
      <c r="F30" s="46"/>
      <c r="G30" s="45"/>
      <c r="H30" s="45"/>
      <c r="I30" s="45"/>
      <c r="J30" s="45"/>
      <c r="K30" s="45"/>
      <c r="L30" s="45"/>
      <c r="M30" s="45"/>
      <c r="N30" s="45"/>
      <c r="Z30" s="49"/>
    </row>
    <row r="31" spans="3:27" s="56" customFormat="1">
      <c r="C31" s="32"/>
      <c r="D31" s="45"/>
      <c r="E31" s="45"/>
      <c r="F31" s="46"/>
      <c r="G31" s="45"/>
      <c r="H31" s="45"/>
      <c r="I31" s="45"/>
      <c r="J31" s="45"/>
      <c r="K31" s="45"/>
      <c r="L31" s="45"/>
      <c r="M31" s="45"/>
      <c r="N31" s="45"/>
      <c r="Z31" s="49"/>
    </row>
    <row r="32" spans="3:27" s="14" customFormat="1">
      <c r="C32" s="16"/>
      <c r="D32" s="10"/>
      <c r="E32" s="10"/>
      <c r="F32" s="11"/>
      <c r="G32" s="12"/>
      <c r="H32" s="12"/>
      <c r="I32" s="12"/>
      <c r="J32" s="12"/>
      <c r="K32" s="12"/>
      <c r="L32" s="12"/>
      <c r="M32" s="12"/>
      <c r="N32" s="12"/>
      <c r="O32" s="13"/>
      <c r="Z32" s="15"/>
    </row>
    <row r="33" spans="3:26" s="14" customFormat="1">
      <c r="C33" s="16"/>
      <c r="D33" s="10"/>
      <c r="E33" s="10"/>
      <c r="F33" s="11"/>
      <c r="G33" s="12"/>
      <c r="H33" s="12"/>
      <c r="I33" s="12"/>
      <c r="J33" s="12"/>
      <c r="K33" s="12"/>
      <c r="L33" s="12"/>
      <c r="M33" s="12"/>
      <c r="N33" s="12"/>
      <c r="O33" s="13"/>
      <c r="Z33" s="15"/>
    </row>
    <row r="34" spans="3:26" s="14" customFormat="1">
      <c r="C34" s="16"/>
      <c r="D34" s="10"/>
      <c r="E34" s="10"/>
      <c r="F34" s="11"/>
      <c r="G34" s="12"/>
      <c r="H34" s="12"/>
      <c r="I34" s="12"/>
      <c r="J34" s="12"/>
      <c r="K34" s="12"/>
      <c r="L34" s="12"/>
      <c r="M34" s="12"/>
      <c r="N34" s="12"/>
      <c r="O34" s="13"/>
      <c r="Z34" s="15"/>
    </row>
    <row r="35" spans="3:26" s="14" customFormat="1">
      <c r="C35" s="16"/>
      <c r="D35" s="10"/>
      <c r="E35" s="10"/>
      <c r="F35" s="11"/>
      <c r="G35" s="12"/>
      <c r="H35" s="12"/>
      <c r="I35" s="12"/>
      <c r="J35" s="12"/>
      <c r="K35" s="12"/>
      <c r="L35" s="12"/>
      <c r="M35" s="12"/>
      <c r="N35" s="12"/>
      <c r="O35" s="13"/>
      <c r="Z35" s="15"/>
    </row>
    <row r="36" spans="3:26" s="14" customFormat="1">
      <c r="C36" s="16"/>
      <c r="D36" s="10"/>
      <c r="E36" s="10"/>
      <c r="F36" s="11"/>
      <c r="G36" s="12"/>
      <c r="H36" s="12"/>
      <c r="I36" s="12"/>
      <c r="J36" s="12"/>
      <c r="K36" s="12"/>
      <c r="L36" s="12"/>
      <c r="M36" s="12"/>
      <c r="N36" s="12"/>
      <c r="O36" s="13"/>
      <c r="Z36" s="15"/>
    </row>
    <row r="37" spans="3:26" s="14" customFormat="1">
      <c r="C37" s="16"/>
      <c r="D37" s="10"/>
      <c r="E37" s="10"/>
      <c r="F37" s="11"/>
      <c r="G37" s="12"/>
      <c r="H37" s="12"/>
      <c r="I37" s="12"/>
      <c r="J37" s="12"/>
      <c r="K37" s="12"/>
      <c r="L37" s="12"/>
      <c r="M37" s="12"/>
      <c r="N37" s="12"/>
      <c r="O37" s="13"/>
      <c r="Z37" s="15"/>
    </row>
    <row r="38" spans="3:26" s="14" customFormat="1">
      <c r="C38" s="16"/>
      <c r="D38" s="10"/>
      <c r="E38" s="10"/>
      <c r="F38" s="11"/>
      <c r="G38" s="12"/>
      <c r="H38" s="12"/>
      <c r="I38" s="12"/>
      <c r="J38" s="12"/>
      <c r="K38" s="12"/>
      <c r="L38" s="12"/>
      <c r="M38" s="12"/>
      <c r="N38" s="12"/>
      <c r="O38" s="13"/>
      <c r="Z38" s="15"/>
    </row>
    <row r="39" spans="3:26" s="14" customFormat="1">
      <c r="C39" s="16"/>
      <c r="D39" s="10"/>
      <c r="E39" s="10"/>
      <c r="F39" s="11"/>
      <c r="G39" s="12"/>
      <c r="H39" s="12"/>
      <c r="I39" s="12"/>
      <c r="J39" s="12"/>
      <c r="K39" s="12"/>
      <c r="L39" s="12"/>
      <c r="M39" s="12"/>
      <c r="N39" s="12"/>
      <c r="O39" s="13"/>
      <c r="Z39" s="15"/>
    </row>
    <row r="40" spans="3:26" s="14" customFormat="1">
      <c r="C40" s="16"/>
      <c r="D40" s="10"/>
      <c r="E40" s="10"/>
      <c r="F40" s="11"/>
      <c r="G40" s="12"/>
      <c r="H40" s="12"/>
      <c r="I40" s="12"/>
      <c r="J40" s="12"/>
      <c r="K40" s="12"/>
      <c r="L40" s="12"/>
      <c r="M40" s="12"/>
      <c r="N40" s="12"/>
      <c r="O40" s="13"/>
      <c r="Z40" s="15"/>
    </row>
    <row r="41" spans="3:26" s="14" customFormat="1">
      <c r="C41" s="57"/>
      <c r="D41" s="10"/>
      <c r="E41" s="10"/>
      <c r="F41" s="11"/>
      <c r="G41" s="12"/>
      <c r="H41" s="12"/>
      <c r="I41" s="12"/>
      <c r="J41" s="12"/>
      <c r="K41" s="12"/>
      <c r="L41" s="12"/>
      <c r="M41" s="12"/>
      <c r="N41" s="12"/>
      <c r="O41" s="13"/>
      <c r="Z41" s="15"/>
    </row>
    <row r="42" spans="3:26" s="14" customFormat="1">
      <c r="C42" s="57"/>
      <c r="D42" s="10"/>
      <c r="E42" s="10"/>
      <c r="F42" s="11"/>
      <c r="G42" s="12"/>
      <c r="H42" s="12"/>
      <c r="I42" s="12"/>
      <c r="J42" s="12"/>
      <c r="K42" s="12"/>
      <c r="L42" s="12"/>
      <c r="M42" s="12"/>
      <c r="N42" s="12"/>
      <c r="O42" s="13"/>
      <c r="Z42" s="15"/>
    </row>
    <row r="43" spans="3:26" s="14" customFormat="1">
      <c r="C43" s="57"/>
      <c r="D43" s="10"/>
      <c r="E43" s="10"/>
      <c r="F43" s="11"/>
      <c r="G43" s="12"/>
      <c r="H43" s="12"/>
      <c r="I43" s="12"/>
      <c r="J43" s="12"/>
      <c r="K43" s="12"/>
      <c r="L43" s="12"/>
      <c r="M43" s="12"/>
      <c r="N43" s="12"/>
      <c r="O43" s="13"/>
      <c r="Z43" s="15"/>
    </row>
    <row r="44" spans="3:26" s="14" customFormat="1">
      <c r="C44" s="57"/>
      <c r="D44" s="10"/>
      <c r="E44" s="10"/>
      <c r="F44" s="11"/>
      <c r="G44" s="12"/>
      <c r="H44" s="12"/>
      <c r="I44" s="12"/>
      <c r="J44" s="12"/>
      <c r="K44" s="12"/>
      <c r="L44" s="12"/>
      <c r="M44" s="12"/>
      <c r="N44" s="12"/>
      <c r="O44" s="13"/>
      <c r="Z44" s="15"/>
    </row>
    <row r="45" spans="3:26" s="14" customFormat="1">
      <c r="C45" s="57"/>
      <c r="D45" s="10"/>
      <c r="E45" s="10"/>
      <c r="F45" s="11"/>
      <c r="G45" s="12"/>
      <c r="H45" s="12"/>
      <c r="I45" s="12"/>
      <c r="J45" s="12"/>
      <c r="K45" s="12"/>
      <c r="L45" s="12"/>
      <c r="M45" s="12"/>
      <c r="N45" s="12"/>
      <c r="O45" s="13"/>
      <c r="Z45" s="15"/>
    </row>
    <row r="46" spans="3:26" s="14" customFormat="1">
      <c r="C46" s="57"/>
      <c r="D46" s="10"/>
      <c r="E46" s="10"/>
      <c r="F46" s="11"/>
      <c r="G46" s="12"/>
      <c r="H46" s="12"/>
      <c r="I46" s="12"/>
      <c r="J46" s="12"/>
      <c r="K46" s="12"/>
      <c r="L46" s="12"/>
      <c r="M46" s="12"/>
      <c r="N46" s="12"/>
      <c r="O46" s="13"/>
      <c r="Z46" s="15"/>
    </row>
    <row r="47" spans="3:26" s="14" customFormat="1">
      <c r="C47" s="57"/>
      <c r="D47" s="10"/>
      <c r="E47" s="10"/>
      <c r="F47" s="11"/>
      <c r="G47" s="12"/>
      <c r="H47" s="12"/>
      <c r="I47" s="12"/>
      <c r="J47" s="12"/>
      <c r="K47" s="12"/>
      <c r="L47" s="12"/>
      <c r="M47" s="12"/>
      <c r="N47" s="12"/>
      <c r="O47" s="13"/>
      <c r="Z47" s="15"/>
    </row>
    <row r="48" spans="3:26" s="14" customFormat="1">
      <c r="C48" s="57"/>
      <c r="D48" s="10"/>
      <c r="E48" s="10"/>
      <c r="F48" s="11"/>
      <c r="G48" s="12"/>
      <c r="H48" s="12"/>
      <c r="I48" s="12"/>
      <c r="J48" s="12"/>
      <c r="K48" s="12"/>
      <c r="L48" s="12"/>
      <c r="M48" s="12"/>
      <c r="N48" s="12"/>
      <c r="O48" s="13"/>
      <c r="Z48" s="15"/>
    </row>
    <row r="49" spans="3:26" s="14" customFormat="1">
      <c r="C49" s="57"/>
      <c r="D49" s="10"/>
      <c r="E49" s="10"/>
      <c r="F49" s="11"/>
      <c r="G49" s="12"/>
      <c r="H49" s="12"/>
      <c r="I49" s="12"/>
      <c r="J49" s="12"/>
      <c r="K49" s="12"/>
      <c r="L49" s="12"/>
      <c r="M49" s="12"/>
      <c r="N49" s="12"/>
      <c r="O49" s="13"/>
      <c r="Z49" s="15"/>
    </row>
    <row r="50" spans="3:26" s="14" customFormat="1">
      <c r="C50" s="57"/>
      <c r="D50" s="10"/>
      <c r="E50" s="10"/>
      <c r="F50" s="11"/>
      <c r="G50" s="12"/>
      <c r="H50" s="12"/>
      <c r="I50" s="12"/>
      <c r="J50" s="12"/>
      <c r="K50" s="12"/>
      <c r="L50" s="12"/>
      <c r="M50" s="12"/>
      <c r="N50" s="12"/>
      <c r="O50" s="13"/>
      <c r="Z50" s="15"/>
    </row>
    <row r="51" spans="3:26" s="14" customFormat="1">
      <c r="C51" s="57"/>
      <c r="D51" s="10"/>
      <c r="E51" s="10"/>
      <c r="F51" s="11"/>
      <c r="G51" s="12"/>
      <c r="H51" s="12"/>
      <c r="I51" s="12"/>
      <c r="J51" s="12"/>
      <c r="K51" s="12"/>
      <c r="L51" s="12"/>
      <c r="M51" s="12"/>
      <c r="N51" s="12"/>
      <c r="O51" s="13"/>
      <c r="Z51" s="15"/>
    </row>
    <row r="52" spans="3:26" s="14" customFormat="1">
      <c r="C52" s="57"/>
      <c r="D52" s="10"/>
      <c r="E52" s="10"/>
      <c r="F52" s="11"/>
      <c r="G52" s="12"/>
      <c r="H52" s="12"/>
      <c r="I52" s="12"/>
      <c r="J52" s="12"/>
      <c r="K52" s="12"/>
      <c r="L52" s="12"/>
      <c r="M52" s="12"/>
      <c r="N52" s="12"/>
      <c r="O52" s="13"/>
      <c r="Z52" s="15"/>
    </row>
    <row r="53" spans="3:26" s="14" customFormat="1">
      <c r="C53" s="57"/>
      <c r="D53" s="10"/>
      <c r="E53" s="10"/>
      <c r="F53" s="11"/>
      <c r="G53" s="12"/>
      <c r="H53" s="12"/>
      <c r="I53" s="12"/>
      <c r="J53" s="12"/>
      <c r="K53" s="12"/>
      <c r="L53" s="12"/>
      <c r="M53" s="12"/>
      <c r="N53" s="12"/>
      <c r="O53" s="13"/>
      <c r="Z53" s="15"/>
    </row>
    <row r="54" spans="3:26" s="14" customFormat="1">
      <c r="C54" s="57"/>
      <c r="D54" s="10"/>
      <c r="E54" s="10"/>
      <c r="F54" s="11"/>
      <c r="G54" s="12"/>
      <c r="H54" s="12"/>
      <c r="I54" s="12"/>
      <c r="J54" s="12"/>
      <c r="K54" s="12"/>
      <c r="L54" s="12"/>
      <c r="M54" s="12"/>
      <c r="N54" s="12"/>
      <c r="O54" s="13"/>
      <c r="Z54" s="15"/>
    </row>
    <row r="55" spans="3:26" s="14" customFormat="1">
      <c r="C55" s="57"/>
      <c r="D55" s="10"/>
      <c r="E55" s="10"/>
      <c r="F55" s="11"/>
      <c r="G55" s="12"/>
      <c r="H55" s="12"/>
      <c r="I55" s="12"/>
      <c r="J55" s="12"/>
      <c r="K55" s="12"/>
      <c r="L55" s="12"/>
      <c r="M55" s="12"/>
      <c r="N55" s="12"/>
      <c r="O55" s="13"/>
      <c r="Z55" s="15"/>
    </row>
    <row r="56" spans="3:26" s="14" customFormat="1">
      <c r="C56" s="57"/>
      <c r="D56" s="10"/>
      <c r="E56" s="10"/>
      <c r="F56" s="11"/>
      <c r="G56" s="12"/>
      <c r="H56" s="12"/>
      <c r="I56" s="12"/>
      <c r="J56" s="12"/>
      <c r="K56" s="12"/>
      <c r="L56" s="12"/>
      <c r="M56" s="12"/>
      <c r="N56" s="12"/>
      <c r="O56" s="13"/>
      <c r="Z56" s="15"/>
    </row>
    <row r="57" spans="3:26" s="14" customFormat="1">
      <c r="C57" s="57"/>
      <c r="D57" s="10"/>
      <c r="E57" s="10"/>
      <c r="F57" s="11"/>
      <c r="G57" s="12"/>
      <c r="H57" s="12"/>
      <c r="I57" s="12"/>
      <c r="J57" s="12"/>
      <c r="K57" s="12"/>
      <c r="L57" s="12"/>
      <c r="M57" s="12"/>
      <c r="N57" s="12"/>
      <c r="O57" s="13"/>
      <c r="Z57" s="15"/>
    </row>
    <row r="58" spans="3:26" s="14" customFormat="1">
      <c r="C58" s="57"/>
      <c r="D58" s="10"/>
      <c r="E58" s="10"/>
      <c r="F58" s="11"/>
      <c r="G58" s="12"/>
      <c r="H58" s="12"/>
      <c r="I58" s="12"/>
      <c r="J58" s="12"/>
      <c r="K58" s="12"/>
      <c r="L58" s="12"/>
      <c r="M58" s="12"/>
      <c r="N58" s="12"/>
      <c r="O58" s="13"/>
      <c r="Z58" s="15"/>
    </row>
    <row r="59" spans="3:26" s="14" customFormat="1">
      <c r="C59" s="57"/>
      <c r="D59" s="10"/>
      <c r="E59" s="10"/>
      <c r="F59" s="11"/>
      <c r="G59" s="12"/>
      <c r="H59" s="12"/>
      <c r="I59" s="12"/>
      <c r="J59" s="12"/>
      <c r="K59" s="12"/>
      <c r="L59" s="12"/>
      <c r="M59" s="12"/>
      <c r="N59" s="12"/>
      <c r="O59" s="13"/>
      <c r="Z59" s="15"/>
    </row>
    <row r="60" spans="3:26" s="14" customFormat="1">
      <c r="C60" s="57"/>
      <c r="D60" s="10"/>
      <c r="E60" s="10"/>
      <c r="F60" s="11"/>
      <c r="G60" s="12"/>
      <c r="H60" s="12"/>
      <c r="I60" s="12"/>
      <c r="J60" s="12"/>
      <c r="K60" s="12"/>
      <c r="L60" s="12"/>
      <c r="M60" s="12"/>
      <c r="N60" s="12"/>
      <c r="O60" s="13"/>
      <c r="Z60" s="15"/>
    </row>
    <row r="61" spans="3:26" s="14" customFormat="1">
      <c r="C61" s="57"/>
      <c r="D61" s="10"/>
      <c r="E61" s="10"/>
      <c r="F61" s="11"/>
      <c r="G61" s="12"/>
      <c r="H61" s="12"/>
      <c r="I61" s="12"/>
      <c r="J61" s="12"/>
      <c r="K61" s="12"/>
      <c r="L61" s="12"/>
      <c r="M61" s="12"/>
      <c r="N61" s="12"/>
      <c r="O61" s="13"/>
      <c r="Z61" s="15"/>
    </row>
    <row r="62" spans="3:26" s="14" customFormat="1">
      <c r="C62" s="57"/>
      <c r="D62" s="10"/>
      <c r="E62" s="10"/>
      <c r="F62" s="11"/>
      <c r="G62" s="12"/>
      <c r="H62" s="12"/>
      <c r="I62" s="12"/>
      <c r="J62" s="12"/>
      <c r="K62" s="12"/>
      <c r="L62" s="12"/>
      <c r="M62" s="12"/>
      <c r="N62" s="12"/>
      <c r="O62" s="13"/>
      <c r="Z62" s="15"/>
    </row>
    <row r="63" spans="3:26" s="14" customFormat="1">
      <c r="C63" s="57"/>
      <c r="D63" s="10"/>
      <c r="E63" s="10"/>
      <c r="F63" s="11"/>
      <c r="G63" s="12"/>
      <c r="H63" s="12"/>
      <c r="I63" s="12"/>
      <c r="J63" s="12"/>
      <c r="K63" s="12"/>
      <c r="L63" s="12"/>
      <c r="M63" s="12"/>
      <c r="N63" s="12"/>
      <c r="O63" s="13"/>
      <c r="Z63" s="15"/>
    </row>
    <row r="64" spans="3:26" s="14" customFormat="1">
      <c r="C64" s="57"/>
      <c r="D64" s="10"/>
      <c r="E64" s="10"/>
      <c r="F64" s="11"/>
      <c r="G64" s="12"/>
      <c r="H64" s="12"/>
      <c r="I64" s="12"/>
      <c r="J64" s="12"/>
      <c r="K64" s="12"/>
      <c r="L64" s="12"/>
      <c r="M64" s="12"/>
      <c r="N64" s="12"/>
      <c r="O64" s="13"/>
      <c r="Z64" s="15"/>
    </row>
    <row r="65" spans="3:26" s="14" customFormat="1">
      <c r="C65" s="57"/>
      <c r="D65" s="10"/>
      <c r="E65" s="10"/>
      <c r="F65" s="11"/>
      <c r="G65" s="12"/>
      <c r="H65" s="12"/>
      <c r="I65" s="12"/>
      <c r="J65" s="12"/>
      <c r="K65" s="12"/>
      <c r="L65" s="12"/>
      <c r="M65" s="12"/>
      <c r="N65" s="12"/>
      <c r="O65" s="13"/>
      <c r="Z65" s="15"/>
    </row>
    <row r="66" spans="3:26" s="14" customFormat="1">
      <c r="C66" s="57"/>
      <c r="D66" s="10"/>
      <c r="E66" s="10"/>
      <c r="F66" s="11"/>
      <c r="G66" s="12"/>
      <c r="H66" s="12"/>
      <c r="I66" s="12"/>
      <c r="J66" s="12"/>
      <c r="K66" s="12"/>
      <c r="L66" s="12"/>
      <c r="M66" s="12"/>
      <c r="N66" s="12"/>
      <c r="O66" s="13"/>
      <c r="Z66" s="15"/>
    </row>
    <row r="67" spans="3:26" s="14" customFormat="1">
      <c r="C67" s="57"/>
      <c r="D67" s="10"/>
      <c r="E67" s="10"/>
      <c r="F67" s="11"/>
      <c r="G67" s="12"/>
      <c r="H67" s="12"/>
      <c r="I67" s="12"/>
      <c r="J67" s="12"/>
      <c r="K67" s="12"/>
      <c r="L67" s="12"/>
      <c r="M67" s="12"/>
      <c r="N67" s="12"/>
      <c r="O67" s="13"/>
      <c r="Z67" s="15"/>
    </row>
    <row r="68" spans="3:26" s="14" customFormat="1">
      <c r="C68" s="57"/>
      <c r="D68" s="10"/>
      <c r="E68" s="10"/>
      <c r="F68" s="11"/>
      <c r="G68" s="12"/>
      <c r="H68" s="12"/>
      <c r="I68" s="12"/>
      <c r="J68" s="12"/>
      <c r="K68" s="12"/>
      <c r="L68" s="12"/>
      <c r="M68" s="12"/>
      <c r="N68" s="12"/>
      <c r="O68" s="13"/>
      <c r="Z68" s="15"/>
    </row>
    <row r="69" spans="3:26" s="14" customFormat="1">
      <c r="C69" s="57"/>
      <c r="D69" s="10"/>
      <c r="E69" s="10"/>
      <c r="F69" s="11"/>
      <c r="G69" s="12"/>
      <c r="H69" s="12"/>
      <c r="I69" s="12"/>
      <c r="J69" s="12"/>
      <c r="K69" s="12"/>
      <c r="L69" s="12"/>
      <c r="M69" s="12"/>
      <c r="N69" s="12"/>
      <c r="O69" s="13"/>
      <c r="Z69" s="15"/>
    </row>
    <row r="70" spans="3:26" s="14" customFormat="1">
      <c r="C70" s="57"/>
      <c r="D70" s="10"/>
      <c r="E70" s="10"/>
      <c r="F70" s="11"/>
      <c r="G70" s="12"/>
      <c r="H70" s="12"/>
      <c r="I70" s="12"/>
      <c r="J70" s="12"/>
      <c r="K70" s="12"/>
      <c r="L70" s="12"/>
      <c r="M70" s="12"/>
      <c r="N70" s="12"/>
      <c r="O70" s="13"/>
      <c r="Z70" s="15"/>
    </row>
    <row r="71" spans="3:26" s="14" customFormat="1">
      <c r="C71" s="57"/>
      <c r="D71" s="10"/>
      <c r="E71" s="10"/>
      <c r="F71" s="11"/>
      <c r="G71" s="12"/>
      <c r="H71" s="12"/>
      <c r="I71" s="12"/>
      <c r="J71" s="12"/>
      <c r="K71" s="12"/>
      <c r="L71" s="12"/>
      <c r="M71" s="12"/>
      <c r="N71" s="12"/>
      <c r="O71" s="13"/>
      <c r="Z71" s="15"/>
    </row>
  </sheetData>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8"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17" t="s">
        <v>64</v>
      </c>
    </row>
    <row r="2" spans="3:27">
      <c r="C2" s="1"/>
      <c r="F2" s="3"/>
    </row>
    <row r="3" spans="3:27" s="4" customFormat="1" ht="13.5" thickBot="1">
      <c r="C3"/>
      <c r="D3" s="9">
        <f>Score!C1</f>
        <v>1</v>
      </c>
      <c r="E3" s="9">
        <f>Score!E1</f>
        <v>3</v>
      </c>
      <c r="F3" s="9">
        <f>Score!F1</f>
        <v>4</v>
      </c>
      <c r="G3" s="9">
        <f>Score!G1</f>
        <v>5</v>
      </c>
      <c r="H3" s="9">
        <f>Score!H1</f>
        <v>6</v>
      </c>
      <c r="I3" s="9">
        <f>Score!I1</f>
        <v>7</v>
      </c>
      <c r="J3" s="9">
        <f>Score!J1</f>
        <v>8</v>
      </c>
      <c r="K3" s="9">
        <f>Score!K1</f>
        <v>9</v>
      </c>
      <c r="L3" s="9">
        <f>Score!L1</f>
        <v>10</v>
      </c>
      <c r="M3" s="9">
        <f>Score!M1</f>
        <v>11</v>
      </c>
      <c r="N3" s="9">
        <f>Score!N1</f>
        <v>12</v>
      </c>
      <c r="O3" s="9">
        <f>Score!O1</f>
        <v>13</v>
      </c>
      <c r="P3" s="9">
        <f>Score!P1</f>
        <v>14</v>
      </c>
      <c r="Q3" s="9">
        <f>Score!Q1</f>
        <v>15</v>
      </c>
      <c r="R3" s="9">
        <f>Score!R1</f>
        <v>16</v>
      </c>
      <c r="S3" s="9">
        <f>Score!S1</f>
        <v>17</v>
      </c>
      <c r="T3" s="9">
        <f>Score!T1</f>
        <v>18</v>
      </c>
      <c r="U3" s="9">
        <f>Score!U1</f>
        <v>19</v>
      </c>
      <c r="V3" s="9">
        <f>Score!V1</f>
        <v>20</v>
      </c>
      <c r="W3" s="9">
        <f>Score!W1</f>
        <v>21</v>
      </c>
      <c r="X3" s="9" t="e">
        <f>Score!#REF!</f>
        <v>#REF!</v>
      </c>
      <c r="Y3" s="9" t="s">
        <v>2</v>
      </c>
      <c r="Z3" s="7"/>
    </row>
    <row r="4" spans="3:27">
      <c r="C4" t="s">
        <v>27</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19" si="0">SUM(D4:Y4)</f>
        <v>#N/A</v>
      </c>
      <c r="AA4" t="str">
        <f t="shared" ref="AA4:AA20" si="1">C4</f>
        <v>Test</v>
      </c>
    </row>
    <row r="5" spans="3:27">
      <c r="C5" t="s">
        <v>28</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29</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50</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51</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52</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53</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54</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55</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56</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57</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58</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59</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60</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61</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62</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63</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SUM(D20:Y20)</f>
        <v>#N/A</v>
      </c>
      <c r="AA20" t="str">
        <f t="shared" si="1"/>
        <v>test17</v>
      </c>
    </row>
    <row r="21" spans="3:27" s="76" customFormat="1">
      <c r="C21" s="76" t="s">
        <v>19</v>
      </c>
      <c r="D21" s="77"/>
      <c r="E21" s="78"/>
      <c r="F21" s="77"/>
      <c r="G21" s="77"/>
      <c r="H21" s="77"/>
      <c r="I21" s="77"/>
      <c r="J21" s="77"/>
      <c r="K21" s="77"/>
      <c r="L21" s="77"/>
      <c r="M21" s="77"/>
      <c r="N21" s="77"/>
      <c r="O21" s="77"/>
      <c r="P21" s="77"/>
      <c r="Q21" s="77"/>
      <c r="R21" s="77"/>
      <c r="S21" s="77"/>
      <c r="T21" s="77"/>
      <c r="U21" s="77"/>
      <c r="V21" s="77"/>
      <c r="W21" s="77"/>
      <c r="X21" s="77"/>
      <c r="Y21" s="77"/>
      <c r="Z21" s="81"/>
    </row>
    <row r="22" spans="3:27" s="1" customFormat="1">
      <c r="C22"/>
      <c r="D22" s="74" t="e">
        <f t="shared" ref="D22:Y22" si="2">SUM(D4:D21)</f>
        <v>#N/A</v>
      </c>
      <c r="E22" s="74" t="e">
        <f t="shared" si="2"/>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5" t="e">
        <f>SUM(Z4:Z21)</f>
        <v>#N/A</v>
      </c>
    </row>
    <row r="23" spans="3:27" s="58" customFormat="1">
      <c r="C23"/>
      <c r="D23" s="59"/>
      <c r="E23" s="59"/>
      <c r="F23" s="54"/>
      <c r="G23" s="59"/>
      <c r="H23" s="59"/>
      <c r="I23" s="59"/>
      <c r="J23" s="59"/>
      <c r="K23" s="59"/>
      <c r="L23" s="59"/>
      <c r="M23" s="59"/>
      <c r="N23" s="59"/>
      <c r="O23" s="59"/>
      <c r="P23" s="59"/>
      <c r="Q23" s="59"/>
      <c r="R23" s="59"/>
      <c r="S23" s="59"/>
      <c r="T23" s="59"/>
      <c r="U23" s="59"/>
      <c r="V23" s="59"/>
      <c r="W23" s="59"/>
      <c r="X23" s="59"/>
      <c r="Y23" s="59"/>
      <c r="Z23" s="67"/>
    </row>
    <row r="24" spans="3:27" s="70" customFormat="1">
      <c r="C24" s="68"/>
      <c r="D24" s="69" t="e">
        <f>VLOOKUP($C24,Score!$B$2:$X$71,2,0)</f>
        <v>#N/A</v>
      </c>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row>
    <row r="25" spans="3:27" s="70" customFormat="1">
      <c r="C25" s="68"/>
      <c r="D25" s="69" t="e">
        <f>VLOOKUP($C25,Score!$B$2:$X$71,2,0)</f>
        <v>#N/A</v>
      </c>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row>
    <row r="26" spans="3:27" s="70" customFormat="1">
      <c r="C26" s="68"/>
      <c r="D26" s="69" t="e">
        <f>VLOOKUP($C26,Score!$B$2:$X$71,2,0)</f>
        <v>#N/A</v>
      </c>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row>
    <row r="27" spans="3:27" s="48" customFormat="1">
      <c r="D27" s="47"/>
      <c r="E27" s="47"/>
      <c r="F27" s="46"/>
      <c r="G27" s="47"/>
      <c r="H27" s="47"/>
      <c r="I27" s="47"/>
      <c r="J27" s="47"/>
      <c r="K27" s="47"/>
      <c r="L27" s="47"/>
      <c r="M27" s="47"/>
      <c r="N27" s="47"/>
      <c r="Z27" s="49"/>
    </row>
    <row r="28" spans="3:27" s="48" customFormat="1">
      <c r="C28" s="65"/>
      <c r="D28" s="47"/>
      <c r="E28" s="47"/>
      <c r="F28" s="46"/>
      <c r="G28" s="47"/>
      <c r="H28" s="47"/>
      <c r="I28" s="47"/>
      <c r="J28" s="47"/>
      <c r="K28" s="47"/>
      <c r="L28" s="47"/>
      <c r="M28" s="47"/>
      <c r="N28" s="47"/>
      <c r="Z28" s="49"/>
    </row>
    <row r="29" spans="3:27" s="48" customFormat="1">
      <c r="C29" s="50"/>
      <c r="D29" s="47"/>
      <c r="E29" s="47"/>
      <c r="F29" s="46"/>
      <c r="G29" s="47"/>
      <c r="H29" s="47"/>
      <c r="I29" s="47"/>
      <c r="J29" s="47"/>
      <c r="K29" s="47"/>
      <c r="L29" s="47"/>
      <c r="M29" s="47"/>
      <c r="N29" s="47"/>
      <c r="Z29" s="49"/>
    </row>
    <row r="30" spans="3:27" s="48" customFormat="1">
      <c r="C30" s="50"/>
      <c r="D30" s="47"/>
      <c r="E30" s="47"/>
      <c r="F30" s="46"/>
      <c r="G30" s="47"/>
      <c r="H30" s="47"/>
      <c r="I30" s="47"/>
      <c r="J30" s="47"/>
      <c r="K30" s="47"/>
      <c r="L30" s="47"/>
      <c r="M30" s="47"/>
      <c r="N30" s="47"/>
      <c r="Z30" s="49"/>
    </row>
    <row r="31" spans="3:27" s="48" customFormat="1">
      <c r="D31" s="47"/>
      <c r="E31" s="47"/>
      <c r="F31" s="46"/>
      <c r="G31" s="47"/>
      <c r="H31" s="47"/>
      <c r="I31" s="47"/>
      <c r="J31" s="47"/>
      <c r="K31" s="47"/>
      <c r="L31" s="47"/>
      <c r="M31" s="47"/>
      <c r="N31" s="47"/>
      <c r="Z31" s="49"/>
    </row>
    <row r="32" spans="3:27" s="14" customFormat="1">
      <c r="C32" s="30"/>
      <c r="D32" s="10"/>
      <c r="E32" s="10"/>
      <c r="F32" s="11"/>
      <c r="G32" s="12"/>
      <c r="H32" s="12"/>
      <c r="I32" s="12"/>
      <c r="J32" s="12"/>
      <c r="K32" s="12"/>
      <c r="L32" s="12"/>
      <c r="M32" s="12"/>
      <c r="N32" s="12"/>
      <c r="O32" s="13"/>
      <c r="Z32" s="15"/>
    </row>
    <row r="33" spans="3:26" s="14" customFormat="1">
      <c r="C33" s="30"/>
      <c r="D33" s="10"/>
      <c r="E33" s="10"/>
      <c r="F33" s="11"/>
      <c r="G33" s="12"/>
      <c r="H33" s="12"/>
      <c r="I33" s="12"/>
      <c r="J33" s="12"/>
      <c r="K33" s="12"/>
      <c r="L33" s="12"/>
      <c r="M33" s="12"/>
      <c r="N33" s="12"/>
      <c r="O33" s="13"/>
      <c r="Z33" s="15"/>
    </row>
    <row r="34" spans="3:26" s="14" customFormat="1">
      <c r="C34" s="30"/>
      <c r="D34" s="10"/>
      <c r="E34" s="10"/>
      <c r="F34" s="11"/>
      <c r="G34" s="12"/>
      <c r="H34" s="12"/>
      <c r="I34" s="12"/>
      <c r="J34" s="12"/>
      <c r="K34" s="12"/>
      <c r="L34" s="12"/>
      <c r="M34" s="12"/>
      <c r="N34" s="12"/>
      <c r="O34" s="13"/>
      <c r="Z34" s="15"/>
    </row>
    <row r="35" spans="3:26" s="14" customFormat="1">
      <c r="C35" s="30"/>
      <c r="D35" s="10"/>
      <c r="E35" s="10"/>
      <c r="F35" s="11"/>
      <c r="G35" s="12"/>
      <c r="H35" s="12"/>
      <c r="I35" s="12"/>
      <c r="J35" s="12"/>
      <c r="K35" s="12"/>
      <c r="L35" s="12"/>
      <c r="M35" s="12"/>
      <c r="N35" s="12"/>
      <c r="O35" s="13"/>
      <c r="Z35" s="15"/>
    </row>
    <row r="36" spans="3:26" s="14" customFormat="1">
      <c r="C36" s="30"/>
      <c r="D36" s="10"/>
      <c r="E36" s="10"/>
      <c r="F36" s="11"/>
      <c r="G36" s="12"/>
      <c r="H36" s="12"/>
      <c r="I36" s="12"/>
      <c r="J36" s="12"/>
      <c r="K36" s="12"/>
      <c r="L36" s="12"/>
      <c r="M36" s="12"/>
      <c r="N36" s="12"/>
      <c r="O36" s="13"/>
      <c r="Z36" s="15"/>
    </row>
    <row r="37" spans="3:26" s="14" customFormat="1">
      <c r="C37" s="30"/>
      <c r="D37" s="10"/>
      <c r="E37" s="10"/>
      <c r="F37" s="11"/>
      <c r="G37" s="12"/>
      <c r="H37" s="12"/>
      <c r="I37" s="12"/>
      <c r="J37" s="12"/>
      <c r="K37" s="12"/>
      <c r="L37" s="12"/>
      <c r="M37" s="12"/>
      <c r="N37" s="12"/>
      <c r="O37" s="13"/>
      <c r="Z37" s="15"/>
    </row>
    <row r="38" spans="3:26" s="14" customFormat="1">
      <c r="C38" s="30"/>
      <c r="D38" s="10"/>
      <c r="E38" s="10"/>
      <c r="F38" s="11"/>
      <c r="G38" s="12"/>
      <c r="H38" s="12"/>
      <c r="I38" s="12"/>
      <c r="J38" s="12"/>
      <c r="K38" s="12"/>
      <c r="L38" s="12"/>
      <c r="M38" s="12"/>
      <c r="N38" s="12"/>
      <c r="O38" s="13"/>
      <c r="Z38" s="15"/>
    </row>
    <row r="39" spans="3:26" s="14" customFormat="1">
      <c r="C39" s="30"/>
      <c r="D39" s="10"/>
      <c r="E39" s="10"/>
      <c r="F39" s="11"/>
      <c r="G39" s="12"/>
      <c r="H39" s="12"/>
      <c r="I39" s="12"/>
      <c r="J39" s="12"/>
      <c r="K39" s="12"/>
      <c r="L39" s="12"/>
      <c r="M39" s="12"/>
      <c r="N39" s="12"/>
      <c r="O39" s="13"/>
      <c r="Z39" s="15"/>
    </row>
    <row r="40" spans="3:26" s="14" customFormat="1">
      <c r="C40" s="34"/>
      <c r="D40" s="10"/>
      <c r="E40" s="10"/>
      <c r="F40" s="11"/>
      <c r="G40" s="12"/>
      <c r="H40" s="12"/>
      <c r="I40" s="12"/>
      <c r="J40" s="12"/>
      <c r="K40" s="12"/>
      <c r="L40" s="12"/>
      <c r="M40" s="12"/>
      <c r="N40" s="12"/>
      <c r="O40" s="13"/>
      <c r="Z40" s="15"/>
    </row>
    <row r="41" spans="3:26" s="14" customFormat="1">
      <c r="C41" s="34"/>
      <c r="D41" s="10"/>
      <c r="E41" s="10"/>
      <c r="F41" s="11"/>
      <c r="G41" s="12"/>
      <c r="H41" s="12"/>
      <c r="I41" s="12"/>
      <c r="J41" s="12"/>
      <c r="K41" s="12"/>
      <c r="L41" s="12"/>
      <c r="M41" s="12"/>
      <c r="N41" s="12"/>
      <c r="O41" s="13"/>
      <c r="Z41" s="15"/>
    </row>
    <row r="42" spans="3:26" s="14" customFormat="1">
      <c r="C42" s="34"/>
      <c r="D42" s="10"/>
      <c r="E42" s="10"/>
      <c r="F42" s="11"/>
      <c r="G42" s="12"/>
      <c r="H42" s="12"/>
      <c r="I42" s="12"/>
      <c r="J42" s="12"/>
      <c r="K42" s="12"/>
      <c r="L42" s="12"/>
      <c r="M42" s="12"/>
      <c r="N42" s="12"/>
      <c r="O42" s="13"/>
      <c r="Z42" s="15"/>
    </row>
    <row r="43" spans="3:26" s="14" customFormat="1">
      <c r="C43" s="34"/>
      <c r="D43" s="10"/>
      <c r="E43" s="10"/>
      <c r="F43" s="11"/>
      <c r="G43" s="12"/>
      <c r="H43" s="12"/>
      <c r="I43" s="12"/>
      <c r="J43" s="12"/>
      <c r="K43" s="12"/>
      <c r="L43" s="12"/>
      <c r="M43" s="12"/>
      <c r="N43" s="12"/>
      <c r="O43" s="13"/>
      <c r="Z43" s="15"/>
    </row>
    <row r="44" spans="3:26" s="14" customFormat="1">
      <c r="C44" s="34"/>
      <c r="D44" s="10"/>
      <c r="E44" s="10"/>
      <c r="F44" s="11"/>
      <c r="G44" s="12"/>
      <c r="H44" s="12"/>
      <c r="I44" s="12"/>
      <c r="J44" s="12"/>
      <c r="K44" s="12"/>
      <c r="L44" s="12"/>
      <c r="M44" s="12"/>
      <c r="N44" s="12"/>
      <c r="O44" s="13"/>
      <c r="Z44" s="15"/>
    </row>
    <row r="45" spans="3:26" s="14" customFormat="1">
      <c r="C45" s="34"/>
      <c r="D45" s="10"/>
      <c r="E45" s="10"/>
      <c r="F45" s="11"/>
      <c r="G45" s="12"/>
      <c r="H45" s="12"/>
      <c r="I45" s="12"/>
      <c r="J45" s="12"/>
      <c r="K45" s="12"/>
      <c r="L45" s="12"/>
      <c r="M45" s="12"/>
      <c r="N45" s="12"/>
      <c r="O45" s="13"/>
      <c r="Z45" s="15"/>
    </row>
    <row r="46" spans="3:26" s="14" customFormat="1">
      <c r="C46" s="34"/>
      <c r="D46" s="10"/>
      <c r="E46" s="10"/>
      <c r="F46" s="11"/>
      <c r="G46" s="12"/>
      <c r="H46" s="12"/>
      <c r="I46" s="12"/>
      <c r="J46" s="12"/>
      <c r="K46" s="12"/>
      <c r="L46" s="12"/>
      <c r="M46" s="12"/>
      <c r="N46" s="12"/>
      <c r="O46" s="13"/>
      <c r="Z46" s="15"/>
    </row>
    <row r="47" spans="3:26" s="14" customFormat="1">
      <c r="C47" s="34"/>
      <c r="D47" s="10"/>
      <c r="E47" s="10"/>
      <c r="F47" s="11"/>
      <c r="G47" s="12"/>
      <c r="H47" s="12"/>
      <c r="I47" s="12"/>
      <c r="J47" s="12"/>
      <c r="K47" s="12"/>
      <c r="L47" s="12"/>
      <c r="M47" s="12"/>
      <c r="N47" s="12"/>
      <c r="O47" s="13"/>
      <c r="Z47" s="15"/>
    </row>
    <row r="48" spans="3:26" s="14" customFormat="1">
      <c r="C48" s="34"/>
      <c r="D48" s="10"/>
      <c r="E48" s="10"/>
      <c r="F48" s="11"/>
      <c r="G48" s="12"/>
      <c r="H48" s="12"/>
      <c r="I48" s="12"/>
      <c r="J48" s="12"/>
      <c r="K48" s="12"/>
      <c r="L48" s="12"/>
      <c r="M48" s="12"/>
      <c r="N48" s="12"/>
      <c r="O48" s="13"/>
      <c r="Z48" s="15"/>
    </row>
    <row r="49" spans="3:26" s="14" customFormat="1">
      <c r="C49" s="34"/>
      <c r="D49" s="10"/>
      <c r="E49" s="10"/>
      <c r="F49" s="11"/>
      <c r="G49" s="12"/>
      <c r="H49" s="12"/>
      <c r="I49" s="12"/>
      <c r="J49" s="12"/>
      <c r="K49" s="12"/>
      <c r="L49" s="12"/>
      <c r="M49" s="12"/>
      <c r="N49" s="12"/>
      <c r="O49" s="13"/>
      <c r="Z49" s="15"/>
    </row>
    <row r="50" spans="3:26" s="14" customFormat="1">
      <c r="C50" s="34"/>
      <c r="D50" s="10"/>
      <c r="E50" s="10"/>
      <c r="F50" s="11"/>
      <c r="G50" s="12"/>
      <c r="H50" s="12"/>
      <c r="I50" s="12"/>
      <c r="J50" s="12"/>
      <c r="K50" s="12"/>
      <c r="L50" s="12"/>
      <c r="M50" s="12"/>
      <c r="N50" s="12"/>
      <c r="O50" s="13"/>
      <c r="Z50" s="15"/>
    </row>
    <row r="51" spans="3:26" s="14" customFormat="1">
      <c r="C51" s="34"/>
      <c r="D51" s="10"/>
      <c r="E51" s="10"/>
      <c r="F51" s="11"/>
      <c r="G51" s="12"/>
      <c r="H51" s="12"/>
      <c r="I51" s="12"/>
      <c r="J51" s="12"/>
      <c r="K51" s="12"/>
      <c r="L51" s="12"/>
      <c r="M51" s="12"/>
      <c r="N51" s="12"/>
      <c r="O51" s="13"/>
      <c r="Z51" s="15"/>
    </row>
    <row r="52" spans="3:26" s="14" customFormat="1">
      <c r="C52" s="34"/>
      <c r="D52" s="10"/>
      <c r="E52" s="10"/>
      <c r="F52" s="11"/>
      <c r="G52" s="12"/>
      <c r="H52" s="12"/>
      <c r="I52" s="12"/>
      <c r="J52" s="12"/>
      <c r="K52" s="12"/>
      <c r="L52" s="12"/>
      <c r="M52" s="12"/>
      <c r="N52" s="12"/>
      <c r="O52" s="13"/>
      <c r="Z52" s="15"/>
    </row>
    <row r="53" spans="3:26" s="14" customFormat="1">
      <c r="C53" s="34"/>
      <c r="D53" s="10"/>
      <c r="E53" s="10"/>
      <c r="F53" s="11"/>
      <c r="G53" s="12"/>
      <c r="H53" s="12"/>
      <c r="I53" s="12"/>
      <c r="J53" s="12"/>
      <c r="K53" s="12"/>
      <c r="L53" s="12"/>
      <c r="M53" s="12"/>
      <c r="N53" s="12"/>
      <c r="O53" s="13"/>
      <c r="Z53" s="15"/>
    </row>
    <row r="54" spans="3:26" s="14" customFormat="1">
      <c r="C54" s="34"/>
      <c r="D54" s="10"/>
      <c r="E54" s="10"/>
      <c r="F54" s="11"/>
      <c r="G54" s="12"/>
      <c r="H54" s="12"/>
      <c r="I54" s="12"/>
      <c r="J54" s="12"/>
      <c r="K54" s="12"/>
      <c r="L54" s="12"/>
      <c r="M54" s="12"/>
      <c r="N54" s="12"/>
      <c r="O54" s="13"/>
      <c r="Z54" s="15"/>
    </row>
    <row r="55" spans="3:26" s="14" customFormat="1">
      <c r="C55" s="34"/>
      <c r="D55" s="10"/>
      <c r="E55" s="10"/>
      <c r="F55" s="11"/>
      <c r="G55" s="12"/>
      <c r="H55" s="12"/>
      <c r="I55" s="12"/>
      <c r="J55" s="12"/>
      <c r="K55" s="12"/>
      <c r="L55" s="12"/>
      <c r="M55" s="12"/>
      <c r="N55" s="12"/>
      <c r="O55" s="13"/>
      <c r="Z55" s="15"/>
    </row>
    <row r="56" spans="3:26" s="14" customFormat="1">
      <c r="C56" s="34"/>
      <c r="D56" s="10"/>
      <c r="E56" s="10"/>
      <c r="F56" s="11"/>
      <c r="G56" s="12"/>
      <c r="H56" s="12"/>
      <c r="I56" s="12"/>
      <c r="J56" s="12"/>
      <c r="K56" s="12"/>
      <c r="L56" s="12"/>
      <c r="M56" s="12"/>
      <c r="N56" s="12"/>
      <c r="O56" s="13"/>
      <c r="Z56" s="15"/>
    </row>
    <row r="57" spans="3:26" s="14" customFormat="1">
      <c r="C57" s="34"/>
      <c r="D57" s="10"/>
      <c r="E57" s="10"/>
      <c r="F57" s="11"/>
      <c r="G57" s="12"/>
      <c r="H57" s="12"/>
      <c r="I57" s="12"/>
      <c r="J57" s="12"/>
      <c r="K57" s="12"/>
      <c r="L57" s="12"/>
      <c r="M57" s="12"/>
      <c r="N57" s="12"/>
      <c r="O57" s="13"/>
      <c r="Z57" s="15"/>
    </row>
    <row r="58" spans="3:26" s="14" customFormat="1">
      <c r="C58" s="34"/>
      <c r="D58" s="10"/>
      <c r="E58" s="10"/>
      <c r="F58" s="11"/>
      <c r="G58" s="12"/>
      <c r="H58" s="12"/>
      <c r="I58" s="12"/>
      <c r="J58" s="12"/>
      <c r="K58" s="12"/>
      <c r="L58" s="12"/>
      <c r="M58" s="12"/>
      <c r="N58" s="12"/>
      <c r="O58" s="13"/>
      <c r="Z58" s="15"/>
    </row>
    <row r="59" spans="3:26" s="14" customFormat="1">
      <c r="C59" s="34"/>
      <c r="D59" s="10"/>
      <c r="E59" s="10"/>
      <c r="F59" s="11"/>
      <c r="G59" s="12"/>
      <c r="H59" s="12"/>
      <c r="I59" s="12"/>
      <c r="J59" s="12"/>
      <c r="K59" s="12"/>
      <c r="L59" s="12"/>
      <c r="M59" s="12"/>
      <c r="N59" s="12"/>
      <c r="O59" s="13"/>
      <c r="Z59" s="15"/>
    </row>
    <row r="60" spans="3:26" s="14" customFormat="1">
      <c r="C60" s="34"/>
      <c r="D60" s="10"/>
      <c r="E60" s="10"/>
      <c r="F60" s="11"/>
      <c r="G60" s="12"/>
      <c r="H60" s="12"/>
      <c r="I60" s="12"/>
      <c r="J60" s="12"/>
      <c r="K60" s="12"/>
      <c r="L60" s="12"/>
      <c r="M60" s="12"/>
      <c r="N60" s="12"/>
      <c r="O60" s="13"/>
      <c r="Z60" s="15"/>
    </row>
    <row r="61" spans="3:26" s="14" customFormat="1">
      <c r="C61" s="34"/>
      <c r="D61" s="10"/>
      <c r="E61" s="10"/>
      <c r="F61" s="11"/>
      <c r="G61" s="12"/>
      <c r="H61" s="12"/>
      <c r="I61" s="12"/>
      <c r="J61" s="12"/>
      <c r="K61" s="12"/>
      <c r="L61" s="12"/>
      <c r="M61" s="12"/>
      <c r="N61" s="12"/>
      <c r="O61" s="13"/>
      <c r="Z61" s="15"/>
    </row>
    <row r="62" spans="3:26" s="14" customFormat="1">
      <c r="C62" s="34"/>
      <c r="D62" s="10"/>
      <c r="E62" s="10"/>
      <c r="F62" s="11"/>
      <c r="G62" s="12"/>
      <c r="H62" s="12"/>
      <c r="I62" s="12"/>
      <c r="J62" s="12"/>
      <c r="K62" s="12"/>
      <c r="L62" s="12"/>
      <c r="M62" s="12"/>
      <c r="N62" s="12"/>
      <c r="O62" s="13"/>
      <c r="Z62" s="15"/>
    </row>
    <row r="63" spans="3:26" s="14" customFormat="1">
      <c r="C63" s="34"/>
      <c r="D63" s="10"/>
      <c r="E63" s="10"/>
      <c r="F63" s="11"/>
      <c r="G63" s="12"/>
      <c r="H63" s="12"/>
      <c r="I63" s="12"/>
      <c r="J63" s="12"/>
      <c r="K63" s="12"/>
      <c r="L63" s="12"/>
      <c r="M63" s="12"/>
      <c r="N63" s="12"/>
      <c r="O63" s="13"/>
      <c r="Z63" s="15"/>
    </row>
    <row r="64" spans="3:26" s="14" customFormat="1">
      <c r="C64" s="34"/>
      <c r="D64" s="10"/>
      <c r="E64" s="10"/>
      <c r="F64" s="11"/>
      <c r="G64" s="12"/>
      <c r="H64" s="12"/>
      <c r="I64" s="12"/>
      <c r="J64" s="12"/>
      <c r="K64" s="12"/>
      <c r="L64" s="12"/>
      <c r="M64" s="12"/>
      <c r="N64" s="12"/>
      <c r="O64" s="13"/>
      <c r="Z64" s="15"/>
    </row>
    <row r="65" spans="3:26" s="14" customFormat="1">
      <c r="C65" s="34"/>
      <c r="D65" s="10"/>
      <c r="E65" s="10"/>
      <c r="F65" s="11"/>
      <c r="G65" s="12"/>
      <c r="H65" s="12"/>
      <c r="I65" s="12"/>
      <c r="J65" s="12"/>
      <c r="K65" s="12"/>
      <c r="L65" s="12"/>
      <c r="M65" s="12"/>
      <c r="N65" s="12"/>
      <c r="O65" s="13"/>
      <c r="Z65" s="15"/>
    </row>
    <row r="66" spans="3:26" s="14" customFormat="1">
      <c r="C66" s="34"/>
      <c r="D66" s="10"/>
      <c r="E66" s="10"/>
      <c r="F66" s="11"/>
      <c r="G66" s="12"/>
      <c r="H66" s="12"/>
      <c r="I66" s="12"/>
      <c r="J66" s="12"/>
      <c r="K66" s="12"/>
      <c r="L66" s="12"/>
      <c r="M66" s="12"/>
      <c r="N66" s="12"/>
      <c r="O66" s="13"/>
      <c r="Z66" s="15"/>
    </row>
    <row r="67" spans="3:26" s="14" customFormat="1">
      <c r="C67" s="34"/>
      <c r="D67" s="10"/>
      <c r="E67" s="10"/>
      <c r="F67" s="11"/>
      <c r="G67" s="12"/>
      <c r="H67" s="12"/>
      <c r="I67" s="12"/>
      <c r="J67" s="12"/>
      <c r="K67" s="12"/>
      <c r="L67" s="12"/>
      <c r="M67" s="12"/>
      <c r="N67" s="12"/>
      <c r="O67" s="13"/>
      <c r="Z67" s="15"/>
    </row>
    <row r="68" spans="3:26" s="14" customFormat="1">
      <c r="C68" s="34"/>
      <c r="D68" s="10"/>
      <c r="E68" s="10"/>
      <c r="F68" s="11"/>
      <c r="G68" s="12"/>
      <c r="H68" s="12"/>
      <c r="I68" s="12"/>
      <c r="J68" s="12"/>
      <c r="K68" s="12"/>
      <c r="L68" s="12"/>
      <c r="M68" s="12"/>
      <c r="N68" s="12"/>
      <c r="O68" s="13"/>
      <c r="Z68" s="15"/>
    </row>
    <row r="69" spans="3:26" s="14" customFormat="1">
      <c r="C69" s="34"/>
      <c r="D69" s="10"/>
      <c r="E69" s="10"/>
      <c r="F69" s="11"/>
      <c r="G69" s="12"/>
      <c r="H69" s="12"/>
      <c r="I69" s="12"/>
      <c r="J69" s="12"/>
      <c r="K69" s="12"/>
      <c r="L69" s="12"/>
      <c r="M69" s="12"/>
      <c r="N69" s="12"/>
      <c r="O69" s="13"/>
      <c r="Z69" s="15"/>
    </row>
    <row r="70" spans="3:26" s="14" customFormat="1">
      <c r="C70" s="34"/>
      <c r="D70" s="10"/>
      <c r="E70" s="10"/>
      <c r="F70" s="11"/>
      <c r="G70" s="12"/>
      <c r="H70" s="12"/>
      <c r="I70" s="12"/>
      <c r="J70" s="12"/>
      <c r="K70" s="12"/>
      <c r="L70" s="12"/>
      <c r="M70" s="12"/>
      <c r="N70" s="12"/>
      <c r="O70" s="13"/>
      <c r="Z70" s="15"/>
    </row>
    <row r="71" spans="3:26" s="14" customFormat="1">
      <c r="C71" s="34"/>
      <c r="D71" s="10"/>
      <c r="E71" s="10"/>
      <c r="F71" s="11"/>
      <c r="G71" s="12"/>
      <c r="H71" s="12"/>
      <c r="I71" s="12"/>
      <c r="J71" s="12"/>
      <c r="K71" s="12"/>
      <c r="L71" s="12"/>
      <c r="M71" s="12"/>
      <c r="N71" s="12"/>
      <c r="O71" s="13"/>
      <c r="Z71" s="15"/>
    </row>
  </sheetData>
  <phoneticPr fontId="0" type="noConversion"/>
  <pageMargins left="0.75" right="0.75" top="1" bottom="1" header="0.5" footer="0.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sheetPr enableFormatConditionsCalculation="0">
    <tabColor indexed="12"/>
  </sheetPr>
  <dimension ref="B1:AA26"/>
  <sheetViews>
    <sheetView showZeros="0" workbookViewId="0">
      <selection activeCell="V22" sqref="V22"/>
    </sheetView>
  </sheetViews>
  <sheetFormatPr defaultRowHeight="12.75"/>
  <cols>
    <col min="1" max="1" width="2.7109375" style="125" customWidth="1"/>
    <col min="2" max="2" width="8.85546875" style="125" customWidth="1"/>
    <col min="3" max="3" width="13" style="126"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43"/>
      <c r="C1" s="1" t="s">
        <v>215</v>
      </c>
      <c r="D1" s="178"/>
    </row>
    <row r="2" spans="2:27">
      <c r="B2" s="243"/>
      <c r="C2" s="237"/>
      <c r="G2" s="146"/>
    </row>
    <row r="3" spans="2:27" s="144" customFormat="1" ht="13.5" thickBot="1">
      <c r="B3" s="245"/>
      <c r="C3" s="238" t="s">
        <v>216</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46" t="s">
        <v>145</v>
      </c>
      <c r="C4" s="239" t="s">
        <v>146</v>
      </c>
      <c r="D4" s="126">
        <f t="shared" ref="D4:M13" si="0">INDEX(scorematrix,MATCH($C4,renners,0),MATCH(D$3,etappes,0))</f>
        <v>0</v>
      </c>
      <c r="E4" s="126">
        <f t="shared" si="0"/>
        <v>0</v>
      </c>
      <c r="F4" s="126">
        <f t="shared" si="0"/>
        <v>0</v>
      </c>
      <c r="G4" s="126">
        <f t="shared" si="0"/>
        <v>0</v>
      </c>
      <c r="H4" s="126">
        <f t="shared" si="0"/>
        <v>0</v>
      </c>
      <c r="I4" s="126">
        <f t="shared" si="0"/>
        <v>0</v>
      </c>
      <c r="J4" s="126">
        <f t="shared" si="0"/>
        <v>0</v>
      </c>
      <c r="K4" s="126">
        <f t="shared" si="0"/>
        <v>22</v>
      </c>
      <c r="L4" s="126">
        <f t="shared" si="0"/>
        <v>18</v>
      </c>
      <c r="M4" s="126">
        <f t="shared" si="0"/>
        <v>5</v>
      </c>
      <c r="N4" s="126">
        <f t="shared" ref="N4:Y13" si="1">INDEX(scorematrix,MATCH($C4,renners,0),MATCH(N$3,etappes,0))</f>
        <v>18</v>
      </c>
      <c r="O4" s="126">
        <f t="shared" si="1"/>
        <v>7</v>
      </c>
      <c r="P4" s="126">
        <f t="shared" si="1"/>
        <v>27</v>
      </c>
      <c r="Q4" s="126">
        <f t="shared" si="1"/>
        <v>8</v>
      </c>
      <c r="R4" s="126">
        <f t="shared" si="1"/>
        <v>28</v>
      </c>
      <c r="S4" s="126">
        <f t="shared" si="1"/>
        <v>8</v>
      </c>
      <c r="T4" s="126">
        <f t="shared" si="1"/>
        <v>39</v>
      </c>
      <c r="U4" s="126">
        <f t="shared" si="1"/>
        <v>24</v>
      </c>
      <c r="V4" s="126">
        <f t="shared" si="1"/>
        <v>9</v>
      </c>
      <c r="W4" s="126">
        <f t="shared" si="1"/>
        <v>26</v>
      </c>
      <c r="X4" s="126">
        <f t="shared" si="1"/>
        <v>7</v>
      </c>
      <c r="Y4" s="126">
        <f t="shared" si="1"/>
        <v>48</v>
      </c>
      <c r="Z4" s="204">
        <f t="shared" ref="Z4:Z21" si="2">SUM(D4:Y4)</f>
        <v>294</v>
      </c>
      <c r="AA4" s="125" t="str">
        <f t="shared" ref="AA4:AA19" si="3">C4</f>
        <v>Contador</v>
      </c>
    </row>
    <row r="5" spans="2:27">
      <c r="B5" s="246" t="s">
        <v>181</v>
      </c>
      <c r="C5" s="240" t="s">
        <v>114</v>
      </c>
      <c r="D5" s="126">
        <f t="shared" si="0"/>
        <v>0</v>
      </c>
      <c r="E5" s="126">
        <f t="shared" si="0"/>
        <v>0</v>
      </c>
      <c r="F5" s="126">
        <f t="shared" si="0"/>
        <v>0</v>
      </c>
      <c r="G5" s="126">
        <f t="shared" si="0"/>
        <v>0.1</v>
      </c>
      <c r="H5" s="126">
        <f t="shared" si="0"/>
        <v>4</v>
      </c>
      <c r="I5" s="126">
        <f t="shared" si="0"/>
        <v>12</v>
      </c>
      <c r="J5" s="126">
        <f t="shared" si="0"/>
        <v>4</v>
      </c>
      <c r="K5" s="126">
        <f t="shared" si="0"/>
        <v>50</v>
      </c>
      <c r="L5" s="126">
        <f t="shared" si="0"/>
        <v>26</v>
      </c>
      <c r="M5" s="126">
        <f t="shared" si="0"/>
        <v>14</v>
      </c>
      <c r="N5" s="126">
        <f t="shared" si="1"/>
        <v>44</v>
      </c>
      <c r="O5" s="126">
        <f t="shared" si="1"/>
        <v>26</v>
      </c>
      <c r="P5" s="126">
        <f t="shared" si="1"/>
        <v>14</v>
      </c>
      <c r="Q5" s="126">
        <f t="shared" si="1"/>
        <v>14</v>
      </c>
      <c r="R5" s="126">
        <f t="shared" si="1"/>
        <v>50</v>
      </c>
      <c r="S5" s="126">
        <f t="shared" si="1"/>
        <v>15</v>
      </c>
      <c r="T5" s="126">
        <f t="shared" si="1"/>
        <v>50</v>
      </c>
      <c r="U5" s="126">
        <f t="shared" si="1"/>
        <v>34</v>
      </c>
      <c r="V5" s="126">
        <f t="shared" si="1"/>
        <v>15</v>
      </c>
      <c r="W5" s="126">
        <f t="shared" si="1"/>
        <v>40</v>
      </c>
      <c r="X5" s="126">
        <f t="shared" si="1"/>
        <v>14</v>
      </c>
      <c r="Y5" s="126">
        <f t="shared" si="1"/>
        <v>77</v>
      </c>
      <c r="Z5" s="204">
        <f t="shared" si="2"/>
        <v>503.1</v>
      </c>
      <c r="AA5" s="125" t="str">
        <f t="shared" si="3"/>
        <v>Froome</v>
      </c>
    </row>
    <row r="6" spans="2:27">
      <c r="B6" s="246" t="s">
        <v>131</v>
      </c>
      <c r="C6" s="240" t="s">
        <v>132</v>
      </c>
      <c r="D6" s="126">
        <f t="shared" si="0"/>
        <v>0</v>
      </c>
      <c r="E6" s="126">
        <f t="shared" si="0"/>
        <v>5</v>
      </c>
      <c r="F6" s="126">
        <f t="shared" si="0"/>
        <v>5</v>
      </c>
      <c r="G6" s="126">
        <f t="shared" si="0"/>
        <v>0</v>
      </c>
      <c r="H6" s="126">
        <f t="shared" si="0"/>
        <v>5</v>
      </c>
      <c r="I6" s="126">
        <f t="shared" si="0"/>
        <v>5</v>
      </c>
      <c r="J6" s="126">
        <f t="shared" si="0"/>
        <v>4</v>
      </c>
      <c r="K6" s="126">
        <f t="shared" si="0"/>
        <v>4</v>
      </c>
      <c r="L6" s="126">
        <f t="shared" si="0"/>
        <v>5</v>
      </c>
      <c r="M6" s="126">
        <f t="shared" si="0"/>
        <v>5</v>
      </c>
      <c r="N6" s="126">
        <f t="shared" si="1"/>
        <v>5</v>
      </c>
      <c r="O6" s="126">
        <f t="shared" si="1"/>
        <v>5</v>
      </c>
      <c r="P6" s="126">
        <f t="shared" si="1"/>
        <v>5</v>
      </c>
      <c r="Q6" s="126">
        <f t="shared" si="1"/>
        <v>5</v>
      </c>
      <c r="R6" s="126">
        <f t="shared" si="1"/>
        <v>2</v>
      </c>
      <c r="S6" s="126">
        <f t="shared" si="1"/>
        <v>2</v>
      </c>
      <c r="T6" s="126">
        <f t="shared" si="1"/>
        <v>2</v>
      </c>
      <c r="U6" s="126">
        <f t="shared" si="1"/>
        <v>2</v>
      </c>
      <c r="V6" s="126">
        <f t="shared" si="1"/>
        <v>14</v>
      </c>
      <c r="W6" s="126">
        <f t="shared" si="1"/>
        <v>3</v>
      </c>
      <c r="X6" s="126">
        <f t="shared" si="1"/>
        <v>3</v>
      </c>
      <c r="Y6" s="126">
        <f t="shared" si="1"/>
        <v>5</v>
      </c>
      <c r="Z6" s="204">
        <f t="shared" si="2"/>
        <v>91</v>
      </c>
      <c r="AA6" s="125" t="str">
        <f t="shared" si="3"/>
        <v>Rolland</v>
      </c>
    </row>
    <row r="7" spans="2:27">
      <c r="B7" s="246" t="s">
        <v>154</v>
      </c>
      <c r="C7" s="240" t="s">
        <v>155</v>
      </c>
      <c r="D7" s="126">
        <f t="shared" si="0"/>
        <v>0</v>
      </c>
      <c r="E7" s="126">
        <f t="shared" si="0"/>
        <v>0</v>
      </c>
      <c r="F7" s="126">
        <f t="shared" si="0"/>
        <v>0</v>
      </c>
      <c r="G7" s="126">
        <f t="shared" si="0"/>
        <v>0</v>
      </c>
      <c r="H7" s="126">
        <f t="shared" si="0"/>
        <v>0</v>
      </c>
      <c r="I7" s="126">
        <f t="shared" si="0"/>
        <v>0</v>
      </c>
      <c r="J7" s="126">
        <f t="shared" si="0"/>
        <v>0</v>
      </c>
      <c r="K7" s="126">
        <f t="shared" si="0"/>
        <v>14</v>
      </c>
      <c r="L7" s="126">
        <f t="shared" si="0"/>
        <v>7</v>
      </c>
      <c r="M7" s="126">
        <f t="shared" si="0"/>
        <v>1</v>
      </c>
      <c r="N7" s="126">
        <f t="shared" si="1"/>
        <v>2</v>
      </c>
      <c r="O7" s="126">
        <f t="shared" si="1"/>
        <v>2</v>
      </c>
      <c r="P7" s="126">
        <f t="shared" si="1"/>
        <v>0</v>
      </c>
      <c r="Q7" s="126">
        <f t="shared" si="1"/>
        <v>0</v>
      </c>
      <c r="R7" s="126">
        <f t="shared" si="1"/>
        <v>0</v>
      </c>
      <c r="S7" s="126">
        <f t="shared" si="1"/>
        <v>35</v>
      </c>
      <c r="T7" s="126">
        <f t="shared" si="1"/>
        <v>0</v>
      </c>
      <c r="U7" s="126">
        <f t="shared" si="1"/>
        <v>0</v>
      </c>
      <c r="V7" s="126">
        <f t="shared" si="1"/>
        <v>35</v>
      </c>
      <c r="W7" s="126">
        <f t="shared" si="1"/>
        <v>0</v>
      </c>
      <c r="X7" s="126">
        <f t="shared" si="1"/>
        <v>0</v>
      </c>
      <c r="Y7" s="126">
        <f t="shared" si="1"/>
        <v>0</v>
      </c>
      <c r="Z7" s="204">
        <f t="shared" si="2"/>
        <v>96</v>
      </c>
      <c r="AA7" s="125" t="str">
        <f t="shared" si="3"/>
        <v>Costa</v>
      </c>
    </row>
    <row r="8" spans="2:27">
      <c r="B8" s="246" t="s">
        <v>147</v>
      </c>
      <c r="C8" s="240" t="s">
        <v>148</v>
      </c>
      <c r="D8" s="126">
        <f t="shared" si="0"/>
        <v>0</v>
      </c>
      <c r="E8" s="126">
        <f t="shared" si="0"/>
        <v>0</v>
      </c>
      <c r="F8" s="126">
        <f t="shared" si="0"/>
        <v>0</v>
      </c>
      <c r="G8" s="126">
        <f t="shared" si="0"/>
        <v>0</v>
      </c>
      <c r="H8" s="126">
        <f t="shared" si="0"/>
        <v>0</v>
      </c>
      <c r="I8" s="126">
        <f t="shared" si="0"/>
        <v>0</v>
      </c>
      <c r="J8" s="126">
        <f t="shared" si="0"/>
        <v>0</v>
      </c>
      <c r="K8" s="126">
        <f t="shared" si="0"/>
        <v>0</v>
      </c>
      <c r="L8" s="126">
        <f t="shared" si="0"/>
        <v>0</v>
      </c>
      <c r="M8" s="126">
        <f t="shared" si="0"/>
        <v>0</v>
      </c>
      <c r="N8" s="126">
        <f t="shared" si="1"/>
        <v>0</v>
      </c>
      <c r="O8" s="126">
        <f t="shared" si="1"/>
        <v>0</v>
      </c>
      <c r="P8" s="126">
        <f t="shared" si="1"/>
        <v>0</v>
      </c>
      <c r="Q8" s="126">
        <f t="shared" si="1"/>
        <v>0</v>
      </c>
      <c r="R8" s="126">
        <f t="shared" si="1"/>
        <v>0</v>
      </c>
      <c r="S8" s="126">
        <f t="shared" si="1"/>
        <v>0</v>
      </c>
      <c r="T8" s="126">
        <f t="shared" si="1"/>
        <v>0</v>
      </c>
      <c r="U8" s="126">
        <f t="shared" si="1"/>
        <v>0</v>
      </c>
      <c r="V8" s="126">
        <f t="shared" si="1"/>
        <v>0</v>
      </c>
      <c r="W8" s="126">
        <f t="shared" si="1"/>
        <v>0</v>
      </c>
      <c r="X8" s="126">
        <f t="shared" si="1"/>
        <v>0</v>
      </c>
      <c r="Y8" s="126">
        <f t="shared" si="1"/>
        <v>0</v>
      </c>
      <c r="Z8" s="204">
        <f t="shared" si="2"/>
        <v>0</v>
      </c>
      <c r="AA8" s="125" t="str">
        <f t="shared" si="3"/>
        <v>Pinot</v>
      </c>
    </row>
    <row r="9" spans="2:27">
      <c r="B9" s="246" t="s">
        <v>121</v>
      </c>
      <c r="C9" s="240" t="s">
        <v>122</v>
      </c>
      <c r="D9" s="126">
        <f t="shared" si="0"/>
        <v>0</v>
      </c>
      <c r="E9" s="126">
        <f t="shared" si="0"/>
        <v>0</v>
      </c>
      <c r="F9" s="126">
        <f t="shared" si="0"/>
        <v>0</v>
      </c>
      <c r="G9" s="126">
        <f t="shared" si="0"/>
        <v>0</v>
      </c>
      <c r="H9" s="126">
        <f t="shared" si="0"/>
        <v>0</v>
      </c>
      <c r="I9" s="126">
        <f t="shared" si="0"/>
        <v>0</v>
      </c>
      <c r="J9" s="126">
        <f t="shared" si="0"/>
        <v>0</v>
      </c>
      <c r="K9" s="126">
        <f t="shared" si="0"/>
        <v>0</v>
      </c>
      <c r="L9" s="126">
        <f t="shared" si="0"/>
        <v>0</v>
      </c>
      <c r="M9" s="126">
        <f t="shared" si="0"/>
        <v>0</v>
      </c>
      <c r="N9" s="126">
        <f t="shared" si="1"/>
        <v>0</v>
      </c>
      <c r="O9" s="126">
        <f t="shared" si="1"/>
        <v>0</v>
      </c>
      <c r="P9" s="126">
        <f t="shared" si="1"/>
        <v>0</v>
      </c>
      <c r="Q9" s="126">
        <f t="shared" si="1"/>
        <v>0</v>
      </c>
      <c r="R9" s="126">
        <f t="shared" si="1"/>
        <v>0</v>
      </c>
      <c r="S9" s="126">
        <f t="shared" si="1"/>
        <v>0</v>
      </c>
      <c r="T9" s="126">
        <f t="shared" si="1"/>
        <v>0</v>
      </c>
      <c r="U9" s="126">
        <f t="shared" si="1"/>
        <v>0</v>
      </c>
      <c r="V9" s="126">
        <f t="shared" si="1"/>
        <v>0</v>
      </c>
      <c r="W9" s="126">
        <f t="shared" si="1"/>
        <v>0</v>
      </c>
      <c r="X9" s="126">
        <f t="shared" si="1"/>
        <v>0</v>
      </c>
      <c r="Y9" s="126">
        <f t="shared" si="1"/>
        <v>0</v>
      </c>
      <c r="Z9" s="204">
        <f t="shared" si="2"/>
        <v>0</v>
      </c>
      <c r="AA9" s="125" t="str">
        <f t="shared" si="3"/>
        <v>Van den Broeck</v>
      </c>
    </row>
    <row r="10" spans="2:27">
      <c r="B10" s="246" t="s">
        <v>151</v>
      </c>
      <c r="C10" s="240" t="s">
        <v>159</v>
      </c>
      <c r="D10" s="126">
        <f t="shared" si="0"/>
        <v>0</v>
      </c>
      <c r="E10" s="126">
        <f t="shared" si="0"/>
        <v>0</v>
      </c>
      <c r="F10" s="126">
        <f t="shared" si="0"/>
        <v>0</v>
      </c>
      <c r="G10" s="126">
        <f t="shared" si="0"/>
        <v>0</v>
      </c>
      <c r="H10" s="126">
        <f t="shared" si="0"/>
        <v>0</v>
      </c>
      <c r="I10" s="126">
        <f t="shared" si="0"/>
        <v>0</v>
      </c>
      <c r="J10" s="126">
        <f t="shared" si="0"/>
        <v>0</v>
      </c>
      <c r="K10" s="126">
        <f t="shared" si="0"/>
        <v>17</v>
      </c>
      <c r="L10" s="126">
        <f t="shared" si="0"/>
        <v>24</v>
      </c>
      <c r="M10" s="126">
        <f t="shared" si="0"/>
        <v>2</v>
      </c>
      <c r="N10" s="126">
        <f t="shared" si="1"/>
        <v>0</v>
      </c>
      <c r="O10" s="126">
        <f t="shared" si="1"/>
        <v>0</v>
      </c>
      <c r="P10" s="126">
        <f t="shared" si="1"/>
        <v>1</v>
      </c>
      <c r="Q10" s="126">
        <f t="shared" si="1"/>
        <v>1</v>
      </c>
      <c r="R10" s="126">
        <f t="shared" si="1"/>
        <v>27</v>
      </c>
      <c r="S10" s="126">
        <f t="shared" si="1"/>
        <v>4</v>
      </c>
      <c r="T10" s="126">
        <f t="shared" si="1"/>
        <v>32</v>
      </c>
      <c r="U10" s="126">
        <f t="shared" si="1"/>
        <v>28</v>
      </c>
      <c r="V10" s="126">
        <f t="shared" si="1"/>
        <v>6</v>
      </c>
      <c r="W10" s="126">
        <f t="shared" si="1"/>
        <v>40</v>
      </c>
      <c r="X10" s="126">
        <f t="shared" si="1"/>
        <v>10</v>
      </c>
      <c r="Y10" s="126">
        <f t="shared" si="1"/>
        <v>55</v>
      </c>
      <c r="Z10" s="204">
        <f t="shared" si="2"/>
        <v>247</v>
      </c>
      <c r="AA10" s="125" t="str">
        <f t="shared" si="3"/>
        <v>Rodriguez</v>
      </c>
    </row>
    <row r="11" spans="2:27">
      <c r="B11" s="246" t="s">
        <v>149</v>
      </c>
      <c r="C11" s="240" t="s">
        <v>150</v>
      </c>
      <c r="D11" s="126">
        <f t="shared" si="0"/>
        <v>0</v>
      </c>
      <c r="E11" s="126">
        <f t="shared" si="0"/>
        <v>0</v>
      </c>
      <c r="F11" s="126">
        <f t="shared" si="0"/>
        <v>0</v>
      </c>
      <c r="G11" s="126">
        <f t="shared" si="0"/>
        <v>0</v>
      </c>
      <c r="H11" s="126">
        <f t="shared" si="0"/>
        <v>3</v>
      </c>
      <c r="I11" s="126">
        <f t="shared" si="0"/>
        <v>10</v>
      </c>
      <c r="J11" s="126">
        <f t="shared" si="0"/>
        <v>3</v>
      </c>
      <c r="K11" s="126">
        <f t="shared" si="0"/>
        <v>42</v>
      </c>
      <c r="L11" s="126">
        <f t="shared" si="0"/>
        <v>3</v>
      </c>
      <c r="M11" s="126">
        <f t="shared" si="0"/>
        <v>3</v>
      </c>
      <c r="N11" s="126">
        <f t="shared" si="1"/>
        <v>27</v>
      </c>
      <c r="O11" s="126">
        <f t="shared" si="1"/>
        <v>3</v>
      </c>
      <c r="P11" s="126">
        <f t="shared" si="1"/>
        <v>3</v>
      </c>
      <c r="Q11" s="126">
        <f t="shared" si="1"/>
        <v>3</v>
      </c>
      <c r="R11" s="126">
        <f t="shared" si="1"/>
        <v>11</v>
      </c>
      <c r="S11" s="126">
        <f t="shared" si="1"/>
        <v>0</v>
      </c>
      <c r="T11" s="126">
        <f t="shared" si="1"/>
        <v>0</v>
      </c>
      <c r="U11" s="126">
        <f t="shared" si="1"/>
        <v>20</v>
      </c>
      <c r="V11" s="126">
        <f t="shared" si="1"/>
        <v>0</v>
      </c>
      <c r="W11" s="126">
        <f t="shared" si="1"/>
        <v>22</v>
      </c>
      <c r="X11" s="126">
        <f t="shared" si="1"/>
        <v>0</v>
      </c>
      <c r="Y11" s="126">
        <f t="shared" si="1"/>
        <v>14</v>
      </c>
      <c r="Z11" s="204">
        <f t="shared" si="2"/>
        <v>167</v>
      </c>
      <c r="AA11" s="125" t="str">
        <f t="shared" si="3"/>
        <v>Porte</v>
      </c>
    </row>
    <row r="12" spans="2:27">
      <c r="B12" s="246" t="s">
        <v>168</v>
      </c>
      <c r="C12" s="240" t="s">
        <v>120</v>
      </c>
      <c r="D12" s="126">
        <f t="shared" si="0"/>
        <v>0</v>
      </c>
      <c r="E12" s="126">
        <f t="shared" si="0"/>
        <v>0</v>
      </c>
      <c r="F12" s="126">
        <f t="shared" si="0"/>
        <v>0</v>
      </c>
      <c r="G12" s="126">
        <f t="shared" si="0"/>
        <v>0</v>
      </c>
      <c r="H12" s="126">
        <f t="shared" si="0"/>
        <v>0</v>
      </c>
      <c r="I12" s="126">
        <f t="shared" si="0"/>
        <v>0</v>
      </c>
      <c r="J12" s="126">
        <f t="shared" si="0"/>
        <v>0</v>
      </c>
      <c r="K12" s="126">
        <f t="shared" si="0"/>
        <v>0</v>
      </c>
      <c r="L12" s="126">
        <f t="shared" si="0"/>
        <v>14</v>
      </c>
      <c r="M12" s="126">
        <f t="shared" si="0"/>
        <v>0</v>
      </c>
      <c r="N12" s="126">
        <f t="shared" si="1"/>
        <v>0</v>
      </c>
      <c r="O12" s="126">
        <f t="shared" si="1"/>
        <v>0</v>
      </c>
      <c r="P12" s="126">
        <f t="shared" si="1"/>
        <v>0</v>
      </c>
      <c r="Q12" s="126">
        <f t="shared" si="1"/>
        <v>0</v>
      </c>
      <c r="R12" s="126">
        <f t="shared" si="1"/>
        <v>0</v>
      </c>
      <c r="S12" s="126">
        <f t="shared" si="1"/>
        <v>0</v>
      </c>
      <c r="T12" s="126">
        <f t="shared" si="1"/>
        <v>11</v>
      </c>
      <c r="U12" s="126">
        <f t="shared" si="1"/>
        <v>0</v>
      </c>
      <c r="V12" s="126">
        <f t="shared" si="1"/>
        <v>0</v>
      </c>
      <c r="W12" s="126">
        <f t="shared" si="1"/>
        <v>0</v>
      </c>
      <c r="X12" s="126">
        <f t="shared" si="1"/>
        <v>0</v>
      </c>
      <c r="Y12" s="126">
        <f t="shared" si="1"/>
        <v>12</v>
      </c>
      <c r="Z12" s="204">
        <f t="shared" si="2"/>
        <v>37</v>
      </c>
      <c r="AA12" s="125" t="str">
        <f t="shared" si="3"/>
        <v>Schleck</v>
      </c>
    </row>
    <row r="13" spans="2:27">
      <c r="B13" s="246" t="s">
        <v>104</v>
      </c>
      <c r="C13" s="240" t="s">
        <v>72</v>
      </c>
      <c r="D13" s="126">
        <f t="shared" si="0"/>
        <v>0</v>
      </c>
      <c r="E13" s="126">
        <f t="shared" si="0"/>
        <v>28</v>
      </c>
      <c r="F13" s="126">
        <f t="shared" si="0"/>
        <v>21</v>
      </c>
      <c r="G13" s="126">
        <f t="shared" si="0"/>
        <v>0</v>
      </c>
      <c r="H13" s="126">
        <f t="shared" si="0"/>
        <v>36</v>
      </c>
      <c r="I13" s="126">
        <f t="shared" si="0"/>
        <v>23</v>
      </c>
      <c r="J13" s="126">
        <f t="shared" si="0"/>
        <v>31</v>
      </c>
      <c r="K13" s="126">
        <f t="shared" si="0"/>
        <v>1</v>
      </c>
      <c r="L13" s="126">
        <f t="shared" si="0"/>
        <v>0</v>
      </c>
      <c r="M13" s="126">
        <f t="shared" si="0"/>
        <v>0</v>
      </c>
      <c r="N13" s="126">
        <f t="shared" si="1"/>
        <v>0</v>
      </c>
      <c r="O13" s="126">
        <f t="shared" si="1"/>
        <v>0</v>
      </c>
      <c r="P13" s="126">
        <f t="shared" si="1"/>
        <v>0</v>
      </c>
      <c r="Q13" s="126">
        <f t="shared" si="1"/>
        <v>0</v>
      </c>
      <c r="R13" s="126">
        <f t="shared" si="1"/>
        <v>0</v>
      </c>
      <c r="S13" s="126">
        <f t="shared" si="1"/>
        <v>0</v>
      </c>
      <c r="T13" s="126">
        <f t="shared" si="1"/>
        <v>0</v>
      </c>
      <c r="U13" s="126">
        <f t="shared" si="1"/>
        <v>0</v>
      </c>
      <c r="V13" s="126">
        <f t="shared" si="1"/>
        <v>0</v>
      </c>
      <c r="W13" s="126">
        <f t="shared" si="1"/>
        <v>0</v>
      </c>
      <c r="X13" s="126">
        <f t="shared" si="1"/>
        <v>0</v>
      </c>
      <c r="Y13" s="126">
        <f t="shared" si="1"/>
        <v>0</v>
      </c>
      <c r="Z13" s="204">
        <f t="shared" si="2"/>
        <v>140</v>
      </c>
      <c r="AA13" s="125" t="str">
        <f t="shared" si="3"/>
        <v>Boasson Hagen</v>
      </c>
    </row>
    <row r="14" spans="2:27">
      <c r="B14" s="246" t="s">
        <v>167</v>
      </c>
      <c r="C14" s="240" t="s">
        <v>169</v>
      </c>
      <c r="D14" s="126">
        <f t="shared" ref="D14:M20" si="4">INDEX(scorematrix,MATCH($C14,renners,0),MATCH(D$3,etappes,0))</f>
        <v>0</v>
      </c>
      <c r="E14" s="126">
        <f t="shared" si="4"/>
        <v>0</v>
      </c>
      <c r="F14" s="126">
        <f t="shared" si="4"/>
        <v>0</v>
      </c>
      <c r="G14" s="126">
        <f t="shared" si="4"/>
        <v>0</v>
      </c>
      <c r="H14" s="126">
        <f t="shared" si="4"/>
        <v>0</v>
      </c>
      <c r="I14" s="126">
        <f t="shared" si="4"/>
        <v>0</v>
      </c>
      <c r="J14" s="126">
        <f t="shared" si="4"/>
        <v>0</v>
      </c>
      <c r="K14" s="126">
        <f t="shared" si="4"/>
        <v>0</v>
      </c>
      <c r="L14" s="126">
        <f t="shared" si="4"/>
        <v>0</v>
      </c>
      <c r="M14" s="126">
        <f t="shared" si="4"/>
        <v>0</v>
      </c>
      <c r="N14" s="126">
        <f t="shared" ref="N14:Y20" si="5">INDEX(scorematrix,MATCH($C14,renners,0),MATCH(N$3,etappes,0))</f>
        <v>0</v>
      </c>
      <c r="O14" s="126">
        <f t="shared" si="5"/>
        <v>0</v>
      </c>
      <c r="P14" s="126">
        <f t="shared" si="5"/>
        <v>0</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204">
        <f t="shared" si="2"/>
        <v>0</v>
      </c>
      <c r="AA14" s="125" t="str">
        <f t="shared" si="3"/>
        <v>Bouhanni</v>
      </c>
    </row>
    <row r="15" spans="2:27">
      <c r="B15" s="246" t="s">
        <v>105</v>
      </c>
      <c r="C15" s="240" t="s">
        <v>106</v>
      </c>
      <c r="D15" s="126">
        <f t="shared" si="4"/>
        <v>0</v>
      </c>
      <c r="E15" s="126">
        <f t="shared" si="4"/>
        <v>34</v>
      </c>
      <c r="F15" s="126">
        <f t="shared" si="4"/>
        <v>35</v>
      </c>
      <c r="G15" s="126">
        <f t="shared" si="4"/>
        <v>0</v>
      </c>
      <c r="H15" s="126">
        <f t="shared" si="4"/>
        <v>31</v>
      </c>
      <c r="I15" s="126">
        <f t="shared" si="4"/>
        <v>35</v>
      </c>
      <c r="J15" s="126">
        <f t="shared" si="4"/>
        <v>40</v>
      </c>
      <c r="K15" s="126">
        <f t="shared" si="4"/>
        <v>5</v>
      </c>
      <c r="L15" s="126">
        <f t="shared" si="4"/>
        <v>5</v>
      </c>
      <c r="M15" s="126">
        <f t="shared" si="4"/>
        <v>29</v>
      </c>
      <c r="N15" s="126">
        <f t="shared" si="5"/>
        <v>14</v>
      </c>
      <c r="O15" s="126">
        <f t="shared" si="5"/>
        <v>31</v>
      </c>
      <c r="P15" s="126">
        <f t="shared" si="5"/>
        <v>35</v>
      </c>
      <c r="Q15" s="126">
        <f t="shared" si="5"/>
        <v>5</v>
      </c>
      <c r="R15" s="126">
        <f t="shared" si="5"/>
        <v>5</v>
      </c>
      <c r="S15" s="126">
        <f t="shared" si="5"/>
        <v>5</v>
      </c>
      <c r="T15" s="126">
        <f t="shared" si="5"/>
        <v>5</v>
      </c>
      <c r="U15" s="126">
        <f t="shared" si="5"/>
        <v>5</v>
      </c>
      <c r="V15" s="126">
        <f t="shared" si="5"/>
        <v>5</v>
      </c>
      <c r="W15" s="126">
        <f t="shared" si="5"/>
        <v>5</v>
      </c>
      <c r="X15" s="126">
        <f t="shared" si="5"/>
        <v>29</v>
      </c>
      <c r="Y15" s="126">
        <f t="shared" si="5"/>
        <v>10</v>
      </c>
      <c r="Z15" s="204">
        <f t="shared" si="2"/>
        <v>368</v>
      </c>
      <c r="AA15" s="125" t="str">
        <f t="shared" si="3"/>
        <v>Sagan</v>
      </c>
    </row>
    <row r="16" spans="2:27">
      <c r="B16" s="246" t="s">
        <v>109</v>
      </c>
      <c r="C16" s="240" t="s">
        <v>74</v>
      </c>
      <c r="D16" s="126">
        <f t="shared" si="4"/>
        <v>19</v>
      </c>
      <c r="E16" s="126">
        <f t="shared" si="4"/>
        <v>0</v>
      </c>
      <c r="F16" s="126">
        <f t="shared" si="4"/>
        <v>26</v>
      </c>
      <c r="G16" s="126">
        <f t="shared" si="4"/>
        <v>0</v>
      </c>
      <c r="H16" s="126">
        <f t="shared" si="4"/>
        <v>16</v>
      </c>
      <c r="I16" s="126">
        <f t="shared" si="4"/>
        <v>19</v>
      </c>
      <c r="J16" s="126">
        <f t="shared" si="4"/>
        <v>0</v>
      </c>
      <c r="K16" s="126">
        <f t="shared" si="4"/>
        <v>0</v>
      </c>
      <c r="L16" s="126">
        <f t="shared" si="4"/>
        <v>0</v>
      </c>
      <c r="M16" s="126">
        <f t="shared" si="4"/>
        <v>16</v>
      </c>
      <c r="N16" s="126">
        <f t="shared" si="5"/>
        <v>0</v>
      </c>
      <c r="O16" s="126">
        <f t="shared" si="5"/>
        <v>19</v>
      </c>
      <c r="P16" s="126">
        <f t="shared" si="5"/>
        <v>0</v>
      </c>
      <c r="Q16" s="126">
        <f t="shared" si="5"/>
        <v>24</v>
      </c>
      <c r="R16" s="126">
        <f t="shared" si="5"/>
        <v>0</v>
      </c>
      <c r="S16" s="126">
        <f t="shared" si="5"/>
        <v>0</v>
      </c>
      <c r="T16" s="126">
        <f t="shared" si="5"/>
        <v>0</v>
      </c>
      <c r="U16" s="126">
        <f t="shared" si="5"/>
        <v>0</v>
      </c>
      <c r="V16" s="126">
        <f t="shared" si="5"/>
        <v>0</v>
      </c>
      <c r="W16" s="126">
        <f t="shared" si="5"/>
        <v>0</v>
      </c>
      <c r="X16" s="126">
        <f t="shared" si="5"/>
        <v>7</v>
      </c>
      <c r="Y16" s="126">
        <f t="shared" si="5"/>
        <v>0</v>
      </c>
      <c r="Z16" s="204">
        <f t="shared" si="2"/>
        <v>146</v>
      </c>
      <c r="AA16" s="125" t="str">
        <f t="shared" si="3"/>
        <v>Rojas</v>
      </c>
    </row>
    <row r="17" spans="2:27">
      <c r="B17" s="246" t="s">
        <v>118</v>
      </c>
      <c r="C17" s="240" t="s">
        <v>85</v>
      </c>
      <c r="D17" s="126">
        <f t="shared" si="4"/>
        <v>0</v>
      </c>
      <c r="E17" s="126">
        <f t="shared" si="4"/>
        <v>0</v>
      </c>
      <c r="F17" s="126">
        <f t="shared" si="4"/>
        <v>0</v>
      </c>
      <c r="G17" s="126">
        <f t="shared" si="4"/>
        <v>0</v>
      </c>
      <c r="H17" s="126">
        <f t="shared" si="4"/>
        <v>26</v>
      </c>
      <c r="I17" s="126">
        <f t="shared" si="4"/>
        <v>39</v>
      </c>
      <c r="J17" s="126">
        <f t="shared" si="4"/>
        <v>0</v>
      </c>
      <c r="K17" s="126">
        <f t="shared" si="4"/>
        <v>4</v>
      </c>
      <c r="L17" s="126">
        <f t="shared" si="4"/>
        <v>4</v>
      </c>
      <c r="M17" s="126">
        <f t="shared" si="4"/>
        <v>34</v>
      </c>
      <c r="N17" s="126">
        <f t="shared" si="5"/>
        <v>4</v>
      </c>
      <c r="O17" s="126">
        <f t="shared" si="5"/>
        <v>3</v>
      </c>
      <c r="P17" s="126">
        <f t="shared" si="5"/>
        <v>14</v>
      </c>
      <c r="Q17" s="126">
        <f t="shared" si="5"/>
        <v>3</v>
      </c>
      <c r="R17" s="126">
        <f t="shared" si="5"/>
        <v>3</v>
      </c>
      <c r="S17" s="126">
        <f t="shared" si="5"/>
        <v>3</v>
      </c>
      <c r="T17" s="126">
        <f t="shared" si="5"/>
        <v>3</v>
      </c>
      <c r="U17" s="126">
        <f t="shared" si="5"/>
        <v>3</v>
      </c>
      <c r="V17" s="126">
        <f t="shared" si="5"/>
        <v>3</v>
      </c>
      <c r="W17" s="126">
        <f t="shared" si="5"/>
        <v>3</v>
      </c>
      <c r="X17" s="126">
        <f t="shared" si="5"/>
        <v>33</v>
      </c>
      <c r="Y17" s="126">
        <f t="shared" si="5"/>
        <v>5</v>
      </c>
      <c r="Z17" s="204">
        <f t="shared" si="2"/>
        <v>187</v>
      </c>
      <c r="AA17" s="125" t="str">
        <f t="shared" si="3"/>
        <v>Greipel</v>
      </c>
    </row>
    <row r="18" spans="2:27">
      <c r="B18" s="246" t="s">
        <v>110</v>
      </c>
      <c r="C18" s="240" t="s">
        <v>86</v>
      </c>
      <c r="D18" s="126">
        <f t="shared" si="4"/>
        <v>0</v>
      </c>
      <c r="E18" s="126">
        <f t="shared" si="4"/>
        <v>0</v>
      </c>
      <c r="F18" s="126">
        <f t="shared" si="4"/>
        <v>0</v>
      </c>
      <c r="G18" s="126">
        <f t="shared" si="4"/>
        <v>0</v>
      </c>
      <c r="H18" s="126">
        <f t="shared" si="4"/>
        <v>0</v>
      </c>
      <c r="I18" s="126">
        <f t="shared" si="4"/>
        <v>11</v>
      </c>
      <c r="J18" s="126">
        <f t="shared" si="4"/>
        <v>0</v>
      </c>
      <c r="K18" s="126">
        <f t="shared" si="4"/>
        <v>0</v>
      </c>
      <c r="L18" s="126">
        <f t="shared" si="4"/>
        <v>0</v>
      </c>
      <c r="M18" s="126">
        <f t="shared" si="4"/>
        <v>15</v>
      </c>
      <c r="N18" s="126">
        <f t="shared" si="5"/>
        <v>0</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14</v>
      </c>
      <c r="Y18" s="126">
        <f t="shared" si="5"/>
        <v>0</v>
      </c>
      <c r="Z18" s="204">
        <f t="shared" si="2"/>
        <v>40</v>
      </c>
      <c r="AA18" s="125" t="str">
        <f t="shared" si="3"/>
        <v>Goss</v>
      </c>
    </row>
    <row r="19" spans="2:27" s="182" customFormat="1">
      <c r="B19" s="246" t="s">
        <v>107</v>
      </c>
      <c r="C19" s="240" t="s">
        <v>108</v>
      </c>
      <c r="D19" s="126">
        <f t="shared" si="4"/>
        <v>50</v>
      </c>
      <c r="E19" s="126">
        <f t="shared" si="4"/>
        <v>5</v>
      </c>
      <c r="F19" s="126">
        <f t="shared" si="4"/>
        <v>4</v>
      </c>
      <c r="G19" s="126">
        <f t="shared" si="4"/>
        <v>0</v>
      </c>
      <c r="H19" s="126">
        <f t="shared" si="4"/>
        <v>0</v>
      </c>
      <c r="I19" s="126">
        <f t="shared" si="4"/>
        <v>27</v>
      </c>
      <c r="J19" s="126">
        <f t="shared" si="4"/>
        <v>0</v>
      </c>
      <c r="K19" s="126">
        <f t="shared" si="4"/>
        <v>0</v>
      </c>
      <c r="L19" s="126">
        <f t="shared" si="4"/>
        <v>0</v>
      </c>
      <c r="M19" s="126">
        <f t="shared" si="4"/>
        <v>37</v>
      </c>
      <c r="N19" s="126">
        <f t="shared" si="5"/>
        <v>2</v>
      </c>
      <c r="O19" s="126">
        <f t="shared" si="5"/>
        <v>37</v>
      </c>
      <c r="P19" s="126">
        <f t="shared" si="5"/>
        <v>2</v>
      </c>
      <c r="Q19" s="126">
        <f t="shared" si="5"/>
        <v>2</v>
      </c>
      <c r="R19" s="126">
        <f t="shared" si="5"/>
        <v>2</v>
      </c>
      <c r="S19" s="126">
        <f t="shared" si="5"/>
        <v>2</v>
      </c>
      <c r="T19" s="126">
        <f t="shared" si="5"/>
        <v>2</v>
      </c>
      <c r="U19" s="126">
        <f t="shared" si="5"/>
        <v>2</v>
      </c>
      <c r="V19" s="126">
        <f t="shared" si="5"/>
        <v>2</v>
      </c>
      <c r="W19" s="126">
        <f t="shared" si="5"/>
        <v>2</v>
      </c>
      <c r="X19" s="126">
        <f t="shared" si="5"/>
        <v>37</v>
      </c>
      <c r="Y19" s="126">
        <f t="shared" si="5"/>
        <v>3</v>
      </c>
      <c r="Z19" s="204">
        <f t="shared" si="2"/>
        <v>218</v>
      </c>
      <c r="AA19" s="125" t="str">
        <f t="shared" si="3"/>
        <v>Kittel</v>
      </c>
    </row>
    <row r="20" spans="2:27" ht="13.5" thickBot="1">
      <c r="B20" s="246" t="s">
        <v>116</v>
      </c>
      <c r="C20" s="240" t="s">
        <v>67</v>
      </c>
      <c r="D20" s="126">
        <f t="shared" si="4"/>
        <v>0</v>
      </c>
      <c r="E20" s="126">
        <f t="shared" si="4"/>
        <v>0</v>
      </c>
      <c r="F20" s="126">
        <f t="shared" si="4"/>
        <v>0</v>
      </c>
      <c r="G20" s="126">
        <f t="shared" si="4"/>
        <v>0</v>
      </c>
      <c r="H20" s="126">
        <f t="shared" si="4"/>
        <v>39</v>
      </c>
      <c r="I20" s="126">
        <f t="shared" si="4"/>
        <v>27</v>
      </c>
      <c r="J20" s="126">
        <f t="shared" si="4"/>
        <v>0</v>
      </c>
      <c r="K20" s="126">
        <f t="shared" si="4"/>
        <v>3</v>
      </c>
      <c r="L20" s="126">
        <f t="shared" si="4"/>
        <v>3</v>
      </c>
      <c r="M20" s="126">
        <f t="shared" si="4"/>
        <v>29</v>
      </c>
      <c r="N20" s="126">
        <f t="shared" si="5"/>
        <v>3</v>
      </c>
      <c r="O20" s="126">
        <f t="shared" si="5"/>
        <v>34</v>
      </c>
      <c r="P20" s="126">
        <f t="shared" si="5"/>
        <v>39</v>
      </c>
      <c r="Q20" s="126">
        <f t="shared" si="5"/>
        <v>4</v>
      </c>
      <c r="R20" s="126">
        <f t="shared" si="5"/>
        <v>4</v>
      </c>
      <c r="S20" s="126">
        <f t="shared" si="5"/>
        <v>4</v>
      </c>
      <c r="T20" s="126">
        <f t="shared" si="5"/>
        <v>4</v>
      </c>
      <c r="U20" s="126">
        <f t="shared" si="5"/>
        <v>4</v>
      </c>
      <c r="V20" s="126">
        <f t="shared" si="5"/>
        <v>4</v>
      </c>
      <c r="W20" s="126">
        <f t="shared" si="5"/>
        <v>4</v>
      </c>
      <c r="X20" s="126">
        <f t="shared" si="5"/>
        <v>30</v>
      </c>
      <c r="Y20" s="126">
        <f t="shared" si="5"/>
        <v>7</v>
      </c>
      <c r="Z20" s="204">
        <f t="shared" si="2"/>
        <v>242</v>
      </c>
      <c r="AA20" s="125" t="str">
        <f>C20</f>
        <v>Cavendish</v>
      </c>
    </row>
    <row r="21" spans="2:27" s="183" customFormat="1">
      <c r="B21" s="247"/>
      <c r="C21" s="241"/>
      <c r="D21" s="196"/>
      <c r="E21" s="196"/>
      <c r="F21" s="196"/>
      <c r="G21" s="196"/>
      <c r="H21" s="196"/>
      <c r="I21" s="196"/>
      <c r="J21" s="196">
        <f>J25</f>
        <v>30</v>
      </c>
      <c r="K21" s="196"/>
      <c r="L21" s="196"/>
      <c r="M21" s="196"/>
      <c r="N21" s="196">
        <f>N24</f>
        <v>35</v>
      </c>
      <c r="O21" s="196"/>
      <c r="P21" s="196"/>
      <c r="Q21" s="196"/>
      <c r="R21" s="196"/>
      <c r="S21" s="196"/>
      <c r="T21" s="196"/>
      <c r="U21" s="196"/>
      <c r="V21" s="196">
        <f>V26</f>
        <v>10</v>
      </c>
      <c r="W21" s="196"/>
      <c r="X21" s="196"/>
      <c r="Y21" s="196"/>
      <c r="Z21" s="281">
        <f t="shared" si="2"/>
        <v>75</v>
      </c>
    </row>
    <row r="22" spans="2:27" s="129" customFormat="1">
      <c r="B22" s="248"/>
      <c r="C22" s="242"/>
      <c r="D22" s="184">
        <f t="shared" ref="D22:Z22" si="6">SUM(D4:D21)</f>
        <v>69</v>
      </c>
      <c r="E22" s="184">
        <f t="shared" ref="E22" si="7">SUM(E4:E21)</f>
        <v>72</v>
      </c>
      <c r="F22" s="184">
        <f>SUM(F4:F21)</f>
        <v>91</v>
      </c>
      <c r="G22" s="184">
        <f t="shared" si="6"/>
        <v>0.1</v>
      </c>
      <c r="H22" s="184">
        <f t="shared" si="6"/>
        <v>160</v>
      </c>
      <c r="I22" s="184">
        <f t="shared" si="6"/>
        <v>208</v>
      </c>
      <c r="J22" s="184">
        <f t="shared" si="6"/>
        <v>112</v>
      </c>
      <c r="K22" s="184">
        <f t="shared" si="6"/>
        <v>162</v>
      </c>
      <c r="L22" s="184">
        <f t="shared" si="6"/>
        <v>109</v>
      </c>
      <c r="M22" s="184">
        <f t="shared" si="6"/>
        <v>190</v>
      </c>
      <c r="N22" s="184">
        <f t="shared" si="6"/>
        <v>154</v>
      </c>
      <c r="O22" s="184">
        <f t="shared" si="6"/>
        <v>167</v>
      </c>
      <c r="P22" s="184">
        <f t="shared" si="6"/>
        <v>140</v>
      </c>
      <c r="Q22" s="184">
        <f t="shared" si="6"/>
        <v>69</v>
      </c>
      <c r="R22" s="184">
        <f t="shared" si="6"/>
        <v>132</v>
      </c>
      <c r="S22" s="184">
        <f t="shared" si="6"/>
        <v>78</v>
      </c>
      <c r="T22" s="184">
        <f t="shared" si="6"/>
        <v>148</v>
      </c>
      <c r="U22" s="184">
        <f t="shared" si="6"/>
        <v>122</v>
      </c>
      <c r="V22" s="184">
        <f t="shared" si="6"/>
        <v>103</v>
      </c>
      <c r="W22" s="184">
        <f t="shared" si="6"/>
        <v>145</v>
      </c>
      <c r="X22" s="184">
        <f t="shared" si="6"/>
        <v>184</v>
      </c>
      <c r="Y22" s="184">
        <f t="shared" si="6"/>
        <v>236</v>
      </c>
      <c r="Z22" s="282">
        <f t="shared" si="6"/>
        <v>2851.1</v>
      </c>
    </row>
    <row r="23" spans="2:27" s="185" customFormat="1">
      <c r="B23" s="249"/>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246" t="s">
        <v>113</v>
      </c>
      <c r="C24" s="244" t="s">
        <v>70</v>
      </c>
      <c r="D24" s="211">
        <f t="shared" ref="D24:Y26" si="8">INDEX(scorematrix,MATCH($C24,renners,0),MATCH(D$3,etappes,0))</f>
        <v>0</v>
      </c>
      <c r="E24" s="211">
        <f t="shared" si="8"/>
        <v>0</v>
      </c>
      <c r="F24" s="211">
        <f t="shared" si="8"/>
        <v>0</v>
      </c>
      <c r="G24" s="211">
        <f t="shared" si="8"/>
        <v>0</v>
      </c>
      <c r="H24" s="211">
        <f t="shared" si="8"/>
        <v>0</v>
      </c>
      <c r="I24" s="211">
        <f t="shared" si="8"/>
        <v>0</v>
      </c>
      <c r="J24" s="211">
        <f t="shared" si="8"/>
        <v>0</v>
      </c>
      <c r="K24" s="211">
        <f t="shared" si="8"/>
        <v>0</v>
      </c>
      <c r="L24" s="211">
        <f t="shared" si="8"/>
        <v>0</v>
      </c>
      <c r="M24" s="211">
        <f t="shared" si="8"/>
        <v>0</v>
      </c>
      <c r="N24" s="280">
        <f t="shared" si="8"/>
        <v>35</v>
      </c>
      <c r="O24" s="211">
        <f t="shared" si="8"/>
        <v>0</v>
      </c>
      <c r="P24" s="211">
        <f t="shared" si="8"/>
        <v>0</v>
      </c>
      <c r="Q24" s="211">
        <f t="shared" si="8"/>
        <v>0</v>
      </c>
      <c r="R24" s="211">
        <f t="shared" si="8"/>
        <v>0</v>
      </c>
      <c r="S24" s="211">
        <f t="shared" si="8"/>
        <v>0</v>
      </c>
      <c r="T24" s="211">
        <f t="shared" si="8"/>
        <v>0</v>
      </c>
      <c r="U24" s="211">
        <f t="shared" si="8"/>
        <v>0</v>
      </c>
      <c r="V24" s="211">
        <f t="shared" si="8"/>
        <v>0</v>
      </c>
      <c r="W24" s="211">
        <f t="shared" si="8"/>
        <v>0</v>
      </c>
      <c r="X24" s="211">
        <f t="shared" si="8"/>
        <v>0</v>
      </c>
      <c r="Y24" s="211">
        <f t="shared" si="8"/>
        <v>0</v>
      </c>
      <c r="Z24" s="284">
        <f>SUM(D24:Y24)</f>
        <v>35</v>
      </c>
    </row>
    <row r="25" spans="2:27" s="188" customFormat="1">
      <c r="B25" s="246" t="s">
        <v>170</v>
      </c>
      <c r="C25" s="244" t="s">
        <v>166</v>
      </c>
      <c r="D25" s="211">
        <f t="shared" si="8"/>
        <v>0</v>
      </c>
      <c r="E25" s="211">
        <f t="shared" si="8"/>
        <v>0</v>
      </c>
      <c r="F25" s="211">
        <f t="shared" si="8"/>
        <v>0</v>
      </c>
      <c r="G25" s="211">
        <f t="shared" si="8"/>
        <v>0</v>
      </c>
      <c r="H25" s="211">
        <f t="shared" si="8"/>
        <v>14</v>
      </c>
      <c r="I25" s="211">
        <f t="shared" si="8"/>
        <v>0</v>
      </c>
      <c r="J25" s="280">
        <f t="shared" si="8"/>
        <v>30</v>
      </c>
      <c r="K25" s="211">
        <f t="shared" si="8"/>
        <v>0</v>
      </c>
      <c r="L25" s="211">
        <f t="shared" si="8"/>
        <v>0</v>
      </c>
      <c r="M25" s="211">
        <f t="shared" si="8"/>
        <v>0</v>
      </c>
      <c r="N25" s="211">
        <f t="shared" si="8"/>
        <v>0</v>
      </c>
      <c r="O25" s="211">
        <f t="shared" si="8"/>
        <v>0</v>
      </c>
      <c r="P25" s="211">
        <f t="shared" si="8"/>
        <v>6</v>
      </c>
      <c r="Q25" s="211">
        <f t="shared" si="8"/>
        <v>0</v>
      </c>
      <c r="R25" s="211">
        <f t="shared" si="8"/>
        <v>0</v>
      </c>
      <c r="S25" s="211">
        <f t="shared" si="8"/>
        <v>0</v>
      </c>
      <c r="T25" s="211">
        <f t="shared" si="8"/>
        <v>0</v>
      </c>
      <c r="U25" s="211">
        <f t="shared" si="8"/>
        <v>0</v>
      </c>
      <c r="V25" s="211">
        <f t="shared" si="8"/>
        <v>0</v>
      </c>
      <c r="W25" s="211">
        <f t="shared" si="8"/>
        <v>0</v>
      </c>
      <c r="X25" s="211">
        <f t="shared" si="8"/>
        <v>0</v>
      </c>
      <c r="Y25" s="211">
        <f t="shared" si="8"/>
        <v>0</v>
      </c>
      <c r="Z25" s="284">
        <f>SUM(D25:Y25)</f>
        <v>50</v>
      </c>
    </row>
    <row r="26" spans="2:27" s="188" customFormat="1">
      <c r="B26" s="246" t="s">
        <v>126</v>
      </c>
      <c r="C26" s="244" t="s">
        <v>112</v>
      </c>
      <c r="D26" s="211">
        <f t="shared" si="8"/>
        <v>0</v>
      </c>
      <c r="E26" s="211">
        <f t="shared" si="8"/>
        <v>0</v>
      </c>
      <c r="F26" s="211">
        <f t="shared" si="8"/>
        <v>0</v>
      </c>
      <c r="G26" s="211">
        <f t="shared" si="8"/>
        <v>0</v>
      </c>
      <c r="H26" s="211">
        <f t="shared" si="8"/>
        <v>0</v>
      </c>
      <c r="I26" s="211">
        <f t="shared" si="8"/>
        <v>0</v>
      </c>
      <c r="J26" s="211">
        <f t="shared" si="8"/>
        <v>0</v>
      </c>
      <c r="K26" s="211">
        <f t="shared" si="8"/>
        <v>34</v>
      </c>
      <c r="L26" s="211">
        <f t="shared" si="8"/>
        <v>24</v>
      </c>
      <c r="M26" s="211">
        <f t="shared" si="8"/>
        <v>9</v>
      </c>
      <c r="N26" s="211">
        <f t="shared" si="8"/>
        <v>22</v>
      </c>
      <c r="O26" s="211">
        <f t="shared" si="8"/>
        <v>17</v>
      </c>
      <c r="P26" s="211">
        <f t="shared" si="8"/>
        <v>0</v>
      </c>
      <c r="Q26" s="211">
        <f t="shared" si="8"/>
        <v>0</v>
      </c>
      <c r="R26" s="211">
        <f t="shared" si="8"/>
        <v>13</v>
      </c>
      <c r="S26" s="211">
        <f t="shared" si="8"/>
        <v>0</v>
      </c>
      <c r="T26" s="211">
        <f t="shared" si="8"/>
        <v>22</v>
      </c>
      <c r="U26" s="211">
        <f t="shared" si="8"/>
        <v>18</v>
      </c>
      <c r="V26" s="280">
        <f t="shared" si="8"/>
        <v>10</v>
      </c>
      <c r="W26" s="211">
        <f t="shared" si="8"/>
        <v>27</v>
      </c>
      <c r="X26" s="211">
        <f t="shared" si="8"/>
        <v>3</v>
      </c>
      <c r="Y26" s="211">
        <f t="shared" si="8"/>
        <v>36</v>
      </c>
      <c r="Z26" s="284">
        <f>SUM(D26:Y26)</f>
        <v>235</v>
      </c>
    </row>
  </sheetData>
  <sheetProtection selectLockedCells="1"/>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rgb="FFFFC000"/>
  </sheetPr>
  <dimension ref="A1:N532"/>
  <sheetViews>
    <sheetView showGridLines="0" zoomScaleNormal="100" workbookViewId="0">
      <pane ySplit="1" topLeftCell="A7" activePane="bottomLeft" state="frozen"/>
      <selection activeCell="H34" sqref="H34"/>
      <selection pane="bottomLeft" activeCell="D37" sqref="D37"/>
    </sheetView>
  </sheetViews>
  <sheetFormatPr defaultColWidth="8" defaultRowHeight="12.75"/>
  <cols>
    <col min="1" max="1" width="13" style="289" customWidth="1"/>
    <col min="2" max="12" width="10" style="332" customWidth="1"/>
    <col min="13" max="13" width="4.42578125" style="288" customWidth="1"/>
    <col min="14" max="14" width="9.7109375" style="289" bestFit="1" customWidth="1"/>
    <col min="15" max="16384" width="8" style="289"/>
  </cols>
  <sheetData>
    <row r="1" spans="1:14" ht="13.5" thickBot="1">
      <c r="A1" s="286"/>
      <c r="B1" s="287" t="s">
        <v>224</v>
      </c>
      <c r="C1" s="287" t="s">
        <v>139</v>
      </c>
      <c r="D1" s="287" t="s">
        <v>225</v>
      </c>
      <c r="E1" s="287" t="s">
        <v>140</v>
      </c>
      <c r="F1" s="287" t="s">
        <v>141</v>
      </c>
      <c r="G1" s="287" t="s">
        <v>138</v>
      </c>
      <c r="H1" s="287" t="s">
        <v>142</v>
      </c>
      <c r="I1" s="287" t="s">
        <v>143</v>
      </c>
      <c r="J1" s="287" t="s">
        <v>223</v>
      </c>
      <c r="K1" s="287" t="s">
        <v>144</v>
      </c>
      <c r="L1" s="287" t="s">
        <v>222</v>
      </c>
    </row>
    <row r="2" spans="1:14" s="294" customFormat="1" ht="13.5" hidden="1" thickTop="1">
      <c r="A2" s="290"/>
      <c r="B2" s="291" t="str">
        <f t="shared" ref="B2:L12" ca="1" si="0">IF(ISERROR(VLOOKUP($A2,INDIRECT(B$1&amp;"!"&amp;"c4:c20"),1,0)),"",$M2)</f>
        <v/>
      </c>
      <c r="C2" s="291" t="str">
        <f t="shared" ca="1" si="0"/>
        <v/>
      </c>
      <c r="D2" s="291" t="str">
        <f t="shared" ca="1" si="0"/>
        <v/>
      </c>
      <c r="E2" s="291" t="str">
        <f t="shared" ca="1" si="0"/>
        <v/>
      </c>
      <c r="F2" s="291" t="str">
        <f t="shared" ca="1" si="0"/>
        <v/>
      </c>
      <c r="G2" s="291" t="str">
        <f t="shared" ca="1" si="0"/>
        <v/>
      </c>
      <c r="H2" s="291" t="str">
        <f t="shared" ca="1" si="0"/>
        <v/>
      </c>
      <c r="I2" s="291" t="str">
        <f t="shared" ca="1" si="0"/>
        <v/>
      </c>
      <c r="J2" s="291" t="str">
        <f t="shared" ca="1" si="0"/>
        <v/>
      </c>
      <c r="K2" s="291" t="str">
        <f t="shared" ca="1" si="0"/>
        <v/>
      </c>
      <c r="L2" s="291" t="str">
        <f t="shared" ca="1" si="0"/>
        <v/>
      </c>
      <c r="M2" s="292">
        <f ca="1">COUNTIF(Teams!$4:$20,A2)</f>
        <v>0</v>
      </c>
      <c r="N2" s="293" t="e">
        <f>VLOOKUP(A2,Score!B:Z,25,0)</f>
        <v>#N/A</v>
      </c>
    </row>
    <row r="3" spans="1:14" s="294" customFormat="1" ht="13.5" thickTop="1">
      <c r="A3" s="290" t="s">
        <v>204</v>
      </c>
      <c r="B3" s="291" t="str">
        <f t="shared" ca="1" si="0"/>
        <v/>
      </c>
      <c r="C3" s="291" t="str">
        <f t="shared" ca="1" si="0"/>
        <v/>
      </c>
      <c r="D3" s="291" t="str">
        <f t="shared" ca="1" si="0"/>
        <v/>
      </c>
      <c r="E3" s="291" t="str">
        <f t="shared" ca="1" si="0"/>
        <v/>
      </c>
      <c r="F3" s="291" t="str">
        <f t="shared" ca="1" si="0"/>
        <v/>
      </c>
      <c r="G3" s="291" t="str">
        <f t="shared" ca="1" si="0"/>
        <v/>
      </c>
      <c r="H3" s="291" t="str">
        <f t="shared" ca="1" si="0"/>
        <v/>
      </c>
      <c r="I3" s="291" t="str">
        <f t="shared" ca="1" si="0"/>
        <v/>
      </c>
      <c r="J3" s="291" t="str">
        <f t="shared" ca="1" si="0"/>
        <v/>
      </c>
      <c r="K3" s="291" t="str">
        <f t="shared" ca="1" si="0"/>
        <v/>
      </c>
      <c r="L3" s="291">
        <f t="shared" ca="1" si="0"/>
        <v>1</v>
      </c>
      <c r="M3" s="292">
        <f ca="1">COUNTIF(Teams!$4:$20,A3)</f>
        <v>1</v>
      </c>
      <c r="N3" s="293">
        <f ca="1">VLOOKUP(A3,Score!B:Z,25,0)</f>
        <v>25.096160674108475</v>
      </c>
    </row>
    <row r="4" spans="1:14" s="334" customFormat="1">
      <c r="A4" s="333" t="s">
        <v>66</v>
      </c>
      <c r="B4" s="309" t="str">
        <f t="shared" ca="1" si="0"/>
        <v/>
      </c>
      <c r="C4" s="309" t="str">
        <f t="shared" ca="1" si="0"/>
        <v/>
      </c>
      <c r="D4" s="309" t="str">
        <f t="shared" ca="1" si="0"/>
        <v/>
      </c>
      <c r="E4" s="309" t="str">
        <f t="shared" ca="1" si="0"/>
        <v/>
      </c>
      <c r="F4" s="309" t="str">
        <f t="shared" ca="1" si="0"/>
        <v/>
      </c>
      <c r="G4" s="309" t="str">
        <f t="shared" ca="1" si="0"/>
        <v/>
      </c>
      <c r="H4" s="309" t="str">
        <f t="shared" ca="1" si="0"/>
        <v/>
      </c>
      <c r="I4" s="309" t="str">
        <f t="shared" ca="1" si="0"/>
        <v/>
      </c>
      <c r="J4" s="309" t="str">
        <f t="shared" ca="1" si="0"/>
        <v/>
      </c>
      <c r="K4" s="309">
        <f t="shared" ca="1" si="0"/>
        <v>1</v>
      </c>
      <c r="L4" s="309" t="str">
        <f t="shared" ca="1" si="0"/>
        <v/>
      </c>
      <c r="M4" s="310">
        <f ca="1">COUNTIF(Teams!$4:$20,A4)</f>
        <v>1</v>
      </c>
      <c r="N4" s="311">
        <f ca="1">VLOOKUP(A4,Score!B:Z,25,0)</f>
        <v>5.7564153415816575E-2</v>
      </c>
    </row>
    <row r="5" spans="1:14">
      <c r="A5" s="290" t="s">
        <v>211</v>
      </c>
      <c r="B5" s="291" t="str">
        <f t="shared" ca="1" si="0"/>
        <v/>
      </c>
      <c r="C5" s="291" t="str">
        <f t="shared" ca="1" si="0"/>
        <v/>
      </c>
      <c r="D5" s="291" t="str">
        <f t="shared" ca="1" si="0"/>
        <v/>
      </c>
      <c r="E5" s="291" t="str">
        <f t="shared" ca="1" si="0"/>
        <v/>
      </c>
      <c r="F5" s="291" t="str">
        <f t="shared" ca="1" si="0"/>
        <v/>
      </c>
      <c r="G5" s="291" t="str">
        <f t="shared" ca="1" si="0"/>
        <v/>
      </c>
      <c r="H5" s="291" t="str">
        <f t="shared" ca="1" si="0"/>
        <v/>
      </c>
      <c r="I5" s="291" t="str">
        <f t="shared" ca="1" si="0"/>
        <v/>
      </c>
      <c r="J5" s="291" t="str">
        <f t="shared" ca="1" si="0"/>
        <v/>
      </c>
      <c r="K5" s="291">
        <f t="shared" ca="1" si="0"/>
        <v>1</v>
      </c>
      <c r="L5" s="291" t="str">
        <f t="shared" ca="1" si="0"/>
        <v/>
      </c>
      <c r="M5" s="292">
        <f ca="1">COUNTIF(Teams!$4:$20,A5)</f>
        <v>1</v>
      </c>
      <c r="N5" s="293">
        <f ca="1">VLOOKUP(A5,Score!B:Z,25,0)</f>
        <v>68.003529941298964</v>
      </c>
    </row>
    <row r="6" spans="1:14">
      <c r="A6" s="295" t="s">
        <v>197</v>
      </c>
      <c r="B6" s="291" t="str">
        <f t="shared" ca="1" si="0"/>
        <v/>
      </c>
      <c r="C6" s="291" t="str">
        <f t="shared" ca="1" si="0"/>
        <v/>
      </c>
      <c r="D6" s="291" t="str">
        <f t="shared" ca="1" si="0"/>
        <v/>
      </c>
      <c r="E6" s="291" t="str">
        <f t="shared" ca="1" si="0"/>
        <v/>
      </c>
      <c r="F6" s="291" t="str">
        <f t="shared" ca="1" si="0"/>
        <v/>
      </c>
      <c r="G6" s="291" t="str">
        <f t="shared" ca="1" si="0"/>
        <v/>
      </c>
      <c r="H6" s="291" t="str">
        <f t="shared" ca="1" si="0"/>
        <v/>
      </c>
      <c r="I6" s="291" t="str">
        <f t="shared" ca="1" si="0"/>
        <v/>
      </c>
      <c r="J6" s="291">
        <f t="shared" ca="1" si="0"/>
        <v>1</v>
      </c>
      <c r="K6" s="291" t="str">
        <f t="shared" ca="1" si="0"/>
        <v/>
      </c>
      <c r="L6" s="291" t="str">
        <f t="shared" ca="1" si="0"/>
        <v/>
      </c>
      <c r="M6" s="292">
        <f ca="1">COUNTIF(Teams!$4:$20,A6)</f>
        <v>1</v>
      </c>
      <c r="N6" s="293">
        <f ca="1">VLOOKUP(A6,Score!B:Z,25,0)</f>
        <v>4.7162317516219555E-2</v>
      </c>
    </row>
    <row r="7" spans="1:14">
      <c r="A7" s="295" t="s">
        <v>164</v>
      </c>
      <c r="B7" s="291" t="str">
        <f t="shared" ca="1" si="0"/>
        <v/>
      </c>
      <c r="C7" s="291" t="str">
        <f t="shared" ca="1" si="0"/>
        <v/>
      </c>
      <c r="D7" s="291" t="str">
        <f t="shared" ca="1" si="0"/>
        <v/>
      </c>
      <c r="E7" s="291" t="str">
        <f t="shared" ca="1" si="0"/>
        <v/>
      </c>
      <c r="F7" s="291" t="str">
        <f t="shared" ca="1" si="0"/>
        <v/>
      </c>
      <c r="G7" s="291" t="str">
        <f t="shared" ca="1" si="0"/>
        <v/>
      </c>
      <c r="H7" s="291" t="str">
        <f t="shared" ca="1" si="0"/>
        <v/>
      </c>
      <c r="I7" s="291">
        <f t="shared" ca="1" si="0"/>
        <v>1</v>
      </c>
      <c r="J7" s="291" t="str">
        <f t="shared" ca="1" si="0"/>
        <v/>
      </c>
      <c r="K7" s="291" t="str">
        <f t="shared" ca="1" si="0"/>
        <v/>
      </c>
      <c r="L7" s="291" t="str">
        <f t="shared" ca="1" si="0"/>
        <v/>
      </c>
      <c r="M7" s="292">
        <f ca="1">COUNTIF(Teams!$4:$20,A7)</f>
        <v>1</v>
      </c>
      <c r="N7" s="293">
        <f ca="1">VLOOKUP(A7,Score!B:Z,25,0)</f>
        <v>50.020598049338275</v>
      </c>
    </row>
    <row r="8" spans="1:14">
      <c r="A8" s="290" t="s">
        <v>153</v>
      </c>
      <c r="B8" s="291" t="str">
        <f t="shared" ca="1" si="0"/>
        <v/>
      </c>
      <c r="C8" s="291" t="str">
        <f t="shared" ca="1" si="0"/>
        <v/>
      </c>
      <c r="D8" s="291" t="str">
        <f t="shared" ca="1" si="0"/>
        <v/>
      </c>
      <c r="E8" s="291" t="str">
        <f t="shared" ca="1" si="0"/>
        <v/>
      </c>
      <c r="F8" s="291" t="str">
        <f t="shared" ca="1" si="0"/>
        <v/>
      </c>
      <c r="G8" s="343" t="str">
        <f t="shared" ca="1" si="0"/>
        <v/>
      </c>
      <c r="H8" s="345">
        <f t="shared" ca="1" si="0"/>
        <v>1</v>
      </c>
      <c r="I8" s="344" t="str">
        <f t="shared" ca="1" si="0"/>
        <v/>
      </c>
      <c r="J8" s="291" t="str">
        <f t="shared" ca="1" si="0"/>
        <v/>
      </c>
      <c r="K8" s="291" t="str">
        <f t="shared" ca="1" si="0"/>
        <v/>
      </c>
      <c r="L8" s="291" t="str">
        <f t="shared" ca="1" si="0"/>
        <v/>
      </c>
      <c r="M8" s="292">
        <f ca="1">COUNTIF(Teams!$4:$20,A8)</f>
        <v>1</v>
      </c>
      <c r="N8" s="293">
        <f ca="1">VLOOKUP(A8,Score!B:Z,25,0)</f>
        <v>205.04814423751847</v>
      </c>
    </row>
    <row r="9" spans="1:14" s="294" customFormat="1">
      <c r="A9" s="295" t="s">
        <v>84</v>
      </c>
      <c r="B9" s="291" t="str">
        <f t="shared" ca="1" si="0"/>
        <v/>
      </c>
      <c r="C9" s="291" t="str">
        <f t="shared" ca="1" si="0"/>
        <v/>
      </c>
      <c r="D9" s="291" t="str">
        <f t="shared" ca="1" si="0"/>
        <v/>
      </c>
      <c r="E9" s="291" t="str">
        <f t="shared" ca="1" si="0"/>
        <v/>
      </c>
      <c r="F9" s="291" t="str">
        <f t="shared" ca="1" si="0"/>
        <v/>
      </c>
      <c r="G9" s="291" t="str">
        <f t="shared" ca="1" si="0"/>
        <v/>
      </c>
      <c r="H9" s="291" t="str">
        <f t="shared" ca="1" si="0"/>
        <v/>
      </c>
      <c r="I9" s="291" t="str">
        <f t="shared" ca="1" si="0"/>
        <v/>
      </c>
      <c r="J9" s="291" t="str">
        <f t="shared" ca="1" si="0"/>
        <v/>
      </c>
      <c r="K9" s="291" t="str">
        <f t="shared" ca="1" si="0"/>
        <v/>
      </c>
      <c r="L9" s="291">
        <f t="shared" ca="1" si="0"/>
        <v>1</v>
      </c>
      <c r="M9" s="292">
        <f ca="1">COUNTIF(Teams!$4:$20,A9)</f>
        <v>1</v>
      </c>
      <c r="N9" s="293">
        <f ca="1">VLOOKUP(A9,Score!B:Z,25,0)</f>
        <v>57.057713477853518</v>
      </c>
    </row>
    <row r="10" spans="1:14" s="294" customFormat="1">
      <c r="A10" s="295" t="s">
        <v>129</v>
      </c>
      <c r="B10" s="291" t="str">
        <f t="shared" ca="1" si="0"/>
        <v/>
      </c>
      <c r="C10" s="291" t="str">
        <f t="shared" ca="1" si="0"/>
        <v/>
      </c>
      <c r="D10" s="291" t="str">
        <f t="shared" ca="1" si="0"/>
        <v/>
      </c>
      <c r="E10" s="291" t="str">
        <f t="shared" ca="1" si="0"/>
        <v/>
      </c>
      <c r="F10" s="291" t="str">
        <f t="shared" ca="1" si="0"/>
        <v/>
      </c>
      <c r="G10" s="291" t="str">
        <f t="shared" ca="1" si="0"/>
        <v/>
      </c>
      <c r="H10" s="291" t="str">
        <f t="shared" ca="1" si="0"/>
        <v/>
      </c>
      <c r="I10" s="291" t="str">
        <f t="shared" ca="1" si="0"/>
        <v/>
      </c>
      <c r="J10" s="291" t="str">
        <f t="shared" ca="1" si="0"/>
        <v/>
      </c>
      <c r="K10" s="291" t="str">
        <f t="shared" ca="1" si="0"/>
        <v/>
      </c>
      <c r="L10" s="291">
        <f t="shared" ca="1" si="0"/>
        <v>1</v>
      </c>
      <c r="M10" s="292">
        <f ca="1">COUNTIF(Teams!$4:$20,A10)</f>
        <v>1</v>
      </c>
      <c r="N10" s="293">
        <f ca="1">VLOOKUP(A10,Score!B:Z,25,0)</f>
        <v>1.862319547159965E-2</v>
      </c>
    </row>
    <row r="11" spans="1:14" s="296" customFormat="1">
      <c r="A11" s="295" t="s">
        <v>174</v>
      </c>
      <c r="B11" s="291" t="str">
        <f t="shared" ca="1" si="0"/>
        <v/>
      </c>
      <c r="C11" s="291" t="str">
        <f t="shared" ca="1" si="0"/>
        <v/>
      </c>
      <c r="D11" s="291" t="str">
        <f t="shared" ca="1" si="0"/>
        <v/>
      </c>
      <c r="E11" s="291" t="str">
        <f t="shared" ca="1" si="0"/>
        <v/>
      </c>
      <c r="F11" s="291">
        <f t="shared" ca="1" si="0"/>
        <v>1</v>
      </c>
      <c r="G11" s="291" t="str">
        <f t="shared" ca="1" si="0"/>
        <v/>
      </c>
      <c r="H11" s="291" t="str">
        <f t="shared" ca="1" si="0"/>
        <v/>
      </c>
      <c r="I11" s="291" t="str">
        <f t="shared" ca="1" si="0"/>
        <v/>
      </c>
      <c r="J11" s="291" t="str">
        <f t="shared" ca="1" si="0"/>
        <v/>
      </c>
      <c r="K11" s="291" t="str">
        <f t="shared" ca="1" si="0"/>
        <v/>
      </c>
      <c r="L11" s="291" t="str">
        <f t="shared" ca="1" si="0"/>
        <v/>
      </c>
      <c r="M11" s="292">
        <f ca="1">COUNTIF(Teams!$4:$20,A11)</f>
        <v>1</v>
      </c>
      <c r="N11" s="293">
        <f ca="1">VLOOKUP(A11,Score!B:Z,25,0)</f>
        <v>64.076161928295818</v>
      </c>
    </row>
    <row r="12" spans="1:14" s="296" customFormat="1">
      <c r="A12" s="295" t="s">
        <v>176</v>
      </c>
      <c r="B12" s="291" t="str">
        <f t="shared" ca="1" si="0"/>
        <v/>
      </c>
      <c r="C12" s="291" t="str">
        <f t="shared" ca="1" si="0"/>
        <v/>
      </c>
      <c r="D12" s="343" t="str">
        <f t="shared" ca="1" si="0"/>
        <v/>
      </c>
      <c r="E12" s="345">
        <f t="shared" ca="1" si="0"/>
        <v>1</v>
      </c>
      <c r="F12" s="344" t="str">
        <f t="shared" ca="1" si="0"/>
        <v/>
      </c>
      <c r="G12" s="291" t="str">
        <f t="shared" ca="1" si="0"/>
        <v/>
      </c>
      <c r="H12" s="291" t="str">
        <f t="shared" ca="1" si="0"/>
        <v/>
      </c>
      <c r="I12" s="291" t="str">
        <f t="shared" ca="1" si="0"/>
        <v/>
      </c>
      <c r="J12" s="291" t="str">
        <f t="shared" ca="1" si="0"/>
        <v/>
      </c>
      <c r="K12" s="291" t="str">
        <f t="shared" ca="1" si="0"/>
        <v/>
      </c>
      <c r="L12" s="291" t="str">
        <f t="shared" ca="1" si="0"/>
        <v/>
      </c>
      <c r="M12" s="292">
        <f ca="1">COUNTIF(Teams!$4:$20,A12)</f>
        <v>1</v>
      </c>
      <c r="N12" s="293">
        <f ca="1">VLOOKUP(A12,Score!B:Z,25,0)</f>
        <v>133.0868892430544</v>
      </c>
    </row>
    <row r="13" spans="1:14">
      <c r="A13" s="290" t="s">
        <v>76</v>
      </c>
      <c r="B13" s="291">
        <f t="shared" ref="B13:L22" ca="1" si="1">IF(ISERROR(VLOOKUP($A13,INDIRECT(B$1&amp;"!"&amp;"c4:c20"),1,0)),"",$M13)</f>
        <v>1</v>
      </c>
      <c r="C13" s="291" t="str">
        <f t="shared" ca="1" si="1"/>
        <v/>
      </c>
      <c r="D13" s="291" t="str">
        <f t="shared" ca="1" si="1"/>
        <v/>
      </c>
      <c r="E13" s="291" t="str">
        <f t="shared" ca="1" si="1"/>
        <v/>
      </c>
      <c r="F13" s="291" t="str">
        <f t="shared" ca="1" si="1"/>
        <v/>
      </c>
      <c r="G13" s="291" t="str">
        <f t="shared" ca="1" si="1"/>
        <v/>
      </c>
      <c r="H13" s="291" t="str">
        <f t="shared" ca="1" si="1"/>
        <v/>
      </c>
      <c r="I13" s="291" t="str">
        <f t="shared" ca="1" si="1"/>
        <v/>
      </c>
      <c r="J13" s="291" t="str">
        <f t="shared" ca="1" si="1"/>
        <v/>
      </c>
      <c r="K13" s="291" t="str">
        <f t="shared" ca="1" si="1"/>
        <v/>
      </c>
      <c r="L13" s="291" t="str">
        <f t="shared" ca="1" si="1"/>
        <v/>
      </c>
      <c r="M13" s="292">
        <f ca="1">COUNTIF(Teams!$4:$20,A13)</f>
        <v>1</v>
      </c>
      <c r="N13" s="293">
        <f ca="1">VLOOKUP(A13,Score!B:Z,25,0)</f>
        <v>7.0938598347537409</v>
      </c>
    </row>
    <row r="14" spans="1:14">
      <c r="A14" s="297" t="s">
        <v>213</v>
      </c>
      <c r="B14" s="298" t="str">
        <f t="shared" ca="1" si="1"/>
        <v/>
      </c>
      <c r="C14" s="298" t="str">
        <f t="shared" ca="1" si="1"/>
        <v/>
      </c>
      <c r="D14" s="298" t="str">
        <f t="shared" ca="1" si="1"/>
        <v/>
      </c>
      <c r="E14" s="298" t="str">
        <f t="shared" ca="1" si="1"/>
        <v/>
      </c>
      <c r="F14" s="298" t="str">
        <f t="shared" ca="1" si="1"/>
        <v/>
      </c>
      <c r="G14" s="298" t="str">
        <f t="shared" ca="1" si="1"/>
        <v/>
      </c>
      <c r="H14" s="298" t="str">
        <f t="shared" ca="1" si="1"/>
        <v/>
      </c>
      <c r="I14" s="298" t="str">
        <f t="shared" ca="1" si="1"/>
        <v/>
      </c>
      <c r="J14" s="298" t="str">
        <f t="shared" ca="1" si="1"/>
        <v/>
      </c>
      <c r="K14" s="298">
        <f t="shared" ca="1" si="1"/>
        <v>1</v>
      </c>
      <c r="L14" s="298" t="str">
        <f t="shared" ca="1" si="1"/>
        <v/>
      </c>
      <c r="M14" s="292">
        <f ca="1">COUNTIF(Teams!$4:$20,A14)</f>
        <v>1</v>
      </c>
      <c r="N14" s="293">
        <f ca="1">VLOOKUP(A14,Score!B:Z,25,0)</f>
        <v>7.0911024644804375</v>
      </c>
    </row>
    <row r="15" spans="1:14">
      <c r="A15" s="295" t="s">
        <v>155</v>
      </c>
      <c r="B15" s="291" t="str">
        <f t="shared" ca="1" si="1"/>
        <v/>
      </c>
      <c r="C15" s="291" t="str">
        <f t="shared" ca="1" si="1"/>
        <v/>
      </c>
      <c r="D15" s="291" t="str">
        <f t="shared" ca="1" si="1"/>
        <v/>
      </c>
      <c r="E15" s="291" t="str">
        <f t="shared" ca="1" si="1"/>
        <v/>
      </c>
      <c r="F15" s="291" t="str">
        <f t="shared" ca="1" si="1"/>
        <v/>
      </c>
      <c r="G15" s="291">
        <f t="shared" ca="1" si="1"/>
        <v>2</v>
      </c>
      <c r="H15" s="291">
        <f t="shared" ca="1" si="1"/>
        <v>2</v>
      </c>
      <c r="I15" s="291" t="str">
        <f t="shared" ca="1" si="1"/>
        <v/>
      </c>
      <c r="J15" s="291" t="str">
        <f t="shared" ca="1" si="1"/>
        <v/>
      </c>
      <c r="K15" s="291" t="str">
        <f t="shared" ca="1" si="1"/>
        <v/>
      </c>
      <c r="L15" s="291" t="str">
        <f t="shared" ca="1" si="1"/>
        <v/>
      </c>
      <c r="M15" s="292">
        <f ca="1">COUNTIF(Teams!$4:$20,A15)</f>
        <v>2</v>
      </c>
      <c r="N15" s="293">
        <f ca="1">VLOOKUP(A15,Score!B:Z,25,0)</f>
        <v>96.08445220095895</v>
      </c>
    </row>
    <row r="16" spans="1:14">
      <c r="A16" s="299" t="s">
        <v>83</v>
      </c>
      <c r="B16" s="336" t="str">
        <f t="shared" ca="1" si="1"/>
        <v/>
      </c>
      <c r="C16" s="336" t="str">
        <f t="shared" ca="1" si="1"/>
        <v/>
      </c>
      <c r="D16" s="336" t="str">
        <f t="shared" ca="1" si="1"/>
        <v/>
      </c>
      <c r="E16" s="336" t="str">
        <f t="shared" ca="1" si="1"/>
        <v/>
      </c>
      <c r="F16" s="291">
        <f t="shared" ca="1" si="1"/>
        <v>2</v>
      </c>
      <c r="G16" s="336" t="str">
        <f t="shared" ca="1" si="1"/>
        <v/>
      </c>
      <c r="H16" s="336" t="str">
        <f t="shared" ca="1" si="1"/>
        <v/>
      </c>
      <c r="I16" s="291">
        <f t="shared" ca="1" si="1"/>
        <v>2</v>
      </c>
      <c r="J16" s="336" t="str">
        <f t="shared" ca="1" si="1"/>
        <v/>
      </c>
      <c r="K16" s="336" t="str">
        <f t="shared" ca="1" si="1"/>
        <v/>
      </c>
      <c r="L16" s="336" t="str">
        <f t="shared" ca="1" si="1"/>
        <v/>
      </c>
      <c r="M16" s="292">
        <f ca="1">COUNTIF(Teams!$4:$20,A16)</f>
        <v>2</v>
      </c>
      <c r="N16" s="293">
        <f ca="1">VLOOKUP(A16,Score!B:Z,25,0)</f>
        <v>268.02636749003295</v>
      </c>
    </row>
    <row r="17" spans="1:14" s="294" customFormat="1">
      <c r="A17" s="300" t="s">
        <v>79</v>
      </c>
      <c r="B17" s="301" t="str">
        <f t="shared" ca="1" si="1"/>
        <v/>
      </c>
      <c r="C17" s="301">
        <f t="shared" ca="1" si="1"/>
        <v>2</v>
      </c>
      <c r="D17" s="301" t="str">
        <f t="shared" ca="1" si="1"/>
        <v/>
      </c>
      <c r="E17" s="301" t="str">
        <f t="shared" ca="1" si="1"/>
        <v/>
      </c>
      <c r="F17" s="301" t="str">
        <f t="shared" ca="1" si="1"/>
        <v/>
      </c>
      <c r="G17" s="301" t="str">
        <f t="shared" ca="1" si="1"/>
        <v/>
      </c>
      <c r="H17" s="301" t="str">
        <f t="shared" ca="1" si="1"/>
        <v/>
      </c>
      <c r="I17" s="301" t="str">
        <f t="shared" ca="1" si="1"/>
        <v/>
      </c>
      <c r="J17" s="301" t="str">
        <f t="shared" ca="1" si="1"/>
        <v/>
      </c>
      <c r="K17" s="301">
        <f t="shared" ca="1" si="1"/>
        <v>2</v>
      </c>
      <c r="L17" s="301" t="str">
        <f t="shared" ca="1" si="1"/>
        <v/>
      </c>
      <c r="M17" s="292">
        <f ca="1">COUNTIF(Teams!$4:$20,A17)</f>
        <v>2</v>
      </c>
      <c r="N17" s="293">
        <f ca="1">VLOOKUP(A17,Score!B:Z,25,0)</f>
        <v>5.6205229526326873E-2</v>
      </c>
    </row>
    <row r="18" spans="1:14">
      <c r="A18" s="302" t="s">
        <v>175</v>
      </c>
      <c r="B18" s="303" t="str">
        <f t="shared" ca="1" si="1"/>
        <v/>
      </c>
      <c r="C18" s="303" t="str">
        <f t="shared" ca="1" si="1"/>
        <v/>
      </c>
      <c r="D18" s="291">
        <f t="shared" ca="1" si="1"/>
        <v>3</v>
      </c>
      <c r="E18" s="291">
        <f t="shared" ca="1" si="1"/>
        <v>3</v>
      </c>
      <c r="F18" s="303" t="str">
        <f t="shared" ca="1" si="1"/>
        <v/>
      </c>
      <c r="G18" s="303" t="str">
        <f t="shared" ca="1" si="1"/>
        <v/>
      </c>
      <c r="H18" s="303" t="str">
        <f t="shared" ca="1" si="1"/>
        <v/>
      </c>
      <c r="I18" s="303" t="str">
        <f t="shared" ca="1" si="1"/>
        <v/>
      </c>
      <c r="J18" s="291">
        <f t="shared" ca="1" si="1"/>
        <v>3</v>
      </c>
      <c r="K18" s="303" t="str">
        <f t="shared" ca="1" si="1"/>
        <v/>
      </c>
      <c r="L18" s="303" t="str">
        <f t="shared" ca="1" si="1"/>
        <v/>
      </c>
      <c r="M18" s="292">
        <f ca="1">COUNTIF(Teams!$4:$20,A18)</f>
        <v>3</v>
      </c>
      <c r="N18" s="293">
        <f ca="1">VLOOKUP(A18,Score!B:Z,25,0)</f>
        <v>175.08804469639509</v>
      </c>
    </row>
    <row r="19" spans="1:14">
      <c r="A19" s="302" t="s">
        <v>70</v>
      </c>
      <c r="B19" s="291" t="str">
        <f t="shared" ca="1" si="1"/>
        <v/>
      </c>
      <c r="C19" s="291" t="str">
        <f t="shared" ca="1" si="1"/>
        <v/>
      </c>
      <c r="D19" s="291" t="str">
        <f t="shared" ca="1" si="1"/>
        <v/>
      </c>
      <c r="E19" s="291" t="str">
        <f t="shared" ca="1" si="1"/>
        <v/>
      </c>
      <c r="F19" s="291" t="str">
        <f t="shared" ca="1" si="1"/>
        <v/>
      </c>
      <c r="G19" s="291" t="str">
        <f t="shared" ca="1" si="1"/>
        <v/>
      </c>
      <c r="H19" s="291">
        <f t="shared" ca="1" si="1"/>
        <v>3</v>
      </c>
      <c r="I19" s="291">
        <f t="shared" ca="1" si="1"/>
        <v>3</v>
      </c>
      <c r="J19" s="291" t="str">
        <f t="shared" ca="1" si="1"/>
        <v/>
      </c>
      <c r="K19" s="291" t="str">
        <f t="shared" ca="1" si="1"/>
        <v/>
      </c>
      <c r="L19" s="291">
        <f t="shared" ca="1" si="1"/>
        <v>3</v>
      </c>
      <c r="M19" s="292">
        <f ca="1">COUNTIF(Teams!$4:$20,A19)</f>
        <v>3</v>
      </c>
      <c r="N19" s="293">
        <f ca="1">VLOOKUP(A19,Score!B:Z,25,0)</f>
        <v>35.039478995895109</v>
      </c>
    </row>
    <row r="20" spans="1:14">
      <c r="A20" s="304" t="s">
        <v>120</v>
      </c>
      <c r="B20" s="298" t="str">
        <f t="shared" ca="1" si="1"/>
        <v/>
      </c>
      <c r="C20" s="298" t="str">
        <f t="shared" ca="1" si="1"/>
        <v/>
      </c>
      <c r="D20" s="298" t="str">
        <f t="shared" ca="1" si="1"/>
        <v/>
      </c>
      <c r="E20" s="298" t="str">
        <f t="shared" ca="1" si="1"/>
        <v/>
      </c>
      <c r="F20" s="298" t="str">
        <f t="shared" ca="1" si="1"/>
        <v/>
      </c>
      <c r="G20" s="298">
        <f t="shared" ca="1" si="1"/>
        <v>3</v>
      </c>
      <c r="H20" s="298" t="str">
        <f t="shared" ca="1" si="1"/>
        <v/>
      </c>
      <c r="I20" s="298" t="str">
        <f t="shared" ca="1" si="1"/>
        <v/>
      </c>
      <c r="J20" s="298">
        <f t="shared" ca="1" si="1"/>
        <v>3</v>
      </c>
      <c r="K20" s="298" t="str">
        <f t="shared" ca="1" si="1"/>
        <v/>
      </c>
      <c r="L20" s="298">
        <f t="shared" ca="1" si="1"/>
        <v>3</v>
      </c>
      <c r="M20" s="292">
        <f ca="1">COUNTIF(Teams!$4:$20,A20)</f>
        <v>3</v>
      </c>
      <c r="N20" s="293">
        <f ca="1">VLOOKUP(A20,Score!B:Z,25,0)</f>
        <v>37.033760710343131</v>
      </c>
    </row>
    <row r="21" spans="1:14">
      <c r="A21" s="305" t="s">
        <v>74</v>
      </c>
      <c r="B21" s="306" t="str">
        <f t="shared" ca="1" si="1"/>
        <v/>
      </c>
      <c r="C21" s="306" t="str">
        <f t="shared" ca="1" si="1"/>
        <v/>
      </c>
      <c r="D21" s="306" t="str">
        <f t="shared" ca="1" si="1"/>
        <v/>
      </c>
      <c r="E21" s="306" t="str">
        <f t="shared" ca="1" si="1"/>
        <v/>
      </c>
      <c r="F21" s="306" t="str">
        <f t="shared" ca="1" si="1"/>
        <v/>
      </c>
      <c r="G21" s="301">
        <f t="shared" ca="1" si="1"/>
        <v>4</v>
      </c>
      <c r="H21" s="301">
        <f t="shared" ca="1" si="1"/>
        <v>4</v>
      </c>
      <c r="I21" s="306" t="str">
        <f t="shared" ca="1" si="1"/>
        <v/>
      </c>
      <c r="J21" s="301">
        <f t="shared" ca="1" si="1"/>
        <v>4</v>
      </c>
      <c r="K21" s="306" t="str">
        <f t="shared" ca="1" si="1"/>
        <v/>
      </c>
      <c r="L21" s="301">
        <f t="shared" ca="1" si="1"/>
        <v>4</v>
      </c>
      <c r="M21" s="292">
        <f ca="1">COUNTIF(Teams!$4:$20,A21)</f>
        <v>4</v>
      </c>
      <c r="N21" s="293">
        <f ca="1">VLOOKUP(A21,Score!B:Z,25,0)</f>
        <v>146.03406911491356</v>
      </c>
    </row>
    <row r="22" spans="1:14">
      <c r="A22" s="307" t="s">
        <v>132</v>
      </c>
      <c r="B22" s="298" t="str">
        <f t="shared" ca="1" si="1"/>
        <v/>
      </c>
      <c r="C22" s="298">
        <f t="shared" ca="1" si="1"/>
        <v>4</v>
      </c>
      <c r="D22" s="298">
        <f t="shared" ca="1" si="1"/>
        <v>4</v>
      </c>
      <c r="E22" s="298" t="str">
        <f t="shared" ca="1" si="1"/>
        <v/>
      </c>
      <c r="F22" s="298">
        <f t="shared" ca="1" si="1"/>
        <v>4</v>
      </c>
      <c r="G22" s="298">
        <f t="shared" ca="1" si="1"/>
        <v>4</v>
      </c>
      <c r="H22" s="298" t="str">
        <f t="shared" ca="1" si="1"/>
        <v/>
      </c>
      <c r="I22" s="298" t="str">
        <f t="shared" ca="1" si="1"/>
        <v/>
      </c>
      <c r="J22" s="298" t="str">
        <f t="shared" ca="1" si="1"/>
        <v/>
      </c>
      <c r="K22" s="298" t="str">
        <f t="shared" ca="1" si="1"/>
        <v/>
      </c>
      <c r="L22" s="298" t="str">
        <f t="shared" ca="1" si="1"/>
        <v/>
      </c>
      <c r="M22" s="292">
        <f ca="1">COUNTIF(Teams!$4:$20,A22)</f>
        <v>4</v>
      </c>
      <c r="N22" s="293">
        <f ca="1">VLOOKUP(A22,Score!B:Z,25,0)</f>
        <v>91.073730340652403</v>
      </c>
    </row>
    <row r="23" spans="1:14" s="312" customFormat="1">
      <c r="A23" s="308" t="s">
        <v>169</v>
      </c>
      <c r="B23" s="309" t="str">
        <f t="shared" ref="B23:L32" ca="1" si="2">IF(ISERROR(VLOOKUP($A23,INDIRECT(B$1&amp;"!"&amp;"c4:c20"),1,0)),"",$M23)</f>
        <v/>
      </c>
      <c r="C23" s="309" t="str">
        <f t="shared" ca="1" si="2"/>
        <v/>
      </c>
      <c r="D23" s="309">
        <f t="shared" ca="1" si="2"/>
        <v>5</v>
      </c>
      <c r="E23" s="309">
        <f t="shared" ca="1" si="2"/>
        <v>5</v>
      </c>
      <c r="F23" s="309">
        <f t="shared" ca="1" si="2"/>
        <v>5</v>
      </c>
      <c r="G23" s="309">
        <f t="shared" ca="1" si="2"/>
        <v>5</v>
      </c>
      <c r="H23" s="309" t="str">
        <f t="shared" ca="1" si="2"/>
        <v/>
      </c>
      <c r="I23" s="309">
        <f t="shared" ca="1" si="2"/>
        <v>5</v>
      </c>
      <c r="J23" s="309" t="str">
        <f t="shared" ca="1" si="2"/>
        <v/>
      </c>
      <c r="K23" s="309" t="str">
        <f t="shared" ca="1" si="2"/>
        <v/>
      </c>
      <c r="L23" s="309" t="str">
        <f t="shared" ca="1" si="2"/>
        <v/>
      </c>
      <c r="M23" s="310">
        <f ca="1">COUNTIF(Teams!$4:$20,A23)</f>
        <v>5</v>
      </c>
      <c r="N23" s="311">
        <f ca="1">VLOOKUP(A23,Score!B:Z,25,0)</f>
        <v>5.9640381353343132E-2</v>
      </c>
    </row>
    <row r="24" spans="1:14">
      <c r="A24" s="313" t="s">
        <v>160</v>
      </c>
      <c r="B24" s="314">
        <f t="shared" ca="1" si="2"/>
        <v>5</v>
      </c>
      <c r="C24" s="335" t="str">
        <f t="shared" ca="1" si="2"/>
        <v/>
      </c>
      <c r="D24" s="335" t="str">
        <f t="shared" ca="1" si="2"/>
        <v/>
      </c>
      <c r="E24" s="314">
        <f t="shared" ca="1" si="2"/>
        <v>5</v>
      </c>
      <c r="F24" s="314">
        <f t="shared" ca="1" si="2"/>
        <v>5</v>
      </c>
      <c r="G24" s="335" t="str">
        <f t="shared" ca="1" si="2"/>
        <v/>
      </c>
      <c r="H24" s="314">
        <f t="shared" ca="1" si="2"/>
        <v>5</v>
      </c>
      <c r="I24" s="335" t="str">
        <f t="shared" ca="1" si="2"/>
        <v/>
      </c>
      <c r="J24" s="314">
        <f t="shared" ca="1" si="2"/>
        <v>5</v>
      </c>
      <c r="K24" s="335" t="str">
        <f t="shared" ca="1" si="2"/>
        <v/>
      </c>
      <c r="L24" s="335" t="str">
        <f t="shared" ca="1" si="2"/>
        <v/>
      </c>
      <c r="M24" s="292">
        <f ca="1">COUNTIF(Teams!$4:$20,A24)</f>
        <v>5</v>
      </c>
      <c r="N24" s="293">
        <f ca="1">VLOOKUP(A24,Score!B:Z,25,0)</f>
        <v>328.03872972464353</v>
      </c>
    </row>
    <row r="25" spans="1:14">
      <c r="A25" s="290" t="s">
        <v>69</v>
      </c>
      <c r="B25" s="291">
        <f t="shared" ca="1" si="2"/>
        <v>6</v>
      </c>
      <c r="C25" s="291">
        <f t="shared" ca="1" si="2"/>
        <v>6</v>
      </c>
      <c r="D25" s="291">
        <f t="shared" ca="1" si="2"/>
        <v>6</v>
      </c>
      <c r="E25" s="291" t="str">
        <f t="shared" ca="1" si="2"/>
        <v/>
      </c>
      <c r="F25" s="291" t="str">
        <f t="shared" ca="1" si="2"/>
        <v/>
      </c>
      <c r="G25" s="291" t="str">
        <f t="shared" ca="1" si="2"/>
        <v/>
      </c>
      <c r="H25" s="291" t="str">
        <f t="shared" ca="1" si="2"/>
        <v/>
      </c>
      <c r="I25" s="291">
        <f t="shared" ca="1" si="2"/>
        <v>6</v>
      </c>
      <c r="J25" s="291" t="str">
        <f t="shared" ca="1" si="2"/>
        <v/>
      </c>
      <c r="K25" s="291">
        <f t="shared" ca="1" si="2"/>
        <v>6</v>
      </c>
      <c r="L25" s="291">
        <f t="shared" ca="1" si="2"/>
        <v>6</v>
      </c>
      <c r="M25" s="292">
        <f ca="1">COUNTIF(Teams!$4:$20,A25)</f>
        <v>6</v>
      </c>
      <c r="N25" s="293">
        <f ca="1">VLOOKUP(A25,Score!B:Z,25,0)</f>
        <v>51.021169213014936</v>
      </c>
    </row>
    <row r="26" spans="1:14">
      <c r="A26" s="295" t="s">
        <v>112</v>
      </c>
      <c r="B26" s="291">
        <f t="shared" ca="1" si="2"/>
        <v>6</v>
      </c>
      <c r="C26" s="291">
        <f t="shared" ca="1" si="2"/>
        <v>6</v>
      </c>
      <c r="D26" s="291">
        <f t="shared" ca="1" si="2"/>
        <v>6</v>
      </c>
      <c r="E26" s="291">
        <f t="shared" ca="1" si="2"/>
        <v>6</v>
      </c>
      <c r="F26" s="336" t="str">
        <f t="shared" ca="1" si="2"/>
        <v/>
      </c>
      <c r="G26" s="336" t="str">
        <f t="shared" ca="1" si="2"/>
        <v/>
      </c>
      <c r="H26" s="336" t="str">
        <f t="shared" ca="1" si="2"/>
        <v/>
      </c>
      <c r="I26" s="336" t="str">
        <f t="shared" ca="1" si="2"/>
        <v/>
      </c>
      <c r="J26" s="336" t="str">
        <f t="shared" ca="1" si="2"/>
        <v/>
      </c>
      <c r="K26" s="291">
        <f t="shared" ca="1" si="2"/>
        <v>6</v>
      </c>
      <c r="L26" s="291">
        <f t="shared" ca="1" si="2"/>
        <v>6</v>
      </c>
      <c r="M26" s="292">
        <f ca="1">COUNTIF(Teams!$4:$20,A26)</f>
        <v>6</v>
      </c>
      <c r="N26" s="293">
        <f ca="1">VLOOKUP(A26,Score!B:Z,25,0)</f>
        <v>235.03813897272573</v>
      </c>
    </row>
    <row r="27" spans="1:14" s="312" customFormat="1">
      <c r="A27" s="315" t="s">
        <v>134</v>
      </c>
      <c r="B27" s="309" t="str">
        <f t="shared" ca="1" si="2"/>
        <v/>
      </c>
      <c r="C27" s="309">
        <f t="shared" ca="1" si="2"/>
        <v>6</v>
      </c>
      <c r="D27" s="309">
        <f t="shared" ca="1" si="2"/>
        <v>6</v>
      </c>
      <c r="E27" s="309" t="str">
        <f t="shared" ca="1" si="2"/>
        <v/>
      </c>
      <c r="F27" s="309" t="str">
        <f t="shared" ca="1" si="2"/>
        <v/>
      </c>
      <c r="G27" s="309">
        <f t="shared" ca="1" si="2"/>
        <v>6</v>
      </c>
      <c r="H27" s="309" t="str">
        <f t="shared" ca="1" si="2"/>
        <v/>
      </c>
      <c r="I27" s="309">
        <f t="shared" ca="1" si="2"/>
        <v>6</v>
      </c>
      <c r="J27" s="309" t="str">
        <f t="shared" ca="1" si="2"/>
        <v/>
      </c>
      <c r="K27" s="309">
        <f t="shared" ca="1" si="2"/>
        <v>6</v>
      </c>
      <c r="L27" s="309">
        <f t="shared" ca="1" si="2"/>
        <v>6</v>
      </c>
      <c r="M27" s="310">
        <f ca="1">COUNTIF(Teams!$4:$20,A27)</f>
        <v>6</v>
      </c>
      <c r="N27" s="311">
        <f ca="1">VLOOKUP(A27,Score!B:Z,25,0)</f>
        <v>7.1757033581430194E-2</v>
      </c>
    </row>
    <row r="28" spans="1:14">
      <c r="A28" s="295" t="s">
        <v>166</v>
      </c>
      <c r="B28" s="291">
        <f t="shared" ca="1" si="2"/>
        <v>7</v>
      </c>
      <c r="C28" s="291">
        <f t="shared" ca="1" si="2"/>
        <v>7</v>
      </c>
      <c r="D28" s="291">
        <f t="shared" ca="1" si="2"/>
        <v>7</v>
      </c>
      <c r="E28" s="291">
        <f t="shared" ca="1" si="2"/>
        <v>7</v>
      </c>
      <c r="F28" s="291" t="str">
        <f t="shared" ca="1" si="2"/>
        <v/>
      </c>
      <c r="G28" s="291" t="str">
        <f t="shared" ca="1" si="2"/>
        <v/>
      </c>
      <c r="H28" s="291" t="str">
        <f t="shared" ca="1" si="2"/>
        <v/>
      </c>
      <c r="I28" s="291">
        <f t="shared" ca="1" si="2"/>
        <v>7</v>
      </c>
      <c r="J28" s="291">
        <f t="shared" ca="1" si="2"/>
        <v>7</v>
      </c>
      <c r="K28" s="291" t="str">
        <f t="shared" ca="1" si="2"/>
        <v/>
      </c>
      <c r="L28" s="291">
        <f t="shared" ca="1" si="2"/>
        <v>7</v>
      </c>
      <c r="M28" s="292">
        <f ca="1">COUNTIF(Teams!$4:$20,A28)</f>
        <v>7</v>
      </c>
      <c r="N28" s="293">
        <f ca="1">VLOOKUP(A28,Score!B:Z,25,0)</f>
        <v>50.021827554188746</v>
      </c>
    </row>
    <row r="29" spans="1:14">
      <c r="A29" s="316" t="s">
        <v>161</v>
      </c>
      <c r="B29" s="298">
        <f t="shared" ca="1" si="2"/>
        <v>7</v>
      </c>
      <c r="C29" s="298">
        <f t="shared" ca="1" si="2"/>
        <v>7</v>
      </c>
      <c r="D29" s="298" t="str">
        <f t="shared" ca="1" si="2"/>
        <v/>
      </c>
      <c r="E29" s="298" t="str">
        <f t="shared" ca="1" si="2"/>
        <v/>
      </c>
      <c r="F29" s="298">
        <f t="shared" ca="1" si="2"/>
        <v>7</v>
      </c>
      <c r="G29" s="298" t="str">
        <f t="shared" ca="1" si="2"/>
        <v/>
      </c>
      <c r="H29" s="298">
        <f t="shared" ca="1" si="2"/>
        <v>7</v>
      </c>
      <c r="I29" s="298">
        <f t="shared" ca="1" si="2"/>
        <v>7</v>
      </c>
      <c r="J29" s="298">
        <f t="shared" ca="1" si="2"/>
        <v>7</v>
      </c>
      <c r="K29" s="298">
        <f t="shared" ca="1" si="2"/>
        <v>7</v>
      </c>
      <c r="L29" s="298" t="str">
        <f t="shared" ca="1" si="2"/>
        <v/>
      </c>
      <c r="M29" s="292">
        <f ca="1">COUNTIF(Teams!$4:$20,A29)</f>
        <v>7</v>
      </c>
      <c r="N29" s="293">
        <f ca="1">VLOOKUP(A29,Score!B:Z,25,0)</f>
        <v>57.013560907379969</v>
      </c>
    </row>
    <row r="30" spans="1:14">
      <c r="A30" s="317" t="s">
        <v>86</v>
      </c>
      <c r="B30" s="301">
        <f t="shared" ca="1" si="2"/>
        <v>8</v>
      </c>
      <c r="C30" s="301">
        <f t="shared" ca="1" si="2"/>
        <v>8</v>
      </c>
      <c r="D30" s="301">
        <f t="shared" ca="1" si="2"/>
        <v>8</v>
      </c>
      <c r="E30" s="301">
        <f t="shared" ca="1" si="2"/>
        <v>8</v>
      </c>
      <c r="F30" s="301">
        <f t="shared" ca="1" si="2"/>
        <v>8</v>
      </c>
      <c r="G30" s="301">
        <f t="shared" ca="1" si="2"/>
        <v>8</v>
      </c>
      <c r="H30" s="301">
        <f t="shared" ca="1" si="2"/>
        <v>8</v>
      </c>
      <c r="I30" s="301" t="str">
        <f t="shared" ca="1" si="2"/>
        <v/>
      </c>
      <c r="J30" s="301">
        <f t="shared" ca="1" si="2"/>
        <v>8</v>
      </c>
      <c r="K30" s="301" t="str">
        <f t="shared" ca="1" si="2"/>
        <v/>
      </c>
      <c r="L30" s="301" t="str">
        <f t="shared" ca="1" si="2"/>
        <v/>
      </c>
      <c r="M30" s="292">
        <f ca="1">COUNTIF(Teams!$4:$20,A30)</f>
        <v>8</v>
      </c>
      <c r="N30" s="293">
        <f ca="1">VLOOKUP(A30,Score!B:Z,25,0)</f>
        <v>40.082059832191149</v>
      </c>
    </row>
    <row r="31" spans="1:14">
      <c r="A31" s="339" t="s">
        <v>148</v>
      </c>
      <c r="B31" s="340">
        <f t="shared" ca="1" si="2"/>
        <v>8</v>
      </c>
      <c r="C31" s="340" t="str">
        <f t="shared" ca="1" si="2"/>
        <v/>
      </c>
      <c r="D31" s="340">
        <f t="shared" ca="1" si="2"/>
        <v>8</v>
      </c>
      <c r="E31" s="340">
        <f t="shared" ca="1" si="2"/>
        <v>8</v>
      </c>
      <c r="F31" s="340">
        <f t="shared" ca="1" si="2"/>
        <v>8</v>
      </c>
      <c r="G31" s="340">
        <f t="shared" ca="1" si="2"/>
        <v>8</v>
      </c>
      <c r="H31" s="340">
        <f t="shared" ca="1" si="2"/>
        <v>8</v>
      </c>
      <c r="I31" s="340" t="str">
        <f t="shared" ca="1" si="2"/>
        <v/>
      </c>
      <c r="J31" s="340">
        <f t="shared" ca="1" si="2"/>
        <v>8</v>
      </c>
      <c r="K31" s="340">
        <f t="shared" ca="1" si="2"/>
        <v>8</v>
      </c>
      <c r="L31" s="298" t="str">
        <f t="shared" ca="1" si="2"/>
        <v/>
      </c>
      <c r="M31" s="292">
        <f ca="1">COUNTIF(Teams!$4:$20,A31)</f>
        <v>8</v>
      </c>
      <c r="N31" s="341">
        <f ca="1">VLOOKUP(A31,Score!B:Z,25,0)</f>
        <v>4.3302010906342864E-2</v>
      </c>
    </row>
    <row r="32" spans="1:14">
      <c r="A32" s="338" t="s">
        <v>72</v>
      </c>
      <c r="B32" s="337">
        <f t="shared" ca="1" si="2"/>
        <v>9</v>
      </c>
      <c r="C32" s="337">
        <f t="shared" ca="1" si="2"/>
        <v>9</v>
      </c>
      <c r="D32" s="337" t="str">
        <f t="shared" ca="1" si="2"/>
        <v/>
      </c>
      <c r="E32" s="337">
        <f t="shared" ca="1" si="2"/>
        <v>9</v>
      </c>
      <c r="F32" s="337">
        <f t="shared" ca="1" si="2"/>
        <v>9</v>
      </c>
      <c r="G32" s="337">
        <f t="shared" ca="1" si="2"/>
        <v>9</v>
      </c>
      <c r="H32" s="337">
        <f t="shared" ca="1" si="2"/>
        <v>9</v>
      </c>
      <c r="I32" s="337">
        <f t="shared" ca="1" si="2"/>
        <v>9</v>
      </c>
      <c r="J32" s="342" t="str">
        <f t="shared" ca="1" si="2"/>
        <v/>
      </c>
      <c r="K32" s="337">
        <f t="shared" ca="1" si="2"/>
        <v>9</v>
      </c>
      <c r="L32" s="337">
        <f t="shared" ca="1" si="2"/>
        <v>9</v>
      </c>
      <c r="M32" s="292">
        <f ca="1">COUNTIF(Teams!$4:$20,A32)</f>
        <v>9</v>
      </c>
      <c r="N32" s="293">
        <f ca="1">VLOOKUP(A32,Score!B:Z,25,0)</f>
        <v>140.0384494884392</v>
      </c>
    </row>
    <row r="33" spans="1:14">
      <c r="A33" s="313" t="s">
        <v>150</v>
      </c>
      <c r="B33" s="314">
        <f t="shared" ref="B33:L45" ca="1" si="3">IF(ISERROR(VLOOKUP($A33,INDIRECT(B$1&amp;"!"&amp;"c4:c20"),1,0)),"",$M33)</f>
        <v>9</v>
      </c>
      <c r="C33" s="314">
        <f t="shared" ca="1" si="3"/>
        <v>9</v>
      </c>
      <c r="D33" s="314">
        <f t="shared" ca="1" si="3"/>
        <v>9</v>
      </c>
      <c r="E33" s="314">
        <f t="shared" ca="1" si="3"/>
        <v>9</v>
      </c>
      <c r="F33" s="314">
        <f t="shared" ca="1" si="3"/>
        <v>9</v>
      </c>
      <c r="G33" s="314">
        <f t="shared" ca="1" si="3"/>
        <v>9</v>
      </c>
      <c r="H33" s="314">
        <f t="shared" ca="1" si="3"/>
        <v>9</v>
      </c>
      <c r="I33" s="314">
        <f t="shared" ca="1" si="3"/>
        <v>9</v>
      </c>
      <c r="J33" s="314">
        <f t="shared" ca="1" si="3"/>
        <v>9</v>
      </c>
      <c r="K33" s="335" t="str">
        <f t="shared" ca="1" si="3"/>
        <v/>
      </c>
      <c r="L33" s="335" t="str">
        <f t="shared" ca="1" si="3"/>
        <v/>
      </c>
      <c r="M33" s="292">
        <f ca="1">COUNTIF(Teams!$4:$20,A33)</f>
        <v>9</v>
      </c>
      <c r="N33" s="293">
        <f ca="1">VLOOKUP(A33,Score!B:Z,25,0)</f>
        <v>167.00369780591399</v>
      </c>
    </row>
    <row r="34" spans="1:14">
      <c r="A34" s="313" t="s">
        <v>159</v>
      </c>
      <c r="B34" s="314">
        <f t="shared" ca="1" si="3"/>
        <v>10</v>
      </c>
      <c r="C34" s="314">
        <f t="shared" ca="1" si="3"/>
        <v>10</v>
      </c>
      <c r="D34" s="314">
        <f t="shared" ca="1" si="3"/>
        <v>10</v>
      </c>
      <c r="E34" s="314">
        <f t="shared" ca="1" si="3"/>
        <v>10</v>
      </c>
      <c r="F34" s="314">
        <f t="shared" ca="1" si="3"/>
        <v>10</v>
      </c>
      <c r="G34" s="314">
        <f t="shared" ca="1" si="3"/>
        <v>10</v>
      </c>
      <c r="H34" s="314">
        <f t="shared" ca="1" si="3"/>
        <v>10</v>
      </c>
      <c r="I34" s="314">
        <f t="shared" ca="1" si="3"/>
        <v>10</v>
      </c>
      <c r="J34" s="314">
        <f t="shared" ca="1" si="3"/>
        <v>10</v>
      </c>
      <c r="K34" s="314">
        <f t="shared" ca="1" si="3"/>
        <v>10</v>
      </c>
      <c r="L34" s="335" t="str">
        <f t="shared" ca="1" si="3"/>
        <v/>
      </c>
      <c r="M34" s="292">
        <f ca="1">COUNTIF(Teams!$4:$20,A34)</f>
        <v>10</v>
      </c>
      <c r="N34" s="293">
        <f ca="1">VLOOKUP(A34,Score!B:Z,25,0)</f>
        <v>247.0566689427263</v>
      </c>
    </row>
    <row r="35" spans="1:14">
      <c r="A35" s="295" t="s">
        <v>67</v>
      </c>
      <c r="B35" s="291">
        <f t="shared" ca="1" si="3"/>
        <v>11</v>
      </c>
      <c r="C35" s="291">
        <f t="shared" ca="1" si="3"/>
        <v>11</v>
      </c>
      <c r="D35" s="291">
        <f t="shared" ca="1" si="3"/>
        <v>11</v>
      </c>
      <c r="E35" s="291">
        <f t="shared" ca="1" si="3"/>
        <v>11</v>
      </c>
      <c r="F35" s="291">
        <f t="shared" ca="1" si="3"/>
        <v>11</v>
      </c>
      <c r="G35" s="291">
        <f t="shared" ca="1" si="3"/>
        <v>11</v>
      </c>
      <c r="H35" s="291">
        <f t="shared" ca="1" si="3"/>
        <v>11</v>
      </c>
      <c r="I35" s="291">
        <f t="shared" ca="1" si="3"/>
        <v>11</v>
      </c>
      <c r="J35" s="291">
        <f t="shared" ca="1" si="3"/>
        <v>11</v>
      </c>
      <c r="K35" s="291">
        <f t="shared" ca="1" si="3"/>
        <v>11</v>
      </c>
      <c r="L35" s="291">
        <f t="shared" ca="1" si="3"/>
        <v>11</v>
      </c>
      <c r="M35" s="292">
        <f ca="1">COUNTIF(Teams!$4:$20,A35)</f>
        <v>11</v>
      </c>
      <c r="N35" s="293">
        <f ca="1">VLOOKUP(A35,Score!B:Z,25,0)</f>
        <v>242.05530299944562</v>
      </c>
    </row>
    <row r="36" spans="1:14">
      <c r="A36" s="295" t="s">
        <v>146</v>
      </c>
      <c r="B36" s="291">
        <f t="shared" ca="1" si="3"/>
        <v>11</v>
      </c>
      <c r="C36" s="291">
        <f t="shared" ca="1" si="3"/>
        <v>11</v>
      </c>
      <c r="D36" s="291">
        <f t="shared" ca="1" si="3"/>
        <v>11</v>
      </c>
      <c r="E36" s="291">
        <f t="shared" ca="1" si="3"/>
        <v>11</v>
      </c>
      <c r="F36" s="291">
        <f t="shared" ca="1" si="3"/>
        <v>11</v>
      </c>
      <c r="G36" s="291">
        <f t="shared" ca="1" si="3"/>
        <v>11</v>
      </c>
      <c r="H36" s="291">
        <f t="shared" ca="1" si="3"/>
        <v>11</v>
      </c>
      <c r="I36" s="291">
        <f t="shared" ca="1" si="3"/>
        <v>11</v>
      </c>
      <c r="J36" s="291">
        <f t="shared" ca="1" si="3"/>
        <v>11</v>
      </c>
      <c r="K36" s="291">
        <f t="shared" ca="1" si="3"/>
        <v>11</v>
      </c>
      <c r="L36" s="291">
        <f t="shared" ca="1" si="3"/>
        <v>11</v>
      </c>
      <c r="M36" s="292">
        <f ca="1">COUNTIF(Teams!$4:$20,A36)</f>
        <v>11</v>
      </c>
      <c r="N36" s="293">
        <f ca="1">VLOOKUP(A36,Score!B:Z,25,0)</f>
        <v>294.03439923877079</v>
      </c>
    </row>
    <row r="37" spans="1:14" s="296" customFormat="1">
      <c r="A37" s="290" t="s">
        <v>114</v>
      </c>
      <c r="B37" s="291">
        <f t="shared" ca="1" si="3"/>
        <v>11</v>
      </c>
      <c r="C37" s="291">
        <f t="shared" ca="1" si="3"/>
        <v>11</v>
      </c>
      <c r="D37" s="291">
        <f t="shared" ca="1" si="3"/>
        <v>11</v>
      </c>
      <c r="E37" s="291">
        <f t="shared" ca="1" si="3"/>
        <v>11</v>
      </c>
      <c r="F37" s="291">
        <f t="shared" ca="1" si="3"/>
        <v>11</v>
      </c>
      <c r="G37" s="291">
        <f t="shared" ca="1" si="3"/>
        <v>11</v>
      </c>
      <c r="H37" s="291">
        <f t="shared" ca="1" si="3"/>
        <v>11</v>
      </c>
      <c r="I37" s="291">
        <f t="shared" ca="1" si="3"/>
        <v>11</v>
      </c>
      <c r="J37" s="291">
        <f t="shared" ca="1" si="3"/>
        <v>11</v>
      </c>
      <c r="K37" s="291">
        <f t="shared" ca="1" si="3"/>
        <v>11</v>
      </c>
      <c r="L37" s="291">
        <f t="shared" ca="1" si="3"/>
        <v>11</v>
      </c>
      <c r="M37" s="292">
        <f ca="1">COUNTIF(Teams!$4:$20,A37)</f>
        <v>11</v>
      </c>
      <c r="N37" s="293">
        <f ca="1">VLOOKUP(A37,Score!B:Z,25,0)</f>
        <v>503.12241934377164</v>
      </c>
    </row>
    <row r="38" spans="1:14" s="296" customFormat="1">
      <c r="A38" s="295" t="s">
        <v>85</v>
      </c>
      <c r="B38" s="291">
        <f t="shared" ca="1" si="3"/>
        <v>11</v>
      </c>
      <c r="C38" s="291">
        <f t="shared" ca="1" si="3"/>
        <v>11</v>
      </c>
      <c r="D38" s="291">
        <f t="shared" ca="1" si="3"/>
        <v>11</v>
      </c>
      <c r="E38" s="291">
        <f t="shared" ca="1" si="3"/>
        <v>11</v>
      </c>
      <c r="F38" s="291">
        <f t="shared" ca="1" si="3"/>
        <v>11</v>
      </c>
      <c r="G38" s="291">
        <f t="shared" ca="1" si="3"/>
        <v>11</v>
      </c>
      <c r="H38" s="291">
        <f t="shared" ca="1" si="3"/>
        <v>11</v>
      </c>
      <c r="I38" s="291">
        <f t="shared" ca="1" si="3"/>
        <v>11</v>
      </c>
      <c r="J38" s="291">
        <f t="shared" ca="1" si="3"/>
        <v>11</v>
      </c>
      <c r="K38" s="291">
        <f t="shared" ca="1" si="3"/>
        <v>11</v>
      </c>
      <c r="L38" s="291">
        <f t="shared" ca="1" si="3"/>
        <v>11</v>
      </c>
      <c r="M38" s="292">
        <f ca="1">COUNTIF(Teams!$4:$20,A38)</f>
        <v>11</v>
      </c>
      <c r="N38" s="293">
        <f ca="1">VLOOKUP(A38,Score!B:Z,25,0)</f>
        <v>187.06317957119913</v>
      </c>
    </row>
    <row r="39" spans="1:14" s="296" customFormat="1">
      <c r="A39" s="295" t="s">
        <v>108</v>
      </c>
      <c r="B39" s="291">
        <f t="shared" ca="1" si="3"/>
        <v>11</v>
      </c>
      <c r="C39" s="291">
        <f t="shared" ca="1" si="3"/>
        <v>11</v>
      </c>
      <c r="D39" s="291">
        <f t="shared" ca="1" si="3"/>
        <v>11</v>
      </c>
      <c r="E39" s="291">
        <f t="shared" ca="1" si="3"/>
        <v>11</v>
      </c>
      <c r="F39" s="291">
        <f t="shared" ca="1" si="3"/>
        <v>11</v>
      </c>
      <c r="G39" s="291">
        <f t="shared" ca="1" si="3"/>
        <v>11</v>
      </c>
      <c r="H39" s="291">
        <f t="shared" ca="1" si="3"/>
        <v>11</v>
      </c>
      <c r="I39" s="291">
        <f t="shared" ca="1" si="3"/>
        <v>11</v>
      </c>
      <c r="J39" s="291">
        <f t="shared" ca="1" si="3"/>
        <v>11</v>
      </c>
      <c r="K39" s="291">
        <f t="shared" ca="1" si="3"/>
        <v>11</v>
      </c>
      <c r="L39" s="291">
        <f t="shared" ca="1" si="3"/>
        <v>11</v>
      </c>
      <c r="M39" s="292">
        <f ca="1">COUNTIF(Teams!$4:$20,A39)</f>
        <v>11</v>
      </c>
      <c r="N39" s="293">
        <f ca="1">VLOOKUP(A39,Score!B:Z,25,0)</f>
        <v>218.03639114680371</v>
      </c>
    </row>
    <row r="40" spans="1:14" s="320" customFormat="1">
      <c r="A40" s="316" t="s">
        <v>106</v>
      </c>
      <c r="B40" s="298">
        <f t="shared" ca="1" si="3"/>
        <v>11</v>
      </c>
      <c r="C40" s="298">
        <f t="shared" ca="1" si="3"/>
        <v>11</v>
      </c>
      <c r="D40" s="298">
        <f t="shared" ca="1" si="3"/>
        <v>11</v>
      </c>
      <c r="E40" s="298">
        <f t="shared" ca="1" si="3"/>
        <v>11</v>
      </c>
      <c r="F40" s="298">
        <f t="shared" ca="1" si="3"/>
        <v>11</v>
      </c>
      <c r="G40" s="298">
        <f t="shared" ca="1" si="3"/>
        <v>11</v>
      </c>
      <c r="H40" s="298">
        <f t="shared" ca="1" si="3"/>
        <v>11</v>
      </c>
      <c r="I40" s="298">
        <f t="shared" ca="1" si="3"/>
        <v>11</v>
      </c>
      <c r="J40" s="298">
        <f t="shared" ca="1" si="3"/>
        <v>11</v>
      </c>
      <c r="K40" s="298">
        <f t="shared" ca="1" si="3"/>
        <v>11</v>
      </c>
      <c r="L40" s="298">
        <f t="shared" ca="1" si="3"/>
        <v>11</v>
      </c>
      <c r="M40" s="318">
        <f ca="1">COUNTIF(Teams!$4:$20,A40)</f>
        <v>11</v>
      </c>
      <c r="N40" s="319">
        <f ca="1">VLOOKUP(A40,Score!B:Z,25,0)</f>
        <v>368.0432292140211</v>
      </c>
    </row>
    <row r="41" spans="1:14" s="325" customFormat="1" hidden="1">
      <c r="A41" s="321"/>
      <c r="B41" s="322" t="str">
        <f t="shared" ca="1" si="3"/>
        <v/>
      </c>
      <c r="C41" s="322" t="str">
        <f t="shared" ca="1" si="3"/>
        <v/>
      </c>
      <c r="D41" s="322" t="str">
        <f t="shared" ca="1" si="3"/>
        <v/>
      </c>
      <c r="E41" s="322" t="str">
        <f t="shared" ca="1" si="3"/>
        <v/>
      </c>
      <c r="F41" s="322" t="str">
        <f t="shared" ca="1" si="3"/>
        <v/>
      </c>
      <c r="G41" s="322" t="str">
        <f t="shared" ca="1" si="3"/>
        <v/>
      </c>
      <c r="H41" s="322" t="str">
        <f t="shared" ca="1" si="3"/>
        <v/>
      </c>
      <c r="I41" s="322" t="str">
        <f t="shared" ca="1" si="3"/>
        <v/>
      </c>
      <c r="J41" s="322" t="str">
        <f t="shared" ca="1" si="3"/>
        <v/>
      </c>
      <c r="K41" s="322" t="str">
        <f t="shared" ca="1" si="3"/>
        <v/>
      </c>
      <c r="L41" s="322" t="str">
        <f t="shared" ca="1" si="3"/>
        <v/>
      </c>
      <c r="M41" s="323">
        <f ca="1">COUNTIF(Teams!$4:$20,A41)</f>
        <v>0</v>
      </c>
      <c r="N41" s="324" t="e">
        <f>VLOOKUP(A41,Score!B:Z,25,0)</f>
        <v>#N/A</v>
      </c>
    </row>
    <row r="42" spans="1:14" s="296" customFormat="1" hidden="1">
      <c r="A42" s="290"/>
      <c r="B42" s="291" t="str">
        <f t="shared" ca="1" si="3"/>
        <v/>
      </c>
      <c r="C42" s="291" t="str">
        <f t="shared" ca="1" si="3"/>
        <v/>
      </c>
      <c r="D42" s="291" t="str">
        <f t="shared" ca="1" si="3"/>
        <v/>
      </c>
      <c r="E42" s="291" t="str">
        <f t="shared" ca="1" si="3"/>
        <v/>
      </c>
      <c r="F42" s="291" t="str">
        <f t="shared" ca="1" si="3"/>
        <v/>
      </c>
      <c r="G42" s="291" t="str">
        <f t="shared" ca="1" si="3"/>
        <v/>
      </c>
      <c r="H42" s="291" t="str">
        <f t="shared" ca="1" si="3"/>
        <v/>
      </c>
      <c r="I42" s="291" t="str">
        <f t="shared" ca="1" si="3"/>
        <v/>
      </c>
      <c r="J42" s="291" t="str">
        <f t="shared" ca="1" si="3"/>
        <v/>
      </c>
      <c r="K42" s="291" t="str">
        <f t="shared" ca="1" si="3"/>
        <v/>
      </c>
      <c r="L42" s="291" t="str">
        <f t="shared" ca="1" si="3"/>
        <v/>
      </c>
      <c r="M42" s="292">
        <f ca="1">COUNTIF(Teams!$4:$20,A42)</f>
        <v>0</v>
      </c>
      <c r="N42" s="293" t="e">
        <f>VLOOKUP(A42,Score!B:Z,25,0)</f>
        <v>#N/A</v>
      </c>
    </row>
    <row r="43" spans="1:14" hidden="1">
      <c r="A43" s="313"/>
      <c r="B43" s="314" t="str">
        <f t="shared" ca="1" si="3"/>
        <v/>
      </c>
      <c r="C43" s="314" t="str">
        <f t="shared" ca="1" si="3"/>
        <v/>
      </c>
      <c r="D43" s="314" t="str">
        <f t="shared" ca="1" si="3"/>
        <v/>
      </c>
      <c r="E43" s="314" t="str">
        <f t="shared" ca="1" si="3"/>
        <v/>
      </c>
      <c r="F43" s="314" t="str">
        <f t="shared" ca="1" si="3"/>
        <v/>
      </c>
      <c r="G43" s="314" t="str">
        <f t="shared" ca="1" si="3"/>
        <v/>
      </c>
      <c r="H43" s="314" t="str">
        <f t="shared" ca="1" si="3"/>
        <v/>
      </c>
      <c r="I43" s="314" t="str">
        <f t="shared" ca="1" si="3"/>
        <v/>
      </c>
      <c r="J43" s="314" t="str">
        <f t="shared" ca="1" si="3"/>
        <v/>
      </c>
      <c r="K43" s="314" t="str">
        <f t="shared" ca="1" si="3"/>
        <v/>
      </c>
      <c r="L43" s="314" t="str">
        <f t="shared" ca="1" si="3"/>
        <v/>
      </c>
      <c r="M43" s="326">
        <f ca="1">COUNTIF(Teams!$4:$20,A43)</f>
        <v>0</v>
      </c>
      <c r="N43" s="293" t="e">
        <f>VLOOKUP(A43,Score!B:Z,25,0)</f>
        <v>#N/A</v>
      </c>
    </row>
    <row r="44" spans="1:14" hidden="1">
      <c r="A44" s="295"/>
      <c r="B44" s="291" t="str">
        <f t="shared" ca="1" si="3"/>
        <v/>
      </c>
      <c r="C44" s="291" t="str">
        <f t="shared" ca="1" si="3"/>
        <v/>
      </c>
      <c r="D44" s="291" t="str">
        <f t="shared" ca="1" si="3"/>
        <v/>
      </c>
      <c r="E44" s="291" t="str">
        <f t="shared" ca="1" si="3"/>
        <v/>
      </c>
      <c r="F44" s="291" t="str">
        <f t="shared" ca="1" si="3"/>
        <v/>
      </c>
      <c r="G44" s="291" t="str">
        <f t="shared" ca="1" si="3"/>
        <v/>
      </c>
      <c r="H44" s="291" t="str">
        <f t="shared" ca="1" si="3"/>
        <v/>
      </c>
      <c r="I44" s="291" t="str">
        <f t="shared" ca="1" si="3"/>
        <v/>
      </c>
      <c r="J44" s="291" t="str">
        <f t="shared" ca="1" si="3"/>
        <v/>
      </c>
      <c r="K44" s="291" t="str">
        <f t="shared" ca="1" si="3"/>
        <v/>
      </c>
      <c r="L44" s="291" t="str">
        <f t="shared" ca="1" si="3"/>
        <v/>
      </c>
      <c r="M44" s="292">
        <f ca="1">COUNTIF(Teams!$4:$20,A44)</f>
        <v>0</v>
      </c>
      <c r="N44" s="293" t="e">
        <f>VLOOKUP(A44,Score!B:Z,25,0)</f>
        <v>#N/A</v>
      </c>
    </row>
    <row r="45" spans="1:14" hidden="1">
      <c r="A45" s="290"/>
      <c r="B45" s="291" t="str">
        <f t="shared" ca="1" si="3"/>
        <v/>
      </c>
      <c r="C45" s="291" t="str">
        <f t="shared" ca="1" si="3"/>
        <v/>
      </c>
      <c r="D45" s="291" t="str">
        <f t="shared" ca="1" si="3"/>
        <v/>
      </c>
      <c r="E45" s="291" t="str">
        <f t="shared" ca="1" si="3"/>
        <v/>
      </c>
      <c r="F45" s="291" t="str">
        <f t="shared" ca="1" si="3"/>
        <v/>
      </c>
      <c r="G45" s="291" t="str">
        <f t="shared" ca="1" si="3"/>
        <v/>
      </c>
      <c r="H45" s="291" t="str">
        <f t="shared" ca="1" si="3"/>
        <v/>
      </c>
      <c r="I45" s="291" t="str">
        <f t="shared" ca="1" si="3"/>
        <v/>
      </c>
      <c r="J45" s="291" t="str">
        <f t="shared" ca="1" si="3"/>
        <v/>
      </c>
      <c r="K45" s="291" t="str">
        <f t="shared" ca="1" si="3"/>
        <v/>
      </c>
      <c r="L45" s="291" t="str">
        <f t="shared" ca="1" si="3"/>
        <v/>
      </c>
      <c r="M45" s="292">
        <f ca="1">COUNTIF(Teams!$4:$20,A45)</f>
        <v>0</v>
      </c>
      <c r="N45" s="293" t="e">
        <f>VLOOKUP(A45,Score!B:Z,25,0)</f>
        <v>#N/A</v>
      </c>
    </row>
    <row r="46" spans="1:14">
      <c r="B46" s="327" t="str">
        <f t="shared" ref="B46:L46" ca="1" si="4">IF(B52&lt;&gt;17,"Onvolledig","")</f>
        <v/>
      </c>
      <c r="C46" s="327" t="str">
        <f t="shared" ca="1" si="4"/>
        <v/>
      </c>
      <c r="D46" s="327" t="str">
        <f t="shared" ca="1" si="4"/>
        <v/>
      </c>
      <c r="E46" s="327" t="str">
        <f t="shared" ca="1" si="4"/>
        <v/>
      </c>
      <c r="F46" s="327" t="str">
        <f t="shared" ca="1" si="4"/>
        <v/>
      </c>
      <c r="G46" s="327" t="str">
        <f t="shared" ca="1" si="4"/>
        <v/>
      </c>
      <c r="H46" s="327" t="str">
        <f t="shared" ca="1" si="4"/>
        <v/>
      </c>
      <c r="I46" s="327" t="str">
        <f t="shared" ca="1" si="4"/>
        <v/>
      </c>
      <c r="J46" s="327" t="str">
        <f t="shared" ca="1" si="4"/>
        <v/>
      </c>
      <c r="K46" s="327" t="str">
        <f t="shared" ca="1" si="4"/>
        <v/>
      </c>
      <c r="L46" s="327" t="str">
        <f t="shared" ca="1" si="4"/>
        <v/>
      </c>
    </row>
    <row r="47" spans="1:14">
      <c r="A47" s="289" t="s">
        <v>3</v>
      </c>
      <c r="B47" s="328">
        <f t="shared" ref="B47:L47" ca="1" si="5">SUM(B1:B45)</f>
        <v>142</v>
      </c>
      <c r="C47" s="328">
        <f t="shared" ca="1" si="5"/>
        <v>140</v>
      </c>
      <c r="D47" s="328">
        <f t="shared" ca="1" si="5"/>
        <v>138</v>
      </c>
      <c r="E47" s="328">
        <f t="shared" ca="1" si="5"/>
        <v>137</v>
      </c>
      <c r="F47" s="328">
        <f t="shared" ca="1" si="5"/>
        <v>134</v>
      </c>
      <c r="G47" s="328">
        <f t="shared" ca="1" si="5"/>
        <v>134</v>
      </c>
      <c r="H47" s="328">
        <f t="shared" ca="1" si="5"/>
        <v>132</v>
      </c>
      <c r="I47" s="328">
        <f t="shared" ca="1" si="5"/>
        <v>131</v>
      </c>
      <c r="J47" s="328">
        <f t="shared" ca="1" si="5"/>
        <v>131</v>
      </c>
      <c r="K47" s="328">
        <f t="shared" ca="1" si="5"/>
        <v>123</v>
      </c>
      <c r="L47" s="328">
        <f t="shared" ca="1" si="5"/>
        <v>113</v>
      </c>
    </row>
    <row r="48" spans="1:14">
      <c r="A48" s="289" t="s">
        <v>3</v>
      </c>
      <c r="B48" s="329">
        <f t="shared" ref="B48:L48" ca="1" si="6">B47/SUM($B47:$L47)</f>
        <v>9.7594501718213059E-2</v>
      </c>
      <c r="C48" s="329">
        <f t="shared" ca="1" si="6"/>
        <v>9.6219931271477668E-2</v>
      </c>
      <c r="D48" s="329">
        <f t="shared" ca="1" si="6"/>
        <v>9.4845360824742264E-2</v>
      </c>
      <c r="E48" s="329">
        <f t="shared" ca="1" si="6"/>
        <v>9.4158075601374569E-2</v>
      </c>
      <c r="F48" s="329">
        <f t="shared" ca="1" si="6"/>
        <v>9.2096219931271484E-2</v>
      </c>
      <c r="G48" s="329">
        <f t="shared" ca="1" si="6"/>
        <v>9.2096219931271484E-2</v>
      </c>
      <c r="H48" s="329">
        <f t="shared" ca="1" si="6"/>
        <v>9.0721649484536079E-2</v>
      </c>
      <c r="I48" s="329">
        <f t="shared" ca="1" si="6"/>
        <v>9.0034364261168384E-2</v>
      </c>
      <c r="J48" s="329">
        <f t="shared" ca="1" si="6"/>
        <v>9.0034364261168384E-2</v>
      </c>
      <c r="K48" s="329">
        <f t="shared" ca="1" si="6"/>
        <v>8.4536082474226809E-2</v>
      </c>
      <c r="L48" s="329">
        <f t="shared" ca="1" si="6"/>
        <v>7.766323024054983E-2</v>
      </c>
    </row>
    <row r="49" spans="1:12">
      <c r="A49" s="289" t="s">
        <v>3</v>
      </c>
      <c r="B49" s="329">
        <f t="shared" ref="B49:L49" ca="1" si="7">1/(B48*$D$50)</f>
        <v>0.93149807938540341</v>
      </c>
      <c r="C49" s="329">
        <f t="shared" ca="1" si="7"/>
        <v>0.94480519480519476</v>
      </c>
      <c r="D49" s="329">
        <f t="shared" ca="1" si="7"/>
        <v>0.95849802371541515</v>
      </c>
      <c r="E49" s="329">
        <f t="shared" ca="1" si="7"/>
        <v>0.96549435965494368</v>
      </c>
      <c r="F49" s="329">
        <f t="shared" ca="1" si="7"/>
        <v>0.98710990502035278</v>
      </c>
      <c r="G49" s="329">
        <f t="shared" ca="1" si="7"/>
        <v>0.98710990502035278</v>
      </c>
      <c r="H49" s="329">
        <f t="shared" ca="1" si="7"/>
        <v>1.0020661157024793</v>
      </c>
      <c r="I49" s="329">
        <f t="shared" ca="1" si="7"/>
        <v>1.0097154753643303</v>
      </c>
      <c r="J49" s="329">
        <f t="shared" ca="1" si="7"/>
        <v>1.0097154753643303</v>
      </c>
      <c r="K49" s="329">
        <f t="shared" ca="1" si="7"/>
        <v>1.0753880266075388</v>
      </c>
      <c r="L49" s="329">
        <f t="shared" ca="1" si="7"/>
        <v>1.1705551086082058</v>
      </c>
    </row>
    <row r="50" spans="1:12">
      <c r="A50" s="296" t="s">
        <v>9</v>
      </c>
      <c r="B50" s="143"/>
      <c r="C50" s="143"/>
      <c r="D50" s="330">
        <f>COUNTA(B1:L1)</f>
        <v>11</v>
      </c>
      <c r="E50" s="143"/>
      <c r="F50" s="143"/>
      <c r="G50" s="143"/>
      <c r="H50" s="143"/>
      <c r="I50" s="330"/>
      <c r="J50" s="143"/>
      <c r="K50" s="143"/>
      <c r="L50" s="143"/>
    </row>
    <row r="51" spans="1:12">
      <c r="A51" s="296"/>
      <c r="B51" s="143"/>
      <c r="C51" s="143"/>
      <c r="D51" s="143"/>
      <c r="E51" s="143"/>
      <c r="F51" s="143"/>
      <c r="G51" s="143"/>
      <c r="H51" s="143"/>
      <c r="I51" s="143"/>
      <c r="J51" s="143"/>
      <c r="K51" s="143"/>
      <c r="L51" s="143"/>
    </row>
    <row r="52" spans="1:12">
      <c r="A52" s="296"/>
      <c r="B52" s="331">
        <f t="shared" ref="B52:L52" ca="1" si="8">COUNT(B2:B45)</f>
        <v>17</v>
      </c>
      <c r="C52" s="331">
        <f t="shared" ca="1" si="8"/>
        <v>17</v>
      </c>
      <c r="D52" s="331">
        <f t="shared" ca="1" si="8"/>
        <v>17</v>
      </c>
      <c r="E52" s="331">
        <f t="shared" ca="1" si="8"/>
        <v>17</v>
      </c>
      <c r="F52" s="331">
        <f t="shared" ca="1" si="8"/>
        <v>17</v>
      </c>
      <c r="G52" s="331">
        <f t="shared" ca="1" si="8"/>
        <v>17</v>
      </c>
      <c r="H52" s="331">
        <f t="shared" ca="1" si="8"/>
        <v>17</v>
      </c>
      <c r="I52" s="331">
        <f t="shared" ca="1" si="8"/>
        <v>17</v>
      </c>
      <c r="J52" s="331">
        <f t="shared" ca="1" si="8"/>
        <v>17</v>
      </c>
      <c r="K52" s="331">
        <f t="shared" ca="1" si="8"/>
        <v>17</v>
      </c>
      <c r="L52" s="331">
        <f t="shared" ca="1" si="8"/>
        <v>17</v>
      </c>
    </row>
    <row r="53" spans="1:12">
      <c r="A53" s="296"/>
      <c r="B53" s="143"/>
      <c r="C53" s="143"/>
      <c r="D53" s="143"/>
      <c r="E53" s="143"/>
      <c r="F53" s="143"/>
      <c r="G53" s="143"/>
      <c r="H53" s="143"/>
      <c r="I53" s="143"/>
      <c r="J53" s="143"/>
      <c r="K53" s="143"/>
      <c r="L53" s="143"/>
    </row>
    <row r="54" spans="1:12">
      <c r="A54" s="296"/>
      <c r="B54" s="141"/>
      <c r="C54" s="141"/>
      <c r="D54" s="141"/>
      <c r="E54" s="141"/>
      <c r="F54" s="141"/>
      <c r="G54" s="141"/>
      <c r="H54" s="141"/>
      <c r="I54" s="141"/>
      <c r="J54" s="141"/>
      <c r="K54" s="141"/>
      <c r="L54" s="141"/>
    </row>
    <row r="55" spans="1:12">
      <c r="A55" s="296"/>
      <c r="B55" s="143"/>
      <c r="C55" s="143"/>
      <c r="D55" s="143"/>
      <c r="E55" s="143"/>
      <c r="F55" s="143"/>
      <c r="G55" s="143"/>
      <c r="H55" s="143"/>
      <c r="I55" s="143"/>
      <c r="J55" s="143"/>
      <c r="K55" s="143"/>
      <c r="L55" s="143"/>
    </row>
    <row r="56" spans="1:12">
      <c r="A56" s="296"/>
      <c r="B56" s="143"/>
      <c r="C56" s="143"/>
      <c r="D56" s="143"/>
      <c r="E56" s="143"/>
      <c r="F56" s="143"/>
      <c r="G56" s="143"/>
      <c r="H56" s="143"/>
      <c r="I56" s="143"/>
      <c r="J56" s="143"/>
      <c r="K56" s="143"/>
      <c r="L56" s="143"/>
    </row>
    <row r="57" spans="1:12">
      <c r="A57" s="296"/>
      <c r="B57" s="143"/>
      <c r="C57" s="143"/>
      <c r="D57" s="143"/>
      <c r="E57" s="143"/>
      <c r="F57" s="143"/>
      <c r="G57" s="143"/>
      <c r="H57" s="143"/>
      <c r="I57" s="143"/>
      <c r="J57" s="143"/>
      <c r="K57" s="143"/>
      <c r="L57" s="143"/>
    </row>
    <row r="58" spans="1:12">
      <c r="A58" s="296"/>
      <c r="B58" s="143"/>
      <c r="C58" s="143"/>
      <c r="D58" s="143"/>
      <c r="E58" s="143"/>
      <c r="F58" s="143"/>
      <c r="G58" s="143"/>
      <c r="H58" s="143"/>
      <c r="I58" s="143"/>
      <c r="J58" s="143"/>
      <c r="K58" s="143"/>
      <c r="L58" s="143"/>
    </row>
    <row r="59" spans="1:12">
      <c r="A59" s="296"/>
      <c r="B59" s="143"/>
      <c r="C59" s="143"/>
      <c r="D59" s="143"/>
      <c r="E59" s="143"/>
      <c r="F59" s="143"/>
      <c r="G59" s="143"/>
      <c r="H59" s="143"/>
      <c r="I59" s="143"/>
      <c r="J59" s="143"/>
      <c r="K59" s="143"/>
      <c r="L59" s="143"/>
    </row>
    <row r="60" spans="1:12">
      <c r="A60" s="296"/>
      <c r="B60" s="143"/>
      <c r="C60" s="143"/>
      <c r="D60" s="143"/>
      <c r="E60" s="143"/>
      <c r="F60" s="143"/>
      <c r="G60" s="143"/>
      <c r="H60" s="143"/>
      <c r="I60" s="143"/>
      <c r="J60" s="143"/>
      <c r="K60" s="143"/>
      <c r="L60" s="143"/>
    </row>
    <row r="61" spans="1:12">
      <c r="A61" s="296"/>
      <c r="B61" s="143"/>
      <c r="C61" s="143"/>
      <c r="D61" s="143"/>
      <c r="E61" s="143"/>
      <c r="F61" s="143"/>
      <c r="G61" s="143"/>
      <c r="H61" s="143"/>
      <c r="I61" s="143"/>
      <c r="J61" s="143"/>
      <c r="K61" s="143"/>
      <c r="L61" s="143"/>
    </row>
    <row r="62" spans="1:12">
      <c r="A62" s="296"/>
      <c r="B62" s="143"/>
      <c r="C62" s="143"/>
      <c r="D62" s="143"/>
      <c r="E62" s="143"/>
      <c r="F62" s="143"/>
      <c r="G62" s="143"/>
      <c r="H62" s="143"/>
      <c r="I62" s="143"/>
      <c r="J62" s="143"/>
      <c r="K62" s="143"/>
      <c r="L62" s="143"/>
    </row>
    <row r="63" spans="1:12">
      <c r="A63" s="296"/>
      <c r="B63" s="143"/>
      <c r="C63" s="143"/>
      <c r="D63" s="143"/>
      <c r="E63" s="143"/>
      <c r="F63" s="143"/>
      <c r="G63" s="143"/>
      <c r="H63" s="143"/>
      <c r="I63" s="143"/>
      <c r="J63" s="143"/>
      <c r="K63" s="143"/>
      <c r="L63" s="143"/>
    </row>
    <row r="64" spans="1:12">
      <c r="A64" s="296"/>
      <c r="B64" s="143"/>
      <c r="C64" s="143"/>
      <c r="D64" s="143"/>
      <c r="E64" s="143"/>
      <c r="F64" s="143"/>
      <c r="G64" s="143"/>
      <c r="H64" s="143"/>
      <c r="I64" s="143"/>
      <c r="J64" s="143"/>
      <c r="K64" s="143"/>
      <c r="L64" s="143"/>
    </row>
    <row r="65" spans="1:12">
      <c r="A65" s="296"/>
      <c r="B65" s="143"/>
      <c r="C65" s="143"/>
      <c r="D65" s="143"/>
      <c r="E65" s="143"/>
      <c r="F65" s="143"/>
      <c r="G65" s="143"/>
      <c r="H65" s="143"/>
      <c r="I65" s="143"/>
      <c r="J65" s="143"/>
      <c r="K65" s="143"/>
      <c r="L65" s="143"/>
    </row>
    <row r="66" spans="1:12">
      <c r="A66" s="296"/>
      <c r="B66" s="143"/>
      <c r="C66" s="143"/>
      <c r="D66" s="143"/>
      <c r="E66" s="143"/>
      <c r="F66" s="143"/>
      <c r="G66" s="143"/>
      <c r="H66" s="143"/>
      <c r="I66" s="143"/>
      <c r="J66" s="143"/>
      <c r="K66" s="143"/>
      <c r="L66" s="143"/>
    </row>
    <row r="67" spans="1:12">
      <c r="A67" s="296"/>
      <c r="B67" s="143"/>
      <c r="C67" s="143"/>
      <c r="D67" s="143"/>
      <c r="E67" s="143"/>
      <c r="F67" s="143"/>
      <c r="G67" s="143"/>
      <c r="H67" s="143"/>
      <c r="I67" s="143"/>
      <c r="J67" s="143"/>
      <c r="K67" s="143"/>
      <c r="L67" s="143"/>
    </row>
    <row r="68" spans="1:12">
      <c r="A68" s="296"/>
      <c r="B68" s="143"/>
      <c r="C68" s="143"/>
      <c r="D68" s="143"/>
      <c r="E68" s="143"/>
      <c r="F68" s="143"/>
      <c r="G68" s="143"/>
      <c r="H68" s="143"/>
      <c r="I68" s="143"/>
      <c r="J68" s="143"/>
      <c r="K68" s="143"/>
      <c r="L68" s="143"/>
    </row>
    <row r="69" spans="1:12">
      <c r="A69" s="296"/>
      <c r="B69" s="143"/>
      <c r="C69" s="143"/>
      <c r="D69" s="143"/>
      <c r="E69" s="143"/>
      <c r="F69" s="143"/>
      <c r="G69" s="143"/>
      <c r="H69" s="143"/>
      <c r="I69" s="143"/>
      <c r="J69" s="143"/>
      <c r="K69" s="143"/>
      <c r="L69" s="143"/>
    </row>
    <row r="70" spans="1:12">
      <c r="A70" s="296"/>
      <c r="B70" s="143"/>
      <c r="C70" s="143"/>
      <c r="D70" s="143"/>
      <c r="E70" s="143"/>
      <c r="F70" s="143"/>
      <c r="G70" s="143"/>
      <c r="H70" s="143"/>
      <c r="I70" s="143"/>
      <c r="J70" s="143"/>
      <c r="K70" s="143"/>
      <c r="L70" s="143"/>
    </row>
    <row r="71" spans="1:12">
      <c r="A71" s="296"/>
      <c r="B71" s="143"/>
      <c r="C71" s="143"/>
      <c r="D71" s="143"/>
      <c r="E71" s="143"/>
      <c r="F71" s="143"/>
      <c r="G71" s="143"/>
      <c r="H71" s="143"/>
      <c r="I71" s="143"/>
      <c r="J71" s="143"/>
      <c r="K71" s="143"/>
      <c r="L71" s="143"/>
    </row>
    <row r="72" spans="1:12">
      <c r="A72" s="296"/>
      <c r="B72" s="143"/>
      <c r="C72" s="143"/>
      <c r="D72" s="143"/>
      <c r="E72" s="143"/>
      <c r="F72" s="143"/>
      <c r="G72" s="143"/>
      <c r="H72" s="143"/>
      <c r="I72" s="143"/>
      <c r="J72" s="143"/>
      <c r="K72" s="143"/>
      <c r="L72" s="143"/>
    </row>
    <row r="73" spans="1:12">
      <c r="A73" s="296"/>
      <c r="B73" s="143"/>
      <c r="C73" s="143"/>
      <c r="D73" s="143"/>
      <c r="E73" s="143"/>
      <c r="F73" s="143"/>
      <c r="G73" s="143"/>
      <c r="H73" s="143"/>
      <c r="I73" s="143"/>
      <c r="J73" s="143"/>
      <c r="K73" s="143"/>
      <c r="L73" s="143"/>
    </row>
    <row r="74" spans="1:12">
      <c r="A74" s="296"/>
      <c r="B74" s="143"/>
      <c r="C74" s="143"/>
      <c r="D74" s="143"/>
      <c r="E74" s="143"/>
      <c r="F74" s="143"/>
      <c r="G74" s="143"/>
      <c r="H74" s="143"/>
      <c r="I74" s="143"/>
      <c r="J74" s="143"/>
      <c r="K74" s="143"/>
      <c r="L74" s="143"/>
    </row>
    <row r="75" spans="1:12">
      <c r="A75" s="296"/>
      <c r="B75" s="143"/>
      <c r="C75" s="143"/>
      <c r="D75" s="143"/>
      <c r="E75" s="143"/>
      <c r="F75" s="143"/>
      <c r="G75" s="143"/>
      <c r="H75" s="143"/>
      <c r="I75" s="143"/>
      <c r="J75" s="143"/>
      <c r="K75" s="143"/>
      <c r="L75" s="143"/>
    </row>
    <row r="76" spans="1:12">
      <c r="A76" s="296"/>
      <c r="B76" s="143"/>
      <c r="C76" s="143"/>
      <c r="D76" s="143"/>
      <c r="E76" s="143"/>
      <c r="F76" s="143"/>
      <c r="G76" s="143"/>
      <c r="H76" s="143"/>
      <c r="I76" s="143"/>
      <c r="J76" s="143"/>
      <c r="K76" s="143"/>
      <c r="L76" s="143"/>
    </row>
    <row r="77" spans="1:12">
      <c r="A77" s="296"/>
      <c r="B77" s="143"/>
      <c r="C77" s="143"/>
      <c r="D77" s="143"/>
      <c r="E77" s="143"/>
      <c r="F77" s="143"/>
      <c r="G77" s="143"/>
      <c r="H77" s="143"/>
      <c r="I77" s="143"/>
      <c r="J77" s="143"/>
      <c r="K77" s="143"/>
      <c r="L77" s="143"/>
    </row>
    <row r="78" spans="1:12">
      <c r="A78" s="296"/>
      <c r="B78" s="143"/>
      <c r="C78" s="143"/>
      <c r="D78" s="143"/>
      <c r="E78" s="143"/>
      <c r="F78" s="143"/>
      <c r="G78" s="143"/>
      <c r="H78" s="143"/>
      <c r="I78" s="143"/>
      <c r="J78" s="143"/>
      <c r="K78" s="143"/>
      <c r="L78" s="143"/>
    </row>
    <row r="79" spans="1:12">
      <c r="A79" s="296"/>
      <c r="B79" s="143"/>
      <c r="C79" s="143"/>
      <c r="D79" s="143"/>
      <c r="E79" s="143"/>
      <c r="F79" s="143"/>
      <c r="G79" s="143"/>
      <c r="H79" s="143"/>
      <c r="I79" s="143"/>
      <c r="J79" s="143"/>
      <c r="K79" s="143"/>
      <c r="L79" s="143"/>
    </row>
    <row r="80" spans="1:12">
      <c r="A80" s="296"/>
      <c r="B80" s="143"/>
      <c r="C80" s="143"/>
      <c r="D80" s="143"/>
      <c r="E80" s="143"/>
      <c r="F80" s="143"/>
      <c r="G80" s="143"/>
      <c r="H80" s="143"/>
      <c r="I80" s="143"/>
      <c r="J80" s="143"/>
      <c r="K80" s="143"/>
      <c r="L80" s="143"/>
    </row>
    <row r="81" spans="1:12">
      <c r="A81" s="296"/>
      <c r="B81" s="143"/>
      <c r="C81" s="143"/>
      <c r="D81" s="143"/>
      <c r="E81" s="143"/>
      <c r="F81" s="143"/>
      <c r="G81" s="143"/>
      <c r="H81" s="143"/>
      <c r="I81" s="143"/>
      <c r="J81" s="143"/>
      <c r="K81" s="143"/>
      <c r="L81" s="143"/>
    </row>
    <row r="82" spans="1:12">
      <c r="A82" s="296"/>
      <c r="B82" s="143"/>
      <c r="C82" s="143"/>
      <c r="D82" s="143"/>
      <c r="E82" s="143"/>
      <c r="F82" s="143"/>
      <c r="G82" s="143"/>
      <c r="H82" s="143"/>
      <c r="I82" s="143"/>
      <c r="J82" s="143"/>
      <c r="K82" s="143"/>
      <c r="L82" s="143"/>
    </row>
    <row r="83" spans="1:12">
      <c r="A83" s="296"/>
      <c r="B83" s="143"/>
      <c r="C83" s="143"/>
      <c r="D83" s="143"/>
      <c r="E83" s="143"/>
      <c r="F83" s="143"/>
      <c r="G83" s="143"/>
      <c r="H83" s="143"/>
      <c r="I83" s="143"/>
      <c r="J83" s="143"/>
      <c r="K83" s="143"/>
      <c r="L83" s="143"/>
    </row>
    <row r="84" spans="1:12">
      <c r="A84" s="296"/>
      <c r="B84" s="143"/>
      <c r="C84" s="143"/>
      <c r="D84" s="143"/>
      <c r="E84" s="143"/>
      <c r="F84" s="143"/>
      <c r="G84" s="143"/>
      <c r="H84" s="143"/>
      <c r="I84" s="143"/>
      <c r="J84" s="143"/>
      <c r="K84" s="143"/>
      <c r="L84" s="143"/>
    </row>
    <row r="85" spans="1:12">
      <c r="A85" s="296"/>
      <c r="B85" s="143"/>
      <c r="C85" s="143"/>
      <c r="D85" s="143"/>
      <c r="E85" s="143"/>
      <c r="F85" s="143"/>
      <c r="G85" s="143"/>
      <c r="H85" s="143"/>
      <c r="I85" s="143"/>
      <c r="J85" s="143"/>
      <c r="K85" s="143"/>
      <c r="L85" s="143"/>
    </row>
    <row r="86" spans="1:12">
      <c r="A86" s="296"/>
      <c r="B86" s="143"/>
      <c r="C86" s="143"/>
      <c r="D86" s="143"/>
      <c r="E86" s="143"/>
      <c r="F86" s="143"/>
      <c r="G86" s="143"/>
      <c r="H86" s="143"/>
      <c r="I86" s="143"/>
      <c r="J86" s="143"/>
      <c r="K86" s="143"/>
      <c r="L86" s="143"/>
    </row>
    <row r="87" spans="1:12">
      <c r="A87" s="296"/>
      <c r="B87" s="143"/>
      <c r="C87" s="143"/>
      <c r="D87" s="143"/>
      <c r="E87" s="143"/>
      <c r="F87" s="143"/>
      <c r="G87" s="143"/>
      <c r="H87" s="143"/>
      <c r="I87" s="143"/>
      <c r="J87" s="143"/>
      <c r="K87" s="143"/>
      <c r="L87" s="143"/>
    </row>
    <row r="88" spans="1:12">
      <c r="A88" s="296"/>
      <c r="B88" s="143"/>
      <c r="C88" s="143"/>
      <c r="D88" s="143"/>
      <c r="E88" s="143"/>
      <c r="F88" s="143"/>
      <c r="G88" s="143"/>
      <c r="H88" s="143"/>
      <c r="I88" s="143"/>
      <c r="J88" s="143"/>
      <c r="K88" s="143"/>
      <c r="L88" s="143"/>
    </row>
    <row r="89" spans="1:12">
      <c r="A89" s="296"/>
      <c r="B89" s="143"/>
      <c r="C89" s="143"/>
      <c r="D89" s="143"/>
      <c r="E89" s="143"/>
      <c r="F89" s="143"/>
      <c r="G89" s="143"/>
      <c r="H89" s="143"/>
      <c r="I89" s="143"/>
      <c r="J89" s="143"/>
      <c r="K89" s="143"/>
      <c r="L89" s="143"/>
    </row>
    <row r="90" spans="1:12">
      <c r="A90" s="296"/>
      <c r="B90" s="143"/>
      <c r="C90" s="143"/>
      <c r="D90" s="143"/>
      <c r="E90" s="143"/>
      <c r="F90" s="143"/>
      <c r="G90" s="143"/>
      <c r="H90" s="143"/>
      <c r="I90" s="143"/>
      <c r="J90" s="143"/>
      <c r="K90" s="143"/>
      <c r="L90" s="143"/>
    </row>
    <row r="91" spans="1:12">
      <c r="A91" s="296"/>
      <c r="B91" s="143"/>
      <c r="C91" s="143"/>
      <c r="D91" s="143"/>
      <c r="E91" s="143"/>
      <c r="F91" s="143"/>
      <c r="G91" s="143"/>
      <c r="H91" s="143"/>
      <c r="I91" s="143"/>
      <c r="J91" s="143"/>
      <c r="K91" s="143"/>
      <c r="L91" s="143"/>
    </row>
    <row r="92" spans="1:12">
      <c r="A92" s="296"/>
      <c r="B92" s="143"/>
      <c r="C92" s="143"/>
      <c r="D92" s="143"/>
      <c r="E92" s="143"/>
      <c r="F92" s="143"/>
      <c r="G92" s="143"/>
      <c r="H92" s="143"/>
      <c r="I92" s="143"/>
      <c r="J92" s="143"/>
      <c r="K92" s="143"/>
      <c r="L92" s="143"/>
    </row>
    <row r="93" spans="1:12">
      <c r="A93" s="296"/>
      <c r="B93" s="143"/>
      <c r="C93" s="143"/>
      <c r="D93" s="143"/>
      <c r="E93" s="143"/>
      <c r="F93" s="143"/>
      <c r="G93" s="143"/>
      <c r="H93" s="143"/>
      <c r="I93" s="143"/>
      <c r="J93" s="143"/>
      <c r="K93" s="143"/>
      <c r="L93" s="143"/>
    </row>
    <row r="94" spans="1:12">
      <c r="A94" s="296"/>
      <c r="B94" s="143"/>
      <c r="C94" s="143"/>
      <c r="D94" s="143"/>
      <c r="E94" s="143"/>
      <c r="F94" s="143"/>
      <c r="G94" s="143"/>
      <c r="H94" s="143"/>
      <c r="I94" s="143"/>
      <c r="J94" s="143"/>
      <c r="K94" s="143"/>
      <c r="L94" s="143"/>
    </row>
    <row r="95" spans="1:12">
      <c r="A95" s="296"/>
      <c r="B95" s="143"/>
      <c r="C95" s="143"/>
      <c r="D95" s="143"/>
      <c r="E95" s="143"/>
      <c r="F95" s="143"/>
      <c r="G95" s="143"/>
      <c r="H95" s="143"/>
      <c r="I95" s="143"/>
      <c r="J95" s="143"/>
      <c r="K95" s="143"/>
      <c r="L95" s="143"/>
    </row>
    <row r="96" spans="1:12">
      <c r="A96" s="296"/>
      <c r="B96" s="143"/>
      <c r="C96" s="143"/>
      <c r="D96" s="143"/>
      <c r="E96" s="143"/>
      <c r="F96" s="143"/>
      <c r="G96" s="143"/>
      <c r="H96" s="143"/>
      <c r="I96" s="143"/>
      <c r="J96" s="143"/>
      <c r="K96" s="143"/>
      <c r="L96" s="143"/>
    </row>
    <row r="97" spans="1:12">
      <c r="A97" s="296"/>
      <c r="B97" s="143"/>
      <c r="C97" s="143"/>
      <c r="D97" s="143"/>
      <c r="E97" s="143"/>
      <c r="F97" s="143"/>
      <c r="G97" s="143"/>
      <c r="H97" s="143"/>
      <c r="I97" s="143"/>
      <c r="J97" s="143"/>
      <c r="K97" s="143"/>
      <c r="L97" s="143"/>
    </row>
    <row r="98" spans="1:12">
      <c r="A98" s="296"/>
      <c r="B98" s="143"/>
      <c r="C98" s="143"/>
      <c r="D98" s="143"/>
      <c r="E98" s="143"/>
      <c r="F98" s="143"/>
      <c r="G98" s="143"/>
      <c r="H98" s="143"/>
      <c r="I98" s="143"/>
      <c r="J98" s="143"/>
      <c r="K98" s="143"/>
      <c r="L98" s="143"/>
    </row>
    <row r="99" spans="1:12">
      <c r="A99" s="296"/>
      <c r="B99" s="143"/>
      <c r="C99" s="143"/>
      <c r="D99" s="143"/>
      <c r="E99" s="143"/>
      <c r="F99" s="143"/>
      <c r="G99" s="143"/>
      <c r="H99" s="143"/>
      <c r="I99" s="143"/>
      <c r="J99" s="143"/>
      <c r="K99" s="143"/>
      <c r="L99" s="143"/>
    </row>
    <row r="100" spans="1:12">
      <c r="A100" s="296"/>
      <c r="B100" s="143"/>
      <c r="C100" s="143"/>
      <c r="D100" s="143"/>
      <c r="E100" s="143"/>
      <c r="F100" s="143"/>
      <c r="G100" s="143"/>
      <c r="H100" s="143"/>
      <c r="I100" s="143"/>
      <c r="J100" s="143"/>
      <c r="K100" s="143"/>
      <c r="L100" s="143"/>
    </row>
    <row r="101" spans="1:12">
      <c r="A101" s="296"/>
      <c r="B101" s="143"/>
      <c r="C101" s="143"/>
      <c r="D101" s="143"/>
      <c r="E101" s="143"/>
      <c r="F101" s="143"/>
      <c r="G101" s="143"/>
      <c r="H101" s="143"/>
      <c r="I101" s="143"/>
      <c r="J101" s="143"/>
      <c r="K101" s="143"/>
      <c r="L101" s="143"/>
    </row>
    <row r="102" spans="1:12">
      <c r="A102" s="296"/>
      <c r="B102" s="143"/>
      <c r="C102" s="143"/>
      <c r="D102" s="143"/>
      <c r="E102" s="143"/>
      <c r="F102" s="143"/>
      <c r="G102" s="143"/>
      <c r="H102" s="143"/>
      <c r="I102" s="143"/>
      <c r="J102" s="143"/>
      <c r="K102" s="143"/>
      <c r="L102" s="143"/>
    </row>
    <row r="103" spans="1:12">
      <c r="A103" s="296"/>
      <c r="B103" s="143"/>
      <c r="C103" s="143"/>
      <c r="D103" s="143"/>
      <c r="E103" s="143"/>
      <c r="F103" s="143"/>
      <c r="G103" s="143"/>
      <c r="H103" s="143"/>
      <c r="I103" s="143"/>
      <c r="J103" s="143"/>
      <c r="K103" s="143"/>
      <c r="L103" s="143"/>
    </row>
    <row r="104" spans="1:12">
      <c r="A104" s="296"/>
      <c r="B104" s="143"/>
      <c r="C104" s="143"/>
      <c r="D104" s="143"/>
      <c r="E104" s="143"/>
      <c r="F104" s="143"/>
      <c r="G104" s="143"/>
      <c r="H104" s="143"/>
      <c r="I104" s="143"/>
      <c r="J104" s="143"/>
      <c r="K104" s="143"/>
      <c r="L104" s="143"/>
    </row>
    <row r="105" spans="1:12">
      <c r="A105" s="296"/>
      <c r="B105" s="143"/>
      <c r="C105" s="143"/>
      <c r="D105" s="143"/>
      <c r="E105" s="143"/>
      <c r="F105" s="143"/>
      <c r="G105" s="143"/>
      <c r="H105" s="143"/>
      <c r="I105" s="143"/>
      <c r="J105" s="143"/>
      <c r="K105" s="143"/>
      <c r="L105" s="143"/>
    </row>
    <row r="106" spans="1:12">
      <c r="A106" s="296"/>
      <c r="B106" s="143"/>
      <c r="C106" s="143"/>
      <c r="D106" s="143"/>
      <c r="E106" s="143"/>
      <c r="F106" s="143"/>
      <c r="G106" s="143"/>
      <c r="H106" s="143"/>
      <c r="I106" s="143"/>
      <c r="J106" s="143"/>
      <c r="K106" s="143"/>
      <c r="L106" s="143"/>
    </row>
    <row r="107" spans="1:12">
      <c r="A107" s="296"/>
      <c r="B107" s="143"/>
      <c r="C107" s="143"/>
      <c r="D107" s="143"/>
      <c r="E107" s="143"/>
      <c r="F107" s="143"/>
      <c r="G107" s="143"/>
      <c r="H107" s="143"/>
      <c r="I107" s="143"/>
      <c r="J107" s="143"/>
      <c r="K107" s="143"/>
      <c r="L107" s="143"/>
    </row>
    <row r="108" spans="1:12">
      <c r="A108" s="296"/>
      <c r="B108" s="143"/>
      <c r="C108" s="143"/>
      <c r="D108" s="143"/>
      <c r="E108" s="143"/>
      <c r="F108" s="143"/>
      <c r="G108" s="143"/>
      <c r="H108" s="143"/>
      <c r="I108" s="143"/>
      <c r="J108" s="143"/>
      <c r="K108" s="143"/>
      <c r="L108" s="143"/>
    </row>
    <row r="109" spans="1:12">
      <c r="A109" s="296"/>
      <c r="B109" s="143"/>
      <c r="C109" s="143"/>
      <c r="D109" s="143"/>
      <c r="E109" s="143"/>
      <c r="F109" s="143"/>
      <c r="G109" s="143"/>
      <c r="H109" s="143"/>
      <c r="I109" s="143"/>
      <c r="J109" s="143"/>
      <c r="K109" s="143"/>
      <c r="L109" s="143"/>
    </row>
    <row r="110" spans="1:12">
      <c r="A110" s="296"/>
      <c r="B110" s="143"/>
      <c r="C110" s="143"/>
      <c r="D110" s="143"/>
      <c r="E110" s="143"/>
      <c r="F110" s="143"/>
      <c r="G110" s="143"/>
      <c r="H110" s="143"/>
      <c r="I110" s="143"/>
      <c r="J110" s="143"/>
      <c r="K110" s="143"/>
      <c r="L110" s="143"/>
    </row>
    <row r="111" spans="1:12">
      <c r="A111" s="296"/>
      <c r="B111" s="143"/>
      <c r="C111" s="143"/>
      <c r="D111" s="143"/>
      <c r="E111" s="143"/>
      <c r="F111" s="143"/>
      <c r="G111" s="143"/>
      <c r="H111" s="143"/>
      <c r="I111" s="143"/>
      <c r="J111" s="143"/>
      <c r="K111" s="143"/>
      <c r="L111" s="143"/>
    </row>
    <row r="112" spans="1:12">
      <c r="A112" s="296"/>
      <c r="B112" s="143"/>
      <c r="C112" s="143"/>
      <c r="D112" s="143"/>
      <c r="E112" s="143"/>
      <c r="F112" s="143"/>
      <c r="G112" s="143"/>
      <c r="H112" s="143"/>
      <c r="I112" s="143"/>
      <c r="J112" s="143"/>
      <c r="K112" s="143"/>
      <c r="L112" s="143"/>
    </row>
    <row r="113" spans="1:12">
      <c r="A113" s="296"/>
      <c r="B113" s="143"/>
      <c r="C113" s="143"/>
      <c r="D113" s="143"/>
      <c r="E113" s="143"/>
      <c r="F113" s="143"/>
      <c r="G113" s="143"/>
      <c r="H113" s="143"/>
      <c r="I113" s="143"/>
      <c r="J113" s="143"/>
      <c r="K113" s="143"/>
      <c r="L113" s="143"/>
    </row>
    <row r="114" spans="1:12">
      <c r="A114" s="296"/>
      <c r="B114" s="143"/>
      <c r="C114" s="143"/>
      <c r="D114" s="143"/>
      <c r="E114" s="143"/>
      <c r="F114" s="143"/>
      <c r="G114" s="143"/>
      <c r="H114" s="143"/>
      <c r="I114" s="143"/>
      <c r="J114" s="143"/>
      <c r="K114" s="143"/>
      <c r="L114" s="143"/>
    </row>
    <row r="115" spans="1:12">
      <c r="A115" s="296"/>
      <c r="B115" s="143"/>
      <c r="C115" s="143"/>
      <c r="D115" s="143"/>
      <c r="E115" s="143"/>
      <c r="F115" s="143"/>
      <c r="G115" s="143"/>
      <c r="H115" s="143"/>
      <c r="I115" s="143"/>
      <c r="J115" s="143"/>
      <c r="K115" s="143"/>
      <c r="L115" s="143"/>
    </row>
    <row r="116" spans="1:12">
      <c r="A116" s="296"/>
      <c r="B116" s="143"/>
      <c r="C116" s="143"/>
      <c r="D116" s="143"/>
      <c r="E116" s="143"/>
      <c r="F116" s="143"/>
      <c r="G116" s="143"/>
      <c r="H116" s="143"/>
      <c r="I116" s="143"/>
      <c r="J116" s="143"/>
      <c r="K116" s="143"/>
      <c r="L116" s="143"/>
    </row>
    <row r="117" spans="1:12">
      <c r="A117" s="296"/>
      <c r="B117" s="143"/>
      <c r="C117" s="143"/>
      <c r="D117" s="143"/>
      <c r="E117" s="143"/>
      <c r="F117" s="143"/>
      <c r="G117" s="143"/>
      <c r="H117" s="143"/>
      <c r="I117" s="143"/>
      <c r="J117" s="143"/>
      <c r="K117" s="143"/>
      <c r="L117" s="143"/>
    </row>
    <row r="118" spans="1:12">
      <c r="A118" s="296"/>
      <c r="B118" s="143"/>
      <c r="C118" s="143"/>
      <c r="D118" s="143"/>
      <c r="E118" s="143"/>
      <c r="F118" s="143"/>
      <c r="G118" s="143"/>
      <c r="H118" s="143"/>
      <c r="I118" s="143"/>
      <c r="J118" s="143"/>
      <c r="K118" s="143"/>
      <c r="L118" s="143"/>
    </row>
    <row r="119" spans="1:12">
      <c r="A119" s="296"/>
      <c r="B119" s="143"/>
      <c r="C119" s="143"/>
      <c r="D119" s="143"/>
      <c r="E119" s="143"/>
      <c r="F119" s="143"/>
      <c r="G119" s="143"/>
      <c r="H119" s="143"/>
      <c r="I119" s="143"/>
      <c r="J119" s="143"/>
      <c r="K119" s="143"/>
      <c r="L119" s="143"/>
    </row>
    <row r="120" spans="1:12">
      <c r="A120" s="296"/>
      <c r="B120" s="143"/>
      <c r="C120" s="143"/>
      <c r="D120" s="143"/>
      <c r="E120" s="143"/>
      <c r="F120" s="143"/>
      <c r="G120" s="143"/>
      <c r="H120" s="143"/>
      <c r="I120" s="143"/>
      <c r="J120" s="143"/>
      <c r="K120" s="143"/>
      <c r="L120" s="143"/>
    </row>
    <row r="121" spans="1:12">
      <c r="A121" s="296"/>
      <c r="B121" s="143"/>
      <c r="C121" s="143"/>
      <c r="D121" s="143"/>
      <c r="E121" s="143"/>
      <c r="F121" s="143"/>
      <c r="G121" s="143"/>
      <c r="H121" s="143"/>
      <c r="I121" s="143"/>
      <c r="J121" s="143"/>
      <c r="K121" s="143"/>
      <c r="L121" s="143"/>
    </row>
    <row r="122" spans="1:12">
      <c r="A122" s="296"/>
      <c r="B122" s="143"/>
      <c r="C122" s="143"/>
      <c r="D122" s="143"/>
      <c r="E122" s="143"/>
      <c r="F122" s="143"/>
      <c r="G122" s="143"/>
      <c r="H122" s="143"/>
      <c r="I122" s="143"/>
      <c r="J122" s="143"/>
      <c r="K122" s="143"/>
      <c r="L122" s="143"/>
    </row>
    <row r="123" spans="1:12">
      <c r="A123" s="296"/>
      <c r="B123" s="143"/>
      <c r="C123" s="143"/>
      <c r="D123" s="143"/>
      <c r="E123" s="143"/>
      <c r="F123" s="143"/>
      <c r="G123" s="143"/>
      <c r="H123" s="143"/>
      <c r="I123" s="143"/>
      <c r="J123" s="143"/>
      <c r="K123" s="143"/>
      <c r="L123" s="143"/>
    </row>
    <row r="124" spans="1:12">
      <c r="A124" s="296"/>
      <c r="B124" s="143"/>
      <c r="C124" s="143"/>
      <c r="D124" s="143"/>
      <c r="E124" s="143"/>
      <c r="F124" s="143"/>
      <c r="G124" s="143"/>
      <c r="H124" s="143"/>
      <c r="I124" s="143"/>
      <c r="J124" s="143"/>
      <c r="K124" s="143"/>
      <c r="L124" s="143"/>
    </row>
    <row r="125" spans="1:12">
      <c r="A125" s="296"/>
      <c r="B125" s="143"/>
      <c r="C125" s="143"/>
      <c r="D125" s="143"/>
      <c r="E125" s="143"/>
      <c r="F125" s="143"/>
      <c r="G125" s="143"/>
      <c r="H125" s="143"/>
      <c r="I125" s="143"/>
      <c r="J125" s="143"/>
      <c r="K125" s="143"/>
      <c r="L125" s="143"/>
    </row>
    <row r="126" spans="1:12">
      <c r="A126" s="296"/>
      <c r="B126" s="143"/>
      <c r="C126" s="143"/>
      <c r="D126" s="143"/>
      <c r="E126" s="143"/>
      <c r="F126" s="143"/>
      <c r="G126" s="143"/>
      <c r="H126" s="143"/>
      <c r="I126" s="143"/>
      <c r="J126" s="143"/>
      <c r="K126" s="143"/>
      <c r="L126" s="143"/>
    </row>
    <row r="127" spans="1:12">
      <c r="A127" s="296"/>
      <c r="B127" s="143"/>
      <c r="C127" s="143"/>
      <c r="D127" s="143"/>
      <c r="E127" s="143"/>
      <c r="F127" s="143"/>
      <c r="G127" s="143"/>
      <c r="H127" s="143"/>
      <c r="I127" s="143"/>
      <c r="J127" s="143"/>
      <c r="K127" s="143"/>
      <c r="L127" s="143"/>
    </row>
    <row r="128" spans="1:12">
      <c r="A128" s="296"/>
      <c r="B128" s="143"/>
      <c r="C128" s="143"/>
      <c r="D128" s="143"/>
      <c r="E128" s="143"/>
      <c r="F128" s="143"/>
      <c r="G128" s="143"/>
      <c r="H128" s="143"/>
      <c r="I128" s="143"/>
      <c r="J128" s="143"/>
      <c r="K128" s="143"/>
      <c r="L128" s="143"/>
    </row>
    <row r="129" spans="1:12">
      <c r="A129" s="296"/>
      <c r="B129" s="143"/>
      <c r="C129" s="143"/>
      <c r="D129" s="143"/>
      <c r="E129" s="143"/>
      <c r="F129" s="143"/>
      <c r="G129" s="143"/>
      <c r="H129" s="143"/>
      <c r="I129" s="143"/>
      <c r="J129" s="143"/>
      <c r="K129" s="143"/>
      <c r="L129" s="143"/>
    </row>
    <row r="130" spans="1:12">
      <c r="A130" s="296"/>
      <c r="B130" s="143"/>
      <c r="C130" s="143"/>
      <c r="D130" s="143"/>
      <c r="E130" s="143"/>
      <c r="F130" s="143"/>
      <c r="G130" s="143"/>
      <c r="H130" s="143"/>
      <c r="I130" s="143"/>
      <c r="J130" s="143"/>
      <c r="K130" s="143"/>
      <c r="L130" s="143"/>
    </row>
    <row r="131" spans="1:12">
      <c r="A131" s="296"/>
      <c r="B131" s="143"/>
      <c r="C131" s="143"/>
      <c r="D131" s="143"/>
      <c r="E131" s="143"/>
      <c r="F131" s="143"/>
      <c r="G131" s="143"/>
      <c r="H131" s="143"/>
      <c r="I131" s="143"/>
      <c r="J131" s="143"/>
      <c r="K131" s="143"/>
      <c r="L131" s="143"/>
    </row>
    <row r="132" spans="1:12">
      <c r="A132" s="296"/>
      <c r="B132" s="143"/>
      <c r="C132" s="143"/>
      <c r="D132" s="143"/>
      <c r="E132" s="143"/>
      <c r="F132" s="143"/>
      <c r="G132" s="143"/>
      <c r="H132" s="143"/>
      <c r="I132" s="143"/>
      <c r="J132" s="143"/>
      <c r="K132" s="143"/>
      <c r="L132" s="143"/>
    </row>
    <row r="133" spans="1:12">
      <c r="A133" s="296"/>
      <c r="B133" s="143"/>
      <c r="C133" s="143"/>
      <c r="D133" s="143"/>
      <c r="E133" s="143"/>
      <c r="F133" s="143"/>
      <c r="G133" s="143"/>
      <c r="H133" s="143"/>
      <c r="I133" s="143"/>
      <c r="J133" s="143"/>
      <c r="K133" s="143"/>
      <c r="L133" s="143"/>
    </row>
    <row r="134" spans="1:12">
      <c r="A134" s="296"/>
      <c r="B134" s="143"/>
      <c r="C134" s="143"/>
      <c r="D134" s="143"/>
      <c r="E134" s="143"/>
      <c r="F134" s="143"/>
      <c r="G134" s="143"/>
      <c r="H134" s="143"/>
      <c r="I134" s="143"/>
      <c r="J134" s="143"/>
      <c r="K134" s="143"/>
      <c r="L134" s="143"/>
    </row>
    <row r="135" spans="1:12">
      <c r="A135" s="296"/>
      <c r="B135" s="143"/>
      <c r="C135" s="143"/>
      <c r="D135" s="143"/>
      <c r="E135" s="143"/>
      <c r="F135" s="143"/>
      <c r="G135" s="143"/>
      <c r="H135" s="143"/>
      <c r="I135" s="143"/>
      <c r="J135" s="143"/>
      <c r="K135" s="143"/>
      <c r="L135" s="143"/>
    </row>
    <row r="136" spans="1:12">
      <c r="A136" s="296"/>
      <c r="B136" s="143"/>
      <c r="C136" s="143"/>
      <c r="D136" s="143"/>
      <c r="E136" s="143"/>
      <c r="F136" s="143"/>
      <c r="G136" s="143"/>
      <c r="H136" s="143"/>
      <c r="I136" s="143"/>
      <c r="J136" s="143"/>
      <c r="K136" s="143"/>
      <c r="L136" s="143"/>
    </row>
    <row r="137" spans="1:12">
      <c r="A137" s="296"/>
      <c r="B137" s="143"/>
      <c r="C137" s="143"/>
      <c r="D137" s="143"/>
      <c r="E137" s="143"/>
      <c r="F137" s="143"/>
      <c r="G137" s="143"/>
      <c r="H137" s="143"/>
      <c r="I137" s="143"/>
      <c r="J137" s="143"/>
      <c r="K137" s="143"/>
      <c r="L137" s="143"/>
    </row>
    <row r="138" spans="1:12">
      <c r="A138" s="296"/>
      <c r="B138" s="143"/>
      <c r="C138" s="143"/>
      <c r="D138" s="143"/>
      <c r="E138" s="143"/>
      <c r="F138" s="143"/>
      <c r="G138" s="143"/>
      <c r="H138" s="143"/>
      <c r="I138" s="143"/>
      <c r="J138" s="143"/>
      <c r="K138" s="143"/>
      <c r="L138" s="143"/>
    </row>
    <row r="139" spans="1:12">
      <c r="A139" s="296"/>
      <c r="B139" s="143"/>
      <c r="C139" s="143"/>
      <c r="D139" s="143"/>
      <c r="E139" s="143"/>
      <c r="F139" s="143"/>
      <c r="G139" s="143"/>
      <c r="H139" s="143"/>
      <c r="I139" s="143"/>
      <c r="J139" s="143"/>
      <c r="K139" s="143"/>
      <c r="L139" s="143"/>
    </row>
    <row r="140" spans="1:12">
      <c r="A140" s="296"/>
      <c r="B140" s="143"/>
      <c r="C140" s="143"/>
      <c r="D140" s="143"/>
      <c r="E140" s="143"/>
      <c r="F140" s="143"/>
      <c r="G140" s="143"/>
      <c r="H140" s="143"/>
      <c r="I140" s="143"/>
      <c r="J140" s="143"/>
      <c r="K140" s="143"/>
      <c r="L140" s="143"/>
    </row>
    <row r="141" spans="1:12">
      <c r="A141" s="296"/>
      <c r="B141" s="143"/>
      <c r="C141" s="143"/>
      <c r="D141" s="143"/>
      <c r="E141" s="143"/>
      <c r="F141" s="143"/>
      <c r="G141" s="143"/>
      <c r="H141" s="143"/>
      <c r="I141" s="143"/>
      <c r="J141" s="143"/>
      <c r="K141" s="143"/>
      <c r="L141" s="143"/>
    </row>
    <row r="142" spans="1:12">
      <c r="A142" s="296"/>
      <c r="B142" s="143"/>
      <c r="C142" s="143"/>
      <c r="D142" s="143"/>
      <c r="E142" s="143"/>
      <c r="F142" s="143"/>
      <c r="G142" s="143"/>
      <c r="H142" s="143"/>
      <c r="I142" s="143"/>
      <c r="J142" s="143"/>
      <c r="K142" s="143"/>
      <c r="L142" s="143"/>
    </row>
    <row r="143" spans="1:12">
      <c r="A143" s="296"/>
      <c r="B143" s="143"/>
      <c r="C143" s="143"/>
      <c r="D143" s="143"/>
      <c r="E143" s="143"/>
      <c r="F143" s="143"/>
      <c r="G143" s="143"/>
      <c r="H143" s="143"/>
      <c r="I143" s="143"/>
      <c r="J143" s="143"/>
      <c r="K143" s="143"/>
      <c r="L143" s="143"/>
    </row>
    <row r="144" spans="1:12">
      <c r="A144" s="296"/>
      <c r="B144" s="143"/>
      <c r="C144" s="143"/>
      <c r="D144" s="143"/>
      <c r="E144" s="143"/>
      <c r="F144" s="143"/>
      <c r="G144" s="143"/>
      <c r="H144" s="143"/>
      <c r="I144" s="143"/>
      <c r="J144" s="143"/>
      <c r="K144" s="143"/>
      <c r="L144" s="143"/>
    </row>
    <row r="145" spans="1:12">
      <c r="A145" s="296"/>
      <c r="B145" s="143"/>
      <c r="C145" s="143"/>
      <c r="D145" s="143"/>
      <c r="E145" s="143"/>
      <c r="F145" s="143"/>
      <c r="G145" s="143"/>
      <c r="H145" s="143"/>
      <c r="I145" s="143"/>
      <c r="J145" s="143"/>
      <c r="K145" s="143"/>
      <c r="L145" s="143"/>
    </row>
    <row r="146" spans="1:12">
      <c r="A146" s="296"/>
      <c r="B146" s="143"/>
      <c r="C146" s="143"/>
      <c r="D146" s="143"/>
      <c r="E146" s="143"/>
      <c r="F146" s="143"/>
      <c r="G146" s="143"/>
      <c r="H146" s="143"/>
      <c r="I146" s="143"/>
      <c r="J146" s="143"/>
      <c r="K146" s="143"/>
      <c r="L146" s="143"/>
    </row>
    <row r="147" spans="1:12">
      <c r="A147" s="296"/>
      <c r="B147" s="143"/>
      <c r="C147" s="143"/>
      <c r="D147" s="143"/>
      <c r="E147" s="143"/>
      <c r="F147" s="143"/>
      <c r="G147" s="143"/>
      <c r="H147" s="143"/>
      <c r="I147" s="143"/>
      <c r="J147" s="143"/>
      <c r="K147" s="143"/>
      <c r="L147" s="143"/>
    </row>
    <row r="148" spans="1:12">
      <c r="A148" s="296"/>
      <c r="B148" s="143"/>
      <c r="C148" s="143"/>
      <c r="D148" s="143"/>
      <c r="E148" s="143"/>
      <c r="F148" s="143"/>
      <c r="G148" s="143"/>
      <c r="H148" s="143"/>
      <c r="I148" s="143"/>
      <c r="J148" s="143"/>
      <c r="K148" s="143"/>
      <c r="L148" s="143"/>
    </row>
    <row r="149" spans="1:12">
      <c r="A149" s="296"/>
      <c r="B149" s="143"/>
      <c r="C149" s="143"/>
      <c r="D149" s="143"/>
      <c r="E149" s="143"/>
      <c r="F149" s="143"/>
      <c r="G149" s="143"/>
      <c r="H149" s="143"/>
      <c r="I149" s="143"/>
      <c r="J149" s="143"/>
      <c r="K149" s="143"/>
      <c r="L149" s="143"/>
    </row>
    <row r="150" spans="1:12">
      <c r="A150" s="296"/>
      <c r="B150" s="143"/>
      <c r="C150" s="143"/>
      <c r="D150" s="143"/>
      <c r="E150" s="143"/>
      <c r="F150" s="143"/>
      <c r="G150" s="143"/>
      <c r="H150" s="143"/>
      <c r="I150" s="143"/>
      <c r="J150" s="143"/>
      <c r="K150" s="143"/>
      <c r="L150" s="143"/>
    </row>
    <row r="151" spans="1:12">
      <c r="A151" s="296"/>
      <c r="B151" s="143"/>
      <c r="C151" s="143"/>
      <c r="D151" s="143"/>
      <c r="E151" s="143"/>
      <c r="F151" s="143"/>
      <c r="G151" s="143"/>
      <c r="H151" s="143"/>
      <c r="I151" s="143"/>
      <c r="J151" s="143"/>
      <c r="K151" s="143"/>
      <c r="L151" s="143"/>
    </row>
    <row r="152" spans="1:12">
      <c r="A152" s="296"/>
      <c r="B152" s="143"/>
      <c r="C152" s="143"/>
      <c r="D152" s="143"/>
      <c r="E152" s="143"/>
      <c r="F152" s="143"/>
      <c r="G152" s="143"/>
      <c r="H152" s="143"/>
      <c r="I152" s="143"/>
      <c r="J152" s="143"/>
      <c r="K152" s="143"/>
      <c r="L152" s="143"/>
    </row>
    <row r="153" spans="1:12">
      <c r="A153" s="296"/>
      <c r="B153" s="143"/>
      <c r="C153" s="143"/>
      <c r="D153" s="143"/>
      <c r="E153" s="143"/>
      <c r="F153" s="143"/>
      <c r="G153" s="143"/>
      <c r="H153" s="143"/>
      <c r="I153" s="143"/>
      <c r="J153" s="143"/>
      <c r="K153" s="143"/>
      <c r="L153" s="143"/>
    </row>
    <row r="154" spans="1:12">
      <c r="A154" s="296"/>
      <c r="B154" s="143"/>
      <c r="C154" s="143"/>
      <c r="D154" s="143"/>
      <c r="E154" s="143"/>
      <c r="F154" s="143"/>
      <c r="G154" s="143"/>
      <c r="H154" s="143"/>
      <c r="I154" s="143"/>
      <c r="J154" s="143"/>
      <c r="K154" s="143"/>
      <c r="L154" s="143"/>
    </row>
    <row r="155" spans="1:12">
      <c r="A155" s="296"/>
      <c r="B155" s="143"/>
      <c r="C155" s="143"/>
      <c r="D155" s="143"/>
      <c r="E155" s="143"/>
      <c r="F155" s="143"/>
      <c r="G155" s="143"/>
      <c r="H155" s="143"/>
      <c r="I155" s="143"/>
      <c r="J155" s="143"/>
      <c r="K155" s="143"/>
      <c r="L155" s="143"/>
    </row>
    <row r="156" spans="1:12">
      <c r="A156" s="296"/>
      <c r="B156" s="143"/>
      <c r="C156" s="143"/>
      <c r="D156" s="143"/>
      <c r="E156" s="143"/>
      <c r="F156" s="143"/>
      <c r="G156" s="143"/>
      <c r="H156" s="143"/>
      <c r="I156" s="143"/>
      <c r="J156" s="143"/>
      <c r="K156" s="143"/>
      <c r="L156" s="143"/>
    </row>
    <row r="157" spans="1:12">
      <c r="A157" s="296"/>
      <c r="B157" s="143"/>
      <c r="C157" s="143"/>
      <c r="D157" s="143"/>
      <c r="E157" s="143"/>
      <c r="F157" s="143"/>
      <c r="G157" s="143"/>
      <c r="H157" s="143"/>
      <c r="I157" s="143"/>
      <c r="J157" s="143"/>
      <c r="K157" s="143"/>
      <c r="L157" s="143"/>
    </row>
    <row r="158" spans="1:12">
      <c r="A158" s="296"/>
      <c r="B158" s="143"/>
      <c r="C158" s="143"/>
      <c r="D158" s="143"/>
      <c r="E158" s="143"/>
      <c r="F158" s="143"/>
      <c r="G158" s="143"/>
      <c r="H158" s="143"/>
      <c r="I158" s="143"/>
      <c r="J158" s="143"/>
      <c r="K158" s="143"/>
      <c r="L158" s="143"/>
    </row>
    <row r="159" spans="1:12">
      <c r="A159" s="296"/>
      <c r="B159" s="143"/>
      <c r="C159" s="143"/>
      <c r="D159" s="143"/>
      <c r="E159" s="143"/>
      <c r="F159" s="143"/>
      <c r="G159" s="143"/>
      <c r="H159" s="143"/>
      <c r="I159" s="143"/>
      <c r="J159" s="143"/>
      <c r="K159" s="143"/>
      <c r="L159" s="143"/>
    </row>
    <row r="160" spans="1:12">
      <c r="A160" s="296"/>
      <c r="B160" s="143"/>
      <c r="C160" s="143"/>
      <c r="D160" s="143"/>
      <c r="E160" s="143"/>
      <c r="F160" s="143"/>
      <c r="G160" s="143"/>
      <c r="H160" s="143"/>
      <c r="I160" s="143"/>
      <c r="J160" s="143"/>
      <c r="K160" s="143"/>
      <c r="L160" s="143"/>
    </row>
    <row r="161" spans="1:12">
      <c r="A161" s="296"/>
      <c r="B161" s="143"/>
      <c r="C161" s="143"/>
      <c r="D161" s="143"/>
      <c r="E161" s="143"/>
      <c r="F161" s="143"/>
      <c r="G161" s="143"/>
      <c r="H161" s="143"/>
      <c r="I161" s="143"/>
      <c r="J161" s="143"/>
      <c r="K161" s="143"/>
      <c r="L161" s="143"/>
    </row>
    <row r="162" spans="1:12">
      <c r="A162" s="296"/>
      <c r="B162" s="143"/>
      <c r="C162" s="143"/>
      <c r="D162" s="143"/>
      <c r="E162" s="143"/>
      <c r="F162" s="143"/>
      <c r="G162" s="143"/>
      <c r="H162" s="143"/>
      <c r="I162" s="143"/>
      <c r="J162" s="143"/>
      <c r="K162" s="143"/>
      <c r="L162" s="143"/>
    </row>
    <row r="163" spans="1:12">
      <c r="A163" s="296"/>
      <c r="B163" s="143"/>
      <c r="C163" s="143"/>
      <c r="D163" s="143"/>
      <c r="E163" s="143"/>
      <c r="F163" s="143"/>
      <c r="G163" s="143"/>
      <c r="H163" s="143"/>
      <c r="I163" s="143"/>
      <c r="J163" s="143"/>
      <c r="K163" s="143"/>
      <c r="L163" s="143"/>
    </row>
    <row r="164" spans="1:12">
      <c r="A164" s="296"/>
      <c r="B164" s="143"/>
      <c r="C164" s="143"/>
      <c r="D164" s="143"/>
      <c r="E164" s="143"/>
      <c r="F164" s="143"/>
      <c r="G164" s="143"/>
      <c r="H164" s="143"/>
      <c r="I164" s="143"/>
      <c r="J164" s="143"/>
      <c r="K164" s="143"/>
      <c r="L164" s="143"/>
    </row>
    <row r="165" spans="1:12">
      <c r="A165" s="296"/>
      <c r="B165" s="143"/>
      <c r="C165" s="143"/>
      <c r="D165" s="143"/>
      <c r="E165" s="143"/>
      <c r="F165" s="143"/>
      <c r="G165" s="143"/>
      <c r="H165" s="143"/>
      <c r="I165" s="143"/>
      <c r="J165" s="143"/>
      <c r="K165" s="143"/>
      <c r="L165" s="143"/>
    </row>
    <row r="166" spans="1:12">
      <c r="A166" s="296"/>
      <c r="B166" s="143"/>
      <c r="C166" s="143"/>
      <c r="D166" s="143"/>
      <c r="E166" s="143"/>
      <c r="F166" s="143"/>
      <c r="G166" s="143"/>
      <c r="H166" s="143"/>
      <c r="I166" s="143"/>
      <c r="J166" s="143"/>
      <c r="K166" s="143"/>
      <c r="L166" s="143"/>
    </row>
    <row r="167" spans="1:12">
      <c r="A167" s="296"/>
      <c r="B167" s="143"/>
      <c r="C167" s="143"/>
      <c r="D167" s="143"/>
      <c r="E167" s="143"/>
      <c r="F167" s="143"/>
      <c r="G167" s="143"/>
      <c r="H167" s="143"/>
      <c r="I167" s="143"/>
      <c r="J167" s="143"/>
      <c r="K167" s="143"/>
      <c r="L167" s="143"/>
    </row>
    <row r="168" spans="1:12">
      <c r="A168" s="296"/>
      <c r="B168" s="143"/>
      <c r="C168" s="143"/>
      <c r="D168" s="143"/>
      <c r="E168" s="143"/>
      <c r="F168" s="143"/>
      <c r="G168" s="143"/>
      <c r="H168" s="143"/>
      <c r="I168" s="143"/>
      <c r="J168" s="143"/>
      <c r="K168" s="143"/>
      <c r="L168" s="143"/>
    </row>
    <row r="169" spans="1:12">
      <c r="A169" s="296"/>
      <c r="B169" s="143"/>
      <c r="C169" s="143"/>
      <c r="D169" s="143"/>
      <c r="E169" s="143"/>
      <c r="F169" s="143"/>
      <c r="G169" s="143"/>
      <c r="H169" s="143"/>
      <c r="I169" s="143"/>
      <c r="J169" s="143"/>
      <c r="K169" s="143"/>
      <c r="L169" s="143"/>
    </row>
    <row r="170" spans="1:12">
      <c r="A170" s="296"/>
      <c r="B170" s="143"/>
      <c r="C170" s="143"/>
      <c r="D170" s="143"/>
      <c r="E170" s="143"/>
      <c r="F170" s="143"/>
      <c r="G170" s="143"/>
      <c r="H170" s="143"/>
      <c r="I170" s="143"/>
      <c r="J170" s="143"/>
      <c r="K170" s="143"/>
      <c r="L170" s="143"/>
    </row>
    <row r="171" spans="1:12">
      <c r="A171" s="296"/>
      <c r="B171" s="143"/>
      <c r="C171" s="143"/>
      <c r="D171" s="143"/>
      <c r="E171" s="143"/>
      <c r="F171" s="143"/>
      <c r="G171" s="143"/>
      <c r="H171" s="143"/>
      <c r="I171" s="143"/>
      <c r="J171" s="143"/>
      <c r="K171" s="143"/>
      <c r="L171" s="143"/>
    </row>
    <row r="172" spans="1:12">
      <c r="A172" s="296"/>
      <c r="B172" s="143"/>
      <c r="C172" s="143"/>
      <c r="D172" s="143"/>
      <c r="E172" s="143"/>
      <c r="F172" s="143"/>
      <c r="G172" s="143"/>
      <c r="H172" s="143"/>
      <c r="I172" s="143"/>
      <c r="J172" s="143"/>
      <c r="K172" s="143"/>
      <c r="L172" s="143"/>
    </row>
    <row r="173" spans="1:12">
      <c r="A173" s="296"/>
      <c r="B173" s="143"/>
      <c r="C173" s="143"/>
      <c r="D173" s="143"/>
      <c r="E173" s="143"/>
      <c r="F173" s="143"/>
      <c r="G173" s="143"/>
      <c r="H173" s="143"/>
      <c r="I173" s="143"/>
      <c r="J173" s="143"/>
      <c r="K173" s="143"/>
      <c r="L173" s="143"/>
    </row>
    <row r="174" spans="1:12">
      <c r="A174" s="296"/>
      <c r="B174" s="143"/>
      <c r="C174" s="143"/>
      <c r="D174" s="143"/>
      <c r="E174" s="143"/>
      <c r="F174" s="143"/>
      <c r="G174" s="143"/>
      <c r="H174" s="143"/>
      <c r="I174" s="143"/>
      <c r="J174" s="143"/>
      <c r="K174" s="143"/>
      <c r="L174" s="143"/>
    </row>
    <row r="175" spans="1:12">
      <c r="A175" s="296"/>
      <c r="B175" s="143"/>
      <c r="C175" s="143"/>
      <c r="D175" s="143"/>
      <c r="E175" s="143"/>
      <c r="F175" s="143"/>
      <c r="G175" s="143"/>
      <c r="H175" s="143"/>
      <c r="I175" s="143"/>
      <c r="J175" s="143"/>
      <c r="K175" s="143"/>
      <c r="L175" s="143"/>
    </row>
    <row r="176" spans="1:12">
      <c r="A176" s="296"/>
      <c r="B176" s="143"/>
      <c r="C176" s="143"/>
      <c r="D176" s="143"/>
      <c r="E176" s="143"/>
      <c r="F176" s="143"/>
      <c r="G176" s="143"/>
      <c r="H176" s="143"/>
      <c r="I176" s="143"/>
      <c r="J176" s="143"/>
      <c r="K176" s="143"/>
      <c r="L176" s="143"/>
    </row>
    <row r="177" spans="1:12">
      <c r="A177" s="296"/>
      <c r="B177" s="143"/>
      <c r="C177" s="143"/>
      <c r="D177" s="143"/>
      <c r="E177" s="143"/>
      <c r="F177" s="143"/>
      <c r="G177" s="143"/>
      <c r="H177" s="143"/>
      <c r="I177" s="143"/>
      <c r="J177" s="143"/>
      <c r="K177" s="143"/>
      <c r="L177" s="143"/>
    </row>
    <row r="178" spans="1:12">
      <c r="A178" s="296"/>
      <c r="B178" s="143"/>
      <c r="C178" s="143"/>
      <c r="D178" s="143"/>
      <c r="E178" s="143"/>
      <c r="F178" s="143"/>
      <c r="G178" s="143"/>
      <c r="H178" s="143"/>
      <c r="I178" s="143"/>
      <c r="J178" s="143"/>
      <c r="K178" s="143"/>
      <c r="L178" s="143"/>
    </row>
    <row r="179" spans="1:12">
      <c r="A179" s="296"/>
      <c r="B179" s="143"/>
      <c r="C179" s="143"/>
      <c r="D179" s="143"/>
      <c r="E179" s="143"/>
      <c r="F179" s="143"/>
      <c r="G179" s="143"/>
      <c r="H179" s="143"/>
      <c r="I179" s="143"/>
      <c r="J179" s="143"/>
      <c r="K179" s="143"/>
      <c r="L179" s="143"/>
    </row>
    <row r="180" spans="1:12">
      <c r="A180" s="296"/>
      <c r="B180" s="143"/>
      <c r="C180" s="143"/>
      <c r="D180" s="143"/>
      <c r="E180" s="143"/>
      <c r="F180" s="143"/>
      <c r="G180" s="143"/>
      <c r="H180" s="143"/>
      <c r="I180" s="143"/>
      <c r="J180" s="143"/>
      <c r="K180" s="143"/>
      <c r="L180" s="143"/>
    </row>
    <row r="181" spans="1:12">
      <c r="A181" s="296"/>
      <c r="B181" s="143"/>
      <c r="C181" s="143"/>
      <c r="D181" s="143"/>
      <c r="E181" s="143"/>
      <c r="F181" s="143"/>
      <c r="G181" s="143"/>
      <c r="H181" s="143"/>
      <c r="I181" s="143"/>
      <c r="J181" s="143"/>
      <c r="K181" s="143"/>
      <c r="L181" s="143"/>
    </row>
    <row r="182" spans="1:12">
      <c r="A182" s="296"/>
      <c r="B182" s="143"/>
      <c r="C182" s="143"/>
      <c r="D182" s="143"/>
      <c r="E182" s="143"/>
      <c r="F182" s="143"/>
      <c r="G182" s="143"/>
      <c r="H182" s="143"/>
      <c r="I182" s="143"/>
      <c r="J182" s="143"/>
      <c r="K182" s="143"/>
      <c r="L182" s="143"/>
    </row>
    <row r="183" spans="1:12">
      <c r="A183" s="296"/>
      <c r="B183" s="143"/>
      <c r="C183" s="143"/>
      <c r="D183" s="143"/>
      <c r="E183" s="143"/>
      <c r="F183" s="143"/>
      <c r="G183" s="143"/>
      <c r="H183" s="143"/>
      <c r="I183" s="143"/>
      <c r="J183" s="143"/>
      <c r="K183" s="143"/>
      <c r="L183" s="143"/>
    </row>
    <row r="184" spans="1:12">
      <c r="A184" s="296"/>
      <c r="B184" s="143"/>
      <c r="C184" s="143"/>
      <c r="D184" s="143"/>
      <c r="E184" s="143"/>
      <c r="F184" s="143"/>
      <c r="G184" s="143"/>
      <c r="H184" s="143"/>
      <c r="I184" s="143"/>
      <c r="J184" s="143"/>
      <c r="K184" s="143"/>
      <c r="L184" s="143"/>
    </row>
    <row r="185" spans="1:12">
      <c r="A185" s="296"/>
      <c r="B185" s="143"/>
      <c r="C185" s="143"/>
      <c r="D185" s="143"/>
      <c r="E185" s="143"/>
      <c r="F185" s="143"/>
      <c r="G185" s="143"/>
      <c r="H185" s="143"/>
      <c r="I185" s="143"/>
      <c r="J185" s="143"/>
      <c r="K185" s="143"/>
      <c r="L185" s="143"/>
    </row>
    <row r="186" spans="1:12">
      <c r="A186" s="296"/>
      <c r="B186" s="143"/>
      <c r="C186" s="143"/>
      <c r="D186" s="143"/>
      <c r="E186" s="143"/>
      <c r="F186" s="143"/>
      <c r="G186" s="143"/>
      <c r="H186" s="143"/>
      <c r="I186" s="143"/>
      <c r="J186" s="143"/>
      <c r="K186" s="143"/>
      <c r="L186" s="143"/>
    </row>
    <row r="187" spans="1:12">
      <c r="A187" s="296"/>
      <c r="B187" s="143"/>
      <c r="C187" s="143"/>
      <c r="D187" s="143"/>
      <c r="E187" s="143"/>
      <c r="F187" s="143"/>
      <c r="G187" s="143"/>
      <c r="H187" s="143"/>
      <c r="I187" s="143"/>
      <c r="J187" s="143"/>
      <c r="K187" s="143"/>
      <c r="L187" s="143"/>
    </row>
    <row r="188" spans="1:12">
      <c r="A188" s="296"/>
      <c r="B188" s="143"/>
      <c r="C188" s="143"/>
      <c r="D188" s="143"/>
      <c r="E188" s="143"/>
      <c r="F188" s="143"/>
      <c r="G188" s="143"/>
      <c r="H188" s="143"/>
      <c r="I188" s="143"/>
      <c r="J188" s="143"/>
      <c r="K188" s="143"/>
      <c r="L188" s="143"/>
    </row>
    <row r="189" spans="1:12">
      <c r="A189" s="296"/>
      <c r="B189" s="143"/>
      <c r="C189" s="143"/>
      <c r="D189" s="143"/>
      <c r="E189" s="143"/>
      <c r="F189" s="143"/>
      <c r="G189" s="143"/>
      <c r="H189" s="143"/>
      <c r="I189" s="143"/>
      <c r="J189" s="143"/>
      <c r="K189" s="143"/>
      <c r="L189" s="143"/>
    </row>
    <row r="190" spans="1:12">
      <c r="A190" s="296"/>
      <c r="B190" s="143"/>
      <c r="C190" s="143"/>
      <c r="D190" s="143"/>
      <c r="E190" s="143"/>
      <c r="F190" s="143"/>
      <c r="G190" s="143"/>
      <c r="H190" s="143"/>
      <c r="I190" s="143"/>
      <c r="J190" s="143"/>
      <c r="K190" s="143"/>
      <c r="L190" s="143"/>
    </row>
    <row r="191" spans="1:12">
      <c r="A191" s="296"/>
      <c r="B191" s="143"/>
      <c r="C191" s="143"/>
      <c r="D191" s="143"/>
      <c r="E191" s="143"/>
      <c r="F191" s="143"/>
      <c r="G191" s="143"/>
      <c r="H191" s="143"/>
      <c r="I191" s="143"/>
      <c r="J191" s="143"/>
      <c r="K191" s="143"/>
      <c r="L191" s="143"/>
    </row>
    <row r="192" spans="1:12">
      <c r="A192" s="296"/>
      <c r="B192" s="143"/>
      <c r="C192" s="143"/>
      <c r="D192" s="143"/>
      <c r="E192" s="143"/>
      <c r="F192" s="143"/>
      <c r="G192" s="143"/>
      <c r="H192" s="143"/>
      <c r="I192" s="143"/>
      <c r="J192" s="143"/>
      <c r="K192" s="143"/>
      <c r="L192" s="143"/>
    </row>
    <row r="193" spans="1:12">
      <c r="A193" s="296"/>
      <c r="B193" s="143"/>
      <c r="C193" s="143"/>
      <c r="D193" s="143"/>
      <c r="E193" s="143"/>
      <c r="F193" s="143"/>
      <c r="G193" s="143"/>
      <c r="H193" s="143"/>
      <c r="I193" s="143"/>
      <c r="J193" s="143"/>
      <c r="K193" s="143"/>
      <c r="L193" s="143"/>
    </row>
    <row r="194" spans="1:12">
      <c r="A194" s="296"/>
      <c r="B194" s="143"/>
      <c r="C194" s="143"/>
      <c r="D194" s="143"/>
      <c r="E194" s="143"/>
      <c r="F194" s="143"/>
      <c r="G194" s="143"/>
      <c r="H194" s="143"/>
      <c r="I194" s="143"/>
      <c r="J194" s="143"/>
      <c r="K194" s="143"/>
      <c r="L194" s="143"/>
    </row>
    <row r="195" spans="1:12">
      <c r="A195" s="296"/>
      <c r="B195" s="143"/>
      <c r="C195" s="143"/>
      <c r="D195" s="143"/>
      <c r="E195" s="143"/>
      <c r="F195" s="143"/>
      <c r="G195" s="143"/>
      <c r="H195" s="143"/>
      <c r="I195" s="143"/>
      <c r="J195" s="143"/>
      <c r="K195" s="143"/>
      <c r="L195" s="143"/>
    </row>
    <row r="196" spans="1:12">
      <c r="A196" s="296"/>
      <c r="B196" s="143"/>
      <c r="C196" s="143"/>
      <c r="D196" s="143"/>
      <c r="E196" s="143"/>
      <c r="F196" s="143"/>
      <c r="G196" s="143"/>
      <c r="H196" s="143"/>
      <c r="I196" s="143"/>
      <c r="J196" s="143"/>
      <c r="K196" s="143"/>
      <c r="L196" s="143"/>
    </row>
    <row r="197" spans="1:12">
      <c r="A197" s="296"/>
      <c r="B197" s="143"/>
      <c r="C197" s="143"/>
      <c r="D197" s="143"/>
      <c r="E197" s="143"/>
      <c r="F197" s="143"/>
      <c r="G197" s="143"/>
      <c r="H197" s="143"/>
      <c r="I197" s="143"/>
      <c r="J197" s="143"/>
      <c r="K197" s="143"/>
      <c r="L197" s="143"/>
    </row>
    <row r="198" spans="1:12">
      <c r="A198" s="296"/>
      <c r="B198" s="143"/>
      <c r="C198" s="143"/>
      <c r="D198" s="143"/>
      <c r="E198" s="143"/>
      <c r="F198" s="143"/>
      <c r="G198" s="143"/>
      <c r="H198" s="143"/>
      <c r="I198" s="143"/>
      <c r="J198" s="143"/>
      <c r="K198" s="143"/>
      <c r="L198" s="143"/>
    </row>
    <row r="199" spans="1:12">
      <c r="A199" s="296"/>
      <c r="B199" s="143"/>
      <c r="C199" s="143"/>
      <c r="D199" s="143"/>
      <c r="E199" s="143"/>
      <c r="F199" s="143"/>
      <c r="G199" s="143"/>
      <c r="H199" s="143"/>
      <c r="I199" s="143"/>
      <c r="J199" s="143"/>
      <c r="K199" s="143"/>
      <c r="L199" s="143"/>
    </row>
    <row r="200" spans="1:12">
      <c r="A200" s="296"/>
      <c r="B200" s="143"/>
      <c r="C200" s="143"/>
      <c r="D200" s="143"/>
      <c r="E200" s="143"/>
      <c r="F200" s="143"/>
      <c r="G200" s="143"/>
      <c r="H200" s="143"/>
      <c r="I200" s="143"/>
      <c r="J200" s="143"/>
      <c r="K200" s="143"/>
      <c r="L200" s="143"/>
    </row>
    <row r="201" spans="1:12">
      <c r="A201" s="296"/>
      <c r="B201" s="143"/>
      <c r="C201" s="143"/>
      <c r="D201" s="143"/>
      <c r="E201" s="143"/>
      <c r="F201" s="143"/>
      <c r="G201" s="143"/>
      <c r="H201" s="143"/>
      <c r="I201" s="143"/>
      <c r="J201" s="143"/>
      <c r="K201" s="143"/>
      <c r="L201" s="143"/>
    </row>
    <row r="202" spans="1:12">
      <c r="A202" s="296"/>
      <c r="B202" s="143"/>
      <c r="C202" s="143"/>
      <c r="D202" s="143"/>
      <c r="E202" s="143"/>
      <c r="F202" s="143"/>
      <c r="G202" s="143"/>
      <c r="H202" s="143"/>
      <c r="I202" s="143"/>
      <c r="J202" s="143"/>
      <c r="K202" s="143"/>
      <c r="L202" s="143"/>
    </row>
    <row r="203" spans="1:12">
      <c r="A203" s="296"/>
      <c r="B203" s="143"/>
      <c r="C203" s="143"/>
      <c r="D203" s="143"/>
      <c r="E203" s="143"/>
      <c r="F203" s="143"/>
      <c r="G203" s="143"/>
      <c r="H203" s="143"/>
      <c r="I203" s="143"/>
      <c r="J203" s="143"/>
      <c r="K203" s="143"/>
      <c r="L203" s="143"/>
    </row>
    <row r="204" spans="1:12">
      <c r="A204" s="296"/>
      <c r="B204" s="143"/>
      <c r="C204" s="143"/>
      <c r="D204" s="143"/>
      <c r="E204" s="143"/>
      <c r="F204" s="143"/>
      <c r="G204" s="143"/>
      <c r="H204" s="143"/>
      <c r="I204" s="143"/>
      <c r="J204" s="143"/>
      <c r="K204" s="143"/>
      <c r="L204" s="143"/>
    </row>
    <row r="205" spans="1:12">
      <c r="A205" s="296"/>
      <c r="B205" s="143"/>
      <c r="C205" s="143"/>
      <c r="D205" s="143"/>
      <c r="E205" s="143"/>
      <c r="F205" s="143"/>
      <c r="G205" s="143"/>
      <c r="H205" s="143"/>
      <c r="I205" s="143"/>
      <c r="J205" s="143"/>
      <c r="K205" s="143"/>
      <c r="L205" s="143"/>
    </row>
    <row r="206" spans="1:12">
      <c r="A206" s="296"/>
      <c r="B206" s="143"/>
      <c r="C206" s="143"/>
      <c r="D206" s="143"/>
      <c r="E206" s="143"/>
      <c r="F206" s="143"/>
      <c r="G206" s="143"/>
      <c r="H206" s="143"/>
      <c r="I206" s="143"/>
      <c r="J206" s="143"/>
      <c r="K206" s="143"/>
      <c r="L206" s="143"/>
    </row>
    <row r="207" spans="1:12">
      <c r="A207" s="296"/>
      <c r="B207" s="143"/>
      <c r="C207" s="143"/>
      <c r="D207" s="143"/>
      <c r="E207" s="143"/>
      <c r="F207" s="143"/>
      <c r="G207" s="143"/>
      <c r="H207" s="143"/>
      <c r="I207" s="143"/>
      <c r="J207" s="143"/>
      <c r="K207" s="143"/>
      <c r="L207" s="143"/>
    </row>
    <row r="208" spans="1:12">
      <c r="A208" s="296"/>
      <c r="B208" s="143"/>
      <c r="C208" s="143"/>
      <c r="D208" s="143"/>
      <c r="E208" s="143"/>
      <c r="F208" s="143"/>
      <c r="G208" s="143"/>
      <c r="H208" s="143"/>
      <c r="I208" s="143"/>
      <c r="J208" s="143"/>
      <c r="K208" s="143"/>
      <c r="L208" s="143"/>
    </row>
    <row r="209" spans="1:12">
      <c r="A209" s="296"/>
      <c r="B209" s="143"/>
      <c r="C209" s="143"/>
      <c r="D209" s="143"/>
      <c r="E209" s="143"/>
      <c r="F209" s="143"/>
      <c r="G209" s="143"/>
      <c r="H209" s="143"/>
      <c r="I209" s="143"/>
      <c r="J209" s="143"/>
      <c r="K209" s="143"/>
      <c r="L209" s="143"/>
    </row>
    <row r="210" spans="1:12">
      <c r="A210" s="296"/>
      <c r="B210" s="143"/>
      <c r="C210" s="143"/>
      <c r="D210" s="143"/>
      <c r="E210" s="143"/>
      <c r="F210" s="143"/>
      <c r="G210" s="143"/>
      <c r="H210" s="143"/>
      <c r="I210" s="143"/>
      <c r="J210" s="143"/>
      <c r="K210" s="143"/>
      <c r="L210" s="143"/>
    </row>
    <row r="211" spans="1:12">
      <c r="A211" s="296"/>
      <c r="B211" s="143"/>
      <c r="C211" s="143"/>
      <c r="D211" s="143"/>
      <c r="E211" s="143"/>
      <c r="F211" s="143"/>
      <c r="G211" s="143"/>
      <c r="H211" s="143"/>
      <c r="I211" s="143"/>
      <c r="J211" s="143"/>
      <c r="K211" s="143"/>
      <c r="L211" s="143"/>
    </row>
    <row r="212" spans="1:12">
      <c r="A212" s="296"/>
      <c r="B212" s="143"/>
      <c r="C212" s="143"/>
      <c r="D212" s="143"/>
      <c r="E212" s="143"/>
      <c r="F212" s="143"/>
      <c r="G212" s="143"/>
      <c r="H212" s="143"/>
      <c r="I212" s="143"/>
      <c r="J212" s="143"/>
      <c r="K212" s="143"/>
      <c r="L212" s="143"/>
    </row>
    <row r="213" spans="1:12">
      <c r="A213" s="296"/>
      <c r="B213" s="143"/>
      <c r="C213" s="143"/>
      <c r="D213" s="143"/>
      <c r="E213" s="143"/>
      <c r="F213" s="143"/>
      <c r="G213" s="143"/>
      <c r="H213" s="143"/>
      <c r="I213" s="143"/>
      <c r="J213" s="143"/>
      <c r="K213" s="143"/>
      <c r="L213" s="143"/>
    </row>
    <row r="214" spans="1:12">
      <c r="A214" s="296"/>
      <c r="B214" s="143"/>
      <c r="C214" s="143"/>
      <c r="D214" s="143"/>
      <c r="E214" s="143"/>
      <c r="F214" s="143"/>
      <c r="G214" s="143"/>
      <c r="H214" s="143"/>
      <c r="I214" s="143"/>
      <c r="J214" s="143"/>
      <c r="K214" s="143"/>
      <c r="L214" s="143"/>
    </row>
    <row r="215" spans="1:12">
      <c r="A215" s="296"/>
      <c r="B215" s="143"/>
      <c r="C215" s="143"/>
      <c r="D215" s="143"/>
      <c r="E215" s="143"/>
      <c r="F215" s="143"/>
      <c r="G215" s="143"/>
      <c r="H215" s="143"/>
      <c r="I215" s="143"/>
      <c r="J215" s="143"/>
      <c r="K215" s="143"/>
      <c r="L215" s="143"/>
    </row>
    <row r="216" spans="1:12">
      <c r="A216" s="296"/>
      <c r="B216" s="143"/>
      <c r="C216" s="143"/>
      <c r="D216" s="143"/>
      <c r="E216" s="143"/>
      <c r="F216" s="143"/>
      <c r="G216" s="143"/>
      <c r="H216" s="143"/>
      <c r="I216" s="143"/>
      <c r="J216" s="143"/>
      <c r="K216" s="143"/>
      <c r="L216" s="143"/>
    </row>
    <row r="217" spans="1:12">
      <c r="A217" s="296"/>
      <c r="B217" s="143"/>
      <c r="C217" s="143"/>
      <c r="D217" s="143"/>
      <c r="E217" s="143"/>
      <c r="F217" s="143"/>
      <c r="G217" s="143"/>
      <c r="H217" s="143"/>
      <c r="I217" s="143"/>
      <c r="J217" s="143"/>
      <c r="K217" s="143"/>
      <c r="L217" s="143"/>
    </row>
    <row r="218" spans="1:12">
      <c r="A218" s="296"/>
      <c r="B218" s="143"/>
      <c r="C218" s="143"/>
      <c r="D218" s="143"/>
      <c r="E218" s="143"/>
      <c r="F218" s="143"/>
      <c r="G218" s="143"/>
      <c r="H218" s="143"/>
      <c r="I218" s="143"/>
      <c r="J218" s="143"/>
      <c r="K218" s="143"/>
      <c r="L218" s="143"/>
    </row>
    <row r="219" spans="1:12">
      <c r="A219" s="296"/>
      <c r="B219" s="143"/>
      <c r="C219" s="143"/>
      <c r="D219" s="143"/>
      <c r="E219" s="143"/>
      <c r="F219" s="143"/>
      <c r="G219" s="143"/>
      <c r="H219" s="143"/>
      <c r="I219" s="143"/>
      <c r="J219" s="143"/>
      <c r="K219" s="143"/>
      <c r="L219" s="143"/>
    </row>
    <row r="220" spans="1:12">
      <c r="A220" s="296"/>
      <c r="B220" s="143"/>
      <c r="C220" s="143"/>
      <c r="D220" s="143"/>
      <c r="E220" s="143"/>
      <c r="F220" s="143"/>
      <c r="G220" s="143"/>
      <c r="H220" s="143"/>
      <c r="I220" s="143"/>
      <c r="J220" s="143"/>
      <c r="K220" s="143"/>
      <c r="L220" s="143"/>
    </row>
    <row r="221" spans="1:12">
      <c r="A221" s="296"/>
      <c r="B221" s="143"/>
      <c r="C221" s="143"/>
      <c r="D221" s="143"/>
      <c r="E221" s="143"/>
      <c r="F221" s="143"/>
      <c r="G221" s="143"/>
      <c r="H221" s="143"/>
      <c r="I221" s="143"/>
      <c r="J221" s="143"/>
      <c r="K221" s="143"/>
      <c r="L221" s="143"/>
    </row>
    <row r="222" spans="1:12">
      <c r="A222" s="296"/>
      <c r="B222" s="143"/>
      <c r="C222" s="143"/>
      <c r="D222" s="143"/>
      <c r="E222" s="143"/>
      <c r="F222" s="143"/>
      <c r="G222" s="143"/>
      <c r="H222" s="143"/>
      <c r="I222" s="143"/>
      <c r="J222" s="143"/>
      <c r="K222" s="143"/>
      <c r="L222" s="143"/>
    </row>
    <row r="223" spans="1:12">
      <c r="A223" s="296"/>
      <c r="B223" s="143"/>
      <c r="C223" s="143"/>
      <c r="D223" s="143"/>
      <c r="E223" s="143"/>
      <c r="F223" s="143"/>
      <c r="G223" s="143"/>
      <c r="H223" s="143"/>
      <c r="I223" s="143"/>
      <c r="J223" s="143"/>
      <c r="K223" s="143"/>
      <c r="L223" s="143"/>
    </row>
    <row r="224" spans="1:12">
      <c r="A224" s="296"/>
      <c r="B224" s="143"/>
      <c r="C224" s="143"/>
      <c r="D224" s="143"/>
      <c r="E224" s="143"/>
      <c r="F224" s="143"/>
      <c r="G224" s="143"/>
      <c r="H224" s="143"/>
      <c r="I224" s="143"/>
      <c r="J224" s="143"/>
      <c r="K224" s="143"/>
      <c r="L224" s="143"/>
    </row>
    <row r="225" spans="1:12">
      <c r="A225" s="296"/>
      <c r="B225" s="143"/>
      <c r="C225" s="143"/>
      <c r="D225" s="143"/>
      <c r="E225" s="143"/>
      <c r="F225" s="143"/>
      <c r="G225" s="143"/>
      <c r="H225" s="143"/>
      <c r="I225" s="143"/>
      <c r="J225" s="143"/>
      <c r="K225" s="143"/>
      <c r="L225" s="143"/>
    </row>
    <row r="226" spans="1:12">
      <c r="A226" s="296"/>
      <c r="B226" s="143"/>
      <c r="C226" s="143"/>
      <c r="D226" s="143"/>
      <c r="E226" s="143"/>
      <c r="F226" s="143"/>
      <c r="G226" s="143"/>
      <c r="H226" s="143"/>
      <c r="I226" s="143"/>
      <c r="J226" s="143"/>
      <c r="K226" s="143"/>
      <c r="L226" s="143"/>
    </row>
    <row r="227" spans="1:12">
      <c r="A227" s="296"/>
      <c r="B227" s="143"/>
      <c r="C227" s="143"/>
      <c r="D227" s="143"/>
      <c r="E227" s="143"/>
      <c r="F227" s="143"/>
      <c r="G227" s="143"/>
      <c r="H227" s="143"/>
      <c r="I227" s="143"/>
      <c r="J227" s="143"/>
      <c r="K227" s="143"/>
      <c r="L227" s="143"/>
    </row>
    <row r="228" spans="1:12">
      <c r="A228" s="296"/>
      <c r="B228" s="143"/>
      <c r="C228" s="143"/>
      <c r="D228" s="143"/>
      <c r="E228" s="143"/>
      <c r="F228" s="143"/>
      <c r="G228" s="143"/>
      <c r="H228" s="143"/>
      <c r="I228" s="143"/>
      <c r="J228" s="143"/>
      <c r="K228" s="143"/>
      <c r="L228" s="143"/>
    </row>
    <row r="229" spans="1:12">
      <c r="A229" s="296"/>
      <c r="B229" s="143"/>
      <c r="C229" s="143"/>
      <c r="D229" s="143"/>
      <c r="E229" s="143"/>
      <c r="F229" s="143"/>
      <c r="G229" s="143"/>
      <c r="H229" s="143"/>
      <c r="I229" s="143"/>
      <c r="J229" s="143"/>
      <c r="K229" s="143"/>
      <c r="L229" s="143"/>
    </row>
    <row r="230" spans="1:12">
      <c r="A230" s="296"/>
      <c r="B230" s="143"/>
      <c r="C230" s="143"/>
      <c r="D230" s="143"/>
      <c r="E230" s="143"/>
      <c r="F230" s="143"/>
      <c r="G230" s="143"/>
      <c r="H230" s="143"/>
      <c r="I230" s="143"/>
      <c r="J230" s="143"/>
      <c r="K230" s="143"/>
      <c r="L230" s="143"/>
    </row>
    <row r="231" spans="1:12">
      <c r="A231" s="296"/>
      <c r="B231" s="143"/>
      <c r="C231" s="143"/>
      <c r="D231" s="143"/>
      <c r="E231" s="143"/>
      <c r="F231" s="143"/>
      <c r="G231" s="143"/>
      <c r="H231" s="143"/>
      <c r="I231" s="143"/>
      <c r="J231" s="143"/>
      <c r="K231" s="143"/>
      <c r="L231" s="143"/>
    </row>
    <row r="232" spans="1:12">
      <c r="A232" s="296"/>
      <c r="B232" s="143"/>
      <c r="C232" s="143"/>
      <c r="D232" s="143"/>
      <c r="E232" s="143"/>
      <c r="F232" s="143"/>
      <c r="G232" s="143"/>
      <c r="H232" s="143"/>
      <c r="I232" s="143"/>
      <c r="J232" s="143"/>
      <c r="K232" s="143"/>
      <c r="L232" s="143"/>
    </row>
    <row r="233" spans="1:12">
      <c r="A233" s="296"/>
      <c r="B233" s="143"/>
      <c r="C233" s="143"/>
      <c r="D233" s="143"/>
      <c r="E233" s="143"/>
      <c r="F233" s="143"/>
      <c r="G233" s="143"/>
      <c r="H233" s="143"/>
      <c r="I233" s="143"/>
      <c r="J233" s="143"/>
      <c r="K233" s="143"/>
      <c r="L233" s="143"/>
    </row>
    <row r="234" spans="1:12">
      <c r="A234" s="296"/>
      <c r="B234" s="143"/>
      <c r="C234" s="143"/>
      <c r="D234" s="143"/>
      <c r="E234" s="143"/>
      <c r="F234" s="143"/>
      <c r="G234" s="143"/>
      <c r="H234" s="143"/>
      <c r="I234" s="143"/>
      <c r="J234" s="143"/>
      <c r="K234" s="143"/>
      <c r="L234" s="143"/>
    </row>
    <row r="235" spans="1:12">
      <c r="A235" s="296"/>
      <c r="B235" s="143"/>
      <c r="C235" s="143"/>
      <c r="D235" s="143"/>
      <c r="E235" s="143"/>
      <c r="F235" s="143"/>
      <c r="G235" s="143"/>
      <c r="H235" s="143"/>
      <c r="I235" s="143"/>
      <c r="J235" s="143"/>
      <c r="K235" s="143"/>
      <c r="L235" s="143"/>
    </row>
    <row r="236" spans="1:12">
      <c r="A236" s="296"/>
      <c r="B236" s="143"/>
      <c r="C236" s="143"/>
      <c r="D236" s="143"/>
      <c r="E236" s="143"/>
      <c r="F236" s="143"/>
      <c r="G236" s="143"/>
      <c r="H236" s="143"/>
      <c r="I236" s="143"/>
      <c r="J236" s="143"/>
      <c r="K236" s="143"/>
      <c r="L236" s="143"/>
    </row>
    <row r="237" spans="1:12">
      <c r="A237" s="296"/>
      <c r="B237" s="143"/>
      <c r="C237" s="143"/>
      <c r="D237" s="143"/>
      <c r="E237" s="143"/>
      <c r="F237" s="143"/>
      <c r="G237" s="143"/>
      <c r="H237" s="143"/>
      <c r="I237" s="143"/>
      <c r="J237" s="143"/>
      <c r="K237" s="143"/>
      <c r="L237" s="143"/>
    </row>
    <row r="238" spans="1:12">
      <c r="A238" s="296"/>
      <c r="B238" s="143"/>
      <c r="C238" s="143"/>
      <c r="D238" s="143"/>
      <c r="E238" s="143"/>
      <c r="F238" s="143"/>
      <c r="G238" s="143"/>
      <c r="H238" s="143"/>
      <c r="I238" s="143"/>
      <c r="J238" s="143"/>
      <c r="K238" s="143"/>
      <c r="L238" s="143"/>
    </row>
    <row r="239" spans="1:12">
      <c r="A239" s="296"/>
      <c r="B239" s="143"/>
      <c r="C239" s="143"/>
      <c r="D239" s="143"/>
      <c r="E239" s="143"/>
      <c r="F239" s="143"/>
      <c r="G239" s="143"/>
      <c r="H239" s="143"/>
      <c r="I239" s="143"/>
      <c r="J239" s="143"/>
      <c r="K239" s="143"/>
      <c r="L239" s="143"/>
    </row>
    <row r="240" spans="1:12">
      <c r="A240" s="296"/>
      <c r="B240" s="143"/>
      <c r="C240" s="143"/>
      <c r="D240" s="143"/>
      <c r="E240" s="143"/>
      <c r="F240" s="143"/>
      <c r="G240" s="143"/>
      <c r="H240" s="143"/>
      <c r="I240" s="143"/>
      <c r="J240" s="143"/>
      <c r="K240" s="143"/>
      <c r="L240" s="143"/>
    </row>
    <row r="241" spans="1:12">
      <c r="A241" s="296"/>
      <c r="B241" s="143"/>
      <c r="C241" s="143"/>
      <c r="D241" s="143"/>
      <c r="E241" s="143"/>
      <c r="F241" s="143"/>
      <c r="G241" s="143"/>
      <c r="H241" s="143"/>
      <c r="I241" s="143"/>
      <c r="J241" s="143"/>
      <c r="K241" s="143"/>
      <c r="L241" s="143"/>
    </row>
    <row r="242" spans="1:12">
      <c r="A242" s="296"/>
      <c r="B242" s="143"/>
      <c r="C242" s="143"/>
      <c r="D242" s="143"/>
      <c r="E242" s="143"/>
      <c r="F242" s="143"/>
      <c r="G242" s="143"/>
      <c r="H242" s="143"/>
      <c r="I242" s="143"/>
      <c r="J242" s="143"/>
      <c r="K242" s="143"/>
      <c r="L242" s="143"/>
    </row>
    <row r="243" spans="1:12">
      <c r="A243" s="296"/>
      <c r="B243" s="143"/>
      <c r="C243" s="143"/>
      <c r="D243" s="143"/>
      <c r="E243" s="143"/>
      <c r="F243" s="143"/>
      <c r="G243" s="143"/>
      <c r="H243" s="143"/>
      <c r="I243" s="143"/>
      <c r="J243" s="143"/>
      <c r="K243" s="143"/>
      <c r="L243" s="143"/>
    </row>
    <row r="244" spans="1:12">
      <c r="A244" s="296"/>
      <c r="B244" s="143"/>
      <c r="C244" s="143"/>
      <c r="D244" s="143"/>
      <c r="E244" s="143"/>
      <c r="F244" s="143"/>
      <c r="G244" s="143"/>
      <c r="H244" s="143"/>
      <c r="I244" s="143"/>
      <c r="J244" s="143"/>
      <c r="K244" s="143"/>
      <c r="L244" s="143"/>
    </row>
    <row r="245" spans="1:12">
      <c r="A245" s="296"/>
      <c r="B245" s="143"/>
      <c r="C245" s="143"/>
      <c r="D245" s="143"/>
      <c r="E245" s="143"/>
      <c r="F245" s="143"/>
      <c r="G245" s="143"/>
      <c r="H245" s="143"/>
      <c r="I245" s="143"/>
      <c r="J245" s="143"/>
      <c r="K245" s="143"/>
      <c r="L245" s="143"/>
    </row>
    <row r="246" spans="1:12">
      <c r="A246" s="296"/>
      <c r="B246" s="143"/>
      <c r="C246" s="143"/>
      <c r="D246" s="143"/>
      <c r="E246" s="143"/>
      <c r="F246" s="143"/>
      <c r="G246" s="143"/>
      <c r="H246" s="143"/>
      <c r="I246" s="143"/>
      <c r="J246" s="143"/>
      <c r="K246" s="143"/>
      <c r="L246" s="143"/>
    </row>
    <row r="247" spans="1:12">
      <c r="A247" s="296"/>
      <c r="B247" s="143"/>
      <c r="C247" s="143"/>
      <c r="D247" s="143"/>
      <c r="E247" s="143"/>
      <c r="F247" s="143"/>
      <c r="G247" s="143"/>
      <c r="H247" s="143"/>
      <c r="I247" s="143"/>
      <c r="J247" s="143"/>
      <c r="K247" s="143"/>
      <c r="L247" s="143"/>
    </row>
    <row r="248" spans="1:12">
      <c r="A248" s="296"/>
      <c r="B248" s="143"/>
      <c r="C248" s="143"/>
      <c r="D248" s="143"/>
      <c r="E248" s="143"/>
      <c r="F248" s="143"/>
      <c r="G248" s="143"/>
      <c r="H248" s="143"/>
      <c r="I248" s="143"/>
      <c r="J248" s="143"/>
      <c r="K248" s="143"/>
      <c r="L248" s="143"/>
    </row>
    <row r="249" spans="1:12">
      <c r="A249" s="296"/>
      <c r="B249" s="143"/>
      <c r="C249" s="143"/>
      <c r="D249" s="143"/>
      <c r="E249" s="143"/>
      <c r="F249" s="143"/>
      <c r="G249" s="143"/>
      <c r="H249" s="143"/>
      <c r="I249" s="143"/>
      <c r="J249" s="143"/>
      <c r="K249" s="143"/>
      <c r="L249" s="143"/>
    </row>
    <row r="250" spans="1:12">
      <c r="A250" s="296"/>
      <c r="B250" s="143"/>
      <c r="C250" s="143"/>
      <c r="D250" s="143"/>
      <c r="E250" s="143"/>
      <c r="F250" s="143"/>
      <c r="G250" s="143"/>
      <c r="H250" s="143"/>
      <c r="I250" s="143"/>
      <c r="J250" s="143"/>
      <c r="K250" s="143"/>
      <c r="L250" s="143"/>
    </row>
    <row r="251" spans="1:12">
      <c r="A251" s="296"/>
      <c r="B251" s="143"/>
      <c r="C251" s="143"/>
      <c r="D251" s="143"/>
      <c r="E251" s="143"/>
      <c r="F251" s="143"/>
      <c r="G251" s="143"/>
      <c r="H251" s="143"/>
      <c r="I251" s="143"/>
      <c r="J251" s="143"/>
      <c r="K251" s="143"/>
      <c r="L251" s="143"/>
    </row>
    <row r="252" spans="1:12">
      <c r="A252" s="296"/>
      <c r="B252" s="143"/>
      <c r="C252" s="143"/>
      <c r="D252" s="143"/>
      <c r="E252" s="143"/>
      <c r="F252" s="143"/>
      <c r="G252" s="143"/>
      <c r="H252" s="143"/>
      <c r="I252" s="143"/>
      <c r="J252" s="143"/>
      <c r="K252" s="143"/>
      <c r="L252" s="143"/>
    </row>
    <row r="253" spans="1:12">
      <c r="A253" s="296"/>
      <c r="B253" s="143"/>
      <c r="C253" s="143"/>
      <c r="D253" s="143"/>
      <c r="E253" s="143"/>
      <c r="F253" s="143"/>
      <c r="G253" s="143"/>
      <c r="H253" s="143"/>
      <c r="I253" s="143"/>
      <c r="J253" s="143"/>
      <c r="K253" s="143"/>
      <c r="L253" s="143"/>
    </row>
    <row r="254" spans="1:12">
      <c r="A254" s="296"/>
      <c r="B254" s="143"/>
      <c r="C254" s="143"/>
      <c r="D254" s="143"/>
      <c r="E254" s="143"/>
      <c r="F254" s="143"/>
      <c r="G254" s="143"/>
      <c r="H254" s="143"/>
      <c r="I254" s="143"/>
      <c r="J254" s="143"/>
      <c r="K254" s="143"/>
      <c r="L254" s="143"/>
    </row>
    <row r="255" spans="1:12">
      <c r="A255" s="296"/>
      <c r="B255" s="143"/>
      <c r="C255" s="143"/>
      <c r="D255" s="143"/>
      <c r="E255" s="143"/>
      <c r="F255" s="143"/>
      <c r="G255" s="143"/>
      <c r="H255" s="143"/>
      <c r="I255" s="143"/>
      <c r="J255" s="143"/>
      <c r="K255" s="143"/>
      <c r="L255" s="143"/>
    </row>
    <row r="256" spans="1:12">
      <c r="A256" s="296"/>
      <c r="B256" s="143"/>
      <c r="C256" s="143"/>
      <c r="D256" s="143"/>
      <c r="E256" s="143"/>
      <c r="F256" s="143"/>
      <c r="G256" s="143"/>
      <c r="H256" s="143"/>
      <c r="I256" s="143"/>
      <c r="J256" s="143"/>
      <c r="K256" s="143"/>
      <c r="L256" s="143"/>
    </row>
    <row r="257" spans="1:12">
      <c r="A257" s="296"/>
      <c r="B257" s="143"/>
      <c r="C257" s="143"/>
      <c r="D257" s="143"/>
      <c r="E257" s="143"/>
      <c r="F257" s="143"/>
      <c r="G257" s="143"/>
      <c r="H257" s="143"/>
      <c r="I257" s="143"/>
      <c r="J257" s="143"/>
      <c r="K257" s="143"/>
      <c r="L257" s="143"/>
    </row>
    <row r="258" spans="1:12">
      <c r="A258" s="296"/>
      <c r="B258" s="143"/>
      <c r="C258" s="143"/>
      <c r="D258" s="143"/>
      <c r="E258" s="143"/>
      <c r="F258" s="143"/>
      <c r="G258" s="143"/>
      <c r="H258" s="143"/>
      <c r="I258" s="143"/>
      <c r="J258" s="143"/>
      <c r="K258" s="143"/>
      <c r="L258" s="143"/>
    </row>
    <row r="259" spans="1:12">
      <c r="A259" s="296"/>
      <c r="B259" s="143"/>
      <c r="C259" s="143"/>
      <c r="D259" s="143"/>
      <c r="E259" s="143"/>
      <c r="F259" s="143"/>
      <c r="G259" s="143"/>
      <c r="H259" s="143"/>
      <c r="I259" s="143"/>
      <c r="J259" s="143"/>
      <c r="K259" s="143"/>
      <c r="L259" s="143"/>
    </row>
    <row r="260" spans="1:12">
      <c r="A260" s="296"/>
      <c r="B260" s="143"/>
      <c r="C260" s="143"/>
      <c r="D260" s="143"/>
      <c r="E260" s="143"/>
      <c r="F260" s="143"/>
      <c r="G260" s="143"/>
      <c r="H260" s="143"/>
      <c r="I260" s="143"/>
      <c r="J260" s="143"/>
      <c r="K260" s="143"/>
      <c r="L260" s="143"/>
    </row>
    <row r="261" spans="1:12">
      <c r="A261" s="296"/>
      <c r="B261" s="143"/>
      <c r="C261" s="143"/>
      <c r="D261" s="143"/>
      <c r="E261" s="143"/>
      <c r="F261" s="143"/>
      <c r="G261" s="143"/>
      <c r="H261" s="143"/>
      <c r="I261" s="143"/>
      <c r="J261" s="143"/>
      <c r="K261" s="143"/>
      <c r="L261" s="143"/>
    </row>
    <row r="262" spans="1:12">
      <c r="A262" s="296"/>
      <c r="B262" s="143"/>
      <c r="C262" s="143"/>
      <c r="D262" s="143"/>
      <c r="E262" s="143"/>
      <c r="F262" s="143"/>
      <c r="G262" s="143"/>
      <c r="H262" s="143"/>
      <c r="I262" s="143"/>
      <c r="J262" s="143"/>
      <c r="K262" s="143"/>
      <c r="L262" s="143"/>
    </row>
    <row r="263" spans="1:12">
      <c r="A263" s="296"/>
      <c r="B263" s="143"/>
      <c r="C263" s="143"/>
      <c r="D263" s="143"/>
      <c r="E263" s="143"/>
      <c r="F263" s="143"/>
      <c r="G263" s="143"/>
      <c r="H263" s="143"/>
      <c r="I263" s="143"/>
      <c r="J263" s="143"/>
      <c r="K263" s="143"/>
      <c r="L263" s="143"/>
    </row>
    <row r="264" spans="1:12">
      <c r="A264" s="296"/>
      <c r="B264" s="143"/>
      <c r="C264" s="143"/>
      <c r="D264" s="143"/>
      <c r="E264" s="143"/>
      <c r="F264" s="143"/>
      <c r="G264" s="143"/>
      <c r="H264" s="143"/>
      <c r="I264" s="143"/>
      <c r="J264" s="143"/>
      <c r="K264" s="143"/>
      <c r="L264" s="143"/>
    </row>
    <row r="265" spans="1:12">
      <c r="A265" s="296"/>
      <c r="B265" s="143"/>
      <c r="C265" s="143"/>
      <c r="D265" s="143"/>
      <c r="E265" s="143"/>
      <c r="F265" s="143"/>
      <c r="G265" s="143"/>
      <c r="H265" s="143"/>
      <c r="I265" s="143"/>
      <c r="J265" s="143"/>
      <c r="K265" s="143"/>
      <c r="L265" s="143"/>
    </row>
    <row r="266" spans="1:12">
      <c r="A266" s="296"/>
      <c r="B266" s="143"/>
      <c r="C266" s="143"/>
      <c r="D266" s="143"/>
      <c r="E266" s="143"/>
      <c r="F266" s="143"/>
      <c r="G266" s="143"/>
      <c r="H266" s="143"/>
      <c r="I266" s="143"/>
      <c r="J266" s="143"/>
      <c r="K266" s="143"/>
      <c r="L266" s="143"/>
    </row>
    <row r="267" spans="1:12">
      <c r="A267" s="296"/>
      <c r="B267" s="143"/>
      <c r="C267" s="143"/>
      <c r="D267" s="143"/>
      <c r="E267" s="143"/>
      <c r="F267" s="143"/>
      <c r="G267" s="143"/>
      <c r="H267" s="143"/>
      <c r="I267" s="143"/>
      <c r="J267" s="143"/>
      <c r="K267" s="143"/>
      <c r="L267" s="143"/>
    </row>
    <row r="268" spans="1:12">
      <c r="A268" s="296"/>
      <c r="B268" s="143"/>
      <c r="C268" s="143"/>
      <c r="D268" s="143"/>
      <c r="E268" s="143"/>
      <c r="F268" s="143"/>
      <c r="G268" s="143"/>
      <c r="H268" s="143"/>
      <c r="I268" s="143"/>
      <c r="J268" s="143"/>
      <c r="K268" s="143"/>
      <c r="L268" s="143"/>
    </row>
    <row r="269" spans="1:12">
      <c r="A269" s="296"/>
      <c r="B269" s="143"/>
      <c r="C269" s="143"/>
      <c r="D269" s="143"/>
      <c r="E269" s="143"/>
      <c r="F269" s="143"/>
      <c r="G269" s="143"/>
      <c r="H269" s="143"/>
      <c r="I269" s="143"/>
      <c r="J269" s="143"/>
      <c r="K269" s="143"/>
      <c r="L269" s="143"/>
    </row>
    <row r="270" spans="1:12">
      <c r="A270" s="296"/>
      <c r="B270" s="143"/>
      <c r="C270" s="143"/>
      <c r="D270" s="143"/>
      <c r="E270" s="143"/>
      <c r="F270" s="143"/>
      <c r="G270" s="143"/>
      <c r="H270" s="143"/>
      <c r="I270" s="143"/>
      <c r="J270" s="143"/>
      <c r="K270" s="143"/>
      <c r="L270" s="143"/>
    </row>
    <row r="271" spans="1:12">
      <c r="A271" s="296"/>
      <c r="B271" s="143"/>
      <c r="C271" s="143"/>
      <c r="D271" s="143"/>
      <c r="E271" s="143"/>
      <c r="F271" s="143"/>
      <c r="G271" s="143"/>
      <c r="H271" s="143"/>
      <c r="I271" s="143"/>
      <c r="J271" s="143"/>
      <c r="K271" s="143"/>
      <c r="L271" s="143"/>
    </row>
    <row r="272" spans="1:12">
      <c r="A272" s="296"/>
      <c r="B272" s="143"/>
      <c r="C272" s="143"/>
      <c r="D272" s="143"/>
      <c r="E272" s="143"/>
      <c r="F272" s="143"/>
      <c r="G272" s="143"/>
      <c r="H272" s="143"/>
      <c r="I272" s="143"/>
      <c r="J272" s="143"/>
      <c r="K272" s="143"/>
      <c r="L272" s="143"/>
    </row>
    <row r="273" spans="1:12">
      <c r="A273" s="296"/>
      <c r="B273" s="143"/>
      <c r="C273" s="143"/>
      <c r="D273" s="143"/>
      <c r="E273" s="143"/>
      <c r="F273" s="143"/>
      <c r="G273" s="143"/>
      <c r="H273" s="143"/>
      <c r="I273" s="143"/>
      <c r="J273" s="143"/>
      <c r="K273" s="143"/>
      <c r="L273" s="143"/>
    </row>
    <row r="274" spans="1:12">
      <c r="A274" s="296"/>
      <c r="B274" s="143"/>
      <c r="C274" s="143"/>
      <c r="D274" s="143"/>
      <c r="E274" s="143"/>
      <c r="F274" s="143"/>
      <c r="G274" s="143"/>
      <c r="H274" s="143"/>
      <c r="I274" s="143"/>
      <c r="J274" s="143"/>
      <c r="K274" s="143"/>
      <c r="L274" s="143"/>
    </row>
    <row r="275" spans="1:12">
      <c r="A275" s="296"/>
      <c r="B275" s="143"/>
      <c r="C275" s="143"/>
      <c r="D275" s="143"/>
      <c r="E275" s="143"/>
      <c r="F275" s="143"/>
      <c r="G275" s="143"/>
      <c r="H275" s="143"/>
      <c r="I275" s="143"/>
      <c r="J275" s="143"/>
      <c r="K275" s="143"/>
      <c r="L275" s="143"/>
    </row>
    <row r="276" spans="1:12">
      <c r="A276" s="296"/>
      <c r="B276" s="143"/>
      <c r="C276" s="143"/>
      <c r="D276" s="143"/>
      <c r="E276" s="143"/>
      <c r="F276" s="143"/>
      <c r="G276" s="143"/>
      <c r="H276" s="143"/>
      <c r="I276" s="143"/>
      <c r="J276" s="143"/>
      <c r="K276" s="143"/>
      <c r="L276" s="143"/>
    </row>
    <row r="277" spans="1:12">
      <c r="A277" s="296"/>
      <c r="B277" s="143"/>
      <c r="C277" s="143"/>
      <c r="D277" s="143"/>
      <c r="E277" s="143"/>
      <c r="F277" s="143"/>
      <c r="G277" s="143"/>
      <c r="H277" s="143"/>
      <c r="I277" s="143"/>
      <c r="J277" s="143"/>
      <c r="K277" s="143"/>
      <c r="L277" s="143"/>
    </row>
    <row r="278" spans="1:12">
      <c r="A278" s="296"/>
      <c r="B278" s="143"/>
      <c r="C278" s="143"/>
      <c r="D278" s="143"/>
      <c r="E278" s="143"/>
      <c r="F278" s="143"/>
      <c r="G278" s="143"/>
      <c r="H278" s="143"/>
      <c r="I278" s="143"/>
      <c r="J278" s="143"/>
      <c r="K278" s="143"/>
      <c r="L278" s="143"/>
    </row>
    <row r="279" spans="1:12">
      <c r="A279" s="296"/>
      <c r="B279" s="143"/>
      <c r="C279" s="143"/>
      <c r="D279" s="143"/>
      <c r="E279" s="143"/>
      <c r="F279" s="143"/>
      <c r="G279" s="143"/>
      <c r="H279" s="143"/>
      <c r="I279" s="143"/>
      <c r="J279" s="143"/>
      <c r="K279" s="143"/>
      <c r="L279" s="143"/>
    </row>
    <row r="280" spans="1:12">
      <c r="A280" s="296"/>
      <c r="B280" s="143"/>
      <c r="C280" s="143"/>
      <c r="D280" s="143"/>
      <c r="E280" s="143"/>
      <c r="F280" s="143"/>
      <c r="G280" s="143"/>
      <c r="H280" s="143"/>
      <c r="I280" s="143"/>
      <c r="J280" s="143"/>
      <c r="K280" s="143"/>
      <c r="L280" s="143"/>
    </row>
    <row r="281" spans="1:12">
      <c r="A281" s="296"/>
      <c r="B281" s="143"/>
      <c r="C281" s="143"/>
      <c r="D281" s="143"/>
      <c r="E281" s="143"/>
      <c r="F281" s="143"/>
      <c r="G281" s="143"/>
      <c r="H281" s="143"/>
      <c r="I281" s="143"/>
      <c r="J281" s="143"/>
      <c r="K281" s="143"/>
      <c r="L281" s="143"/>
    </row>
    <row r="282" spans="1:12">
      <c r="A282" s="296"/>
      <c r="B282" s="143"/>
      <c r="C282" s="143"/>
      <c r="D282" s="143"/>
      <c r="E282" s="143"/>
      <c r="F282" s="143"/>
      <c r="G282" s="143"/>
      <c r="H282" s="143"/>
      <c r="I282" s="143"/>
      <c r="J282" s="143"/>
      <c r="K282" s="143"/>
      <c r="L282" s="143"/>
    </row>
    <row r="283" spans="1:12">
      <c r="A283" s="296"/>
      <c r="B283" s="143"/>
      <c r="C283" s="143"/>
      <c r="D283" s="143"/>
      <c r="E283" s="143"/>
      <c r="F283" s="143"/>
      <c r="G283" s="143"/>
      <c r="H283" s="143"/>
      <c r="I283" s="143"/>
      <c r="J283" s="143"/>
      <c r="K283" s="143"/>
      <c r="L283" s="143"/>
    </row>
    <row r="284" spans="1:12">
      <c r="A284" s="296"/>
      <c r="B284" s="143"/>
      <c r="C284" s="143"/>
      <c r="D284" s="143"/>
      <c r="E284" s="143"/>
      <c r="F284" s="143"/>
      <c r="G284" s="143"/>
      <c r="H284" s="143"/>
      <c r="I284" s="143"/>
      <c r="J284" s="143"/>
      <c r="K284" s="143"/>
      <c r="L284" s="143"/>
    </row>
    <row r="285" spans="1:12">
      <c r="A285" s="296"/>
      <c r="B285" s="143"/>
      <c r="C285" s="143"/>
      <c r="D285" s="143"/>
      <c r="E285" s="143"/>
      <c r="F285" s="143"/>
      <c r="G285" s="143"/>
      <c r="H285" s="143"/>
      <c r="I285" s="143"/>
      <c r="J285" s="143"/>
      <c r="K285" s="143"/>
      <c r="L285" s="143"/>
    </row>
    <row r="286" spans="1:12">
      <c r="A286" s="296"/>
      <c r="B286" s="143"/>
      <c r="C286" s="143"/>
      <c r="D286" s="143"/>
      <c r="E286" s="143"/>
      <c r="F286" s="143"/>
      <c r="G286" s="143"/>
      <c r="H286" s="143"/>
      <c r="I286" s="143"/>
      <c r="J286" s="143"/>
      <c r="K286" s="143"/>
      <c r="L286" s="143"/>
    </row>
    <row r="287" spans="1:12">
      <c r="A287" s="296"/>
      <c r="B287" s="143"/>
      <c r="C287" s="143"/>
      <c r="D287" s="143"/>
      <c r="E287" s="143"/>
      <c r="F287" s="143"/>
      <c r="G287" s="143"/>
      <c r="H287" s="143"/>
      <c r="I287" s="143"/>
      <c r="J287" s="143"/>
      <c r="K287" s="143"/>
      <c r="L287" s="143"/>
    </row>
    <row r="288" spans="1:12">
      <c r="A288" s="296"/>
      <c r="B288" s="143"/>
      <c r="C288" s="143"/>
      <c r="D288" s="143"/>
      <c r="E288" s="143"/>
      <c r="F288" s="143"/>
      <c r="G288" s="143"/>
      <c r="H288" s="143"/>
      <c r="I288" s="143"/>
      <c r="J288" s="143"/>
      <c r="K288" s="143"/>
      <c r="L288" s="143"/>
    </row>
    <row r="289" spans="1:12">
      <c r="A289" s="296"/>
      <c r="B289" s="143"/>
      <c r="C289" s="143"/>
      <c r="D289" s="143"/>
      <c r="E289" s="143"/>
      <c r="F289" s="143"/>
      <c r="G289" s="143"/>
      <c r="H289" s="143"/>
      <c r="I289" s="143"/>
      <c r="J289" s="143"/>
      <c r="K289" s="143"/>
      <c r="L289" s="143"/>
    </row>
    <row r="290" spans="1:12">
      <c r="A290" s="296"/>
      <c r="B290" s="143"/>
      <c r="C290" s="143"/>
      <c r="D290" s="143"/>
      <c r="E290" s="143"/>
      <c r="F290" s="143"/>
      <c r="G290" s="143"/>
      <c r="H290" s="143"/>
      <c r="I290" s="143"/>
      <c r="J290" s="143"/>
      <c r="K290" s="143"/>
      <c r="L290" s="143"/>
    </row>
    <row r="291" spans="1:12">
      <c r="A291" s="296"/>
      <c r="B291" s="143"/>
      <c r="C291" s="143"/>
      <c r="D291" s="143"/>
      <c r="E291" s="143"/>
      <c r="F291" s="143"/>
      <c r="G291" s="143"/>
      <c r="H291" s="143"/>
      <c r="I291" s="143"/>
      <c r="J291" s="143"/>
      <c r="K291" s="143"/>
      <c r="L291" s="143"/>
    </row>
    <row r="292" spans="1:12">
      <c r="A292" s="296"/>
      <c r="B292" s="143"/>
      <c r="C292" s="143"/>
      <c r="D292" s="143"/>
      <c r="E292" s="143"/>
      <c r="F292" s="143"/>
      <c r="G292" s="143"/>
      <c r="H292" s="143"/>
      <c r="I292" s="143"/>
      <c r="J292" s="143"/>
      <c r="K292" s="143"/>
      <c r="L292" s="143"/>
    </row>
    <row r="293" spans="1:12">
      <c r="A293" s="296"/>
      <c r="B293" s="143"/>
      <c r="C293" s="143"/>
      <c r="D293" s="143"/>
      <c r="E293" s="143"/>
      <c r="F293" s="143"/>
      <c r="G293" s="143"/>
      <c r="H293" s="143"/>
      <c r="I293" s="143"/>
      <c r="J293" s="143"/>
      <c r="K293" s="143"/>
      <c r="L293" s="143"/>
    </row>
    <row r="294" spans="1:12">
      <c r="A294" s="296"/>
      <c r="B294" s="143"/>
      <c r="C294" s="143"/>
      <c r="D294" s="143"/>
      <c r="E294" s="143"/>
      <c r="F294" s="143"/>
      <c r="G294" s="143"/>
      <c r="H294" s="143"/>
      <c r="I294" s="143"/>
      <c r="J294" s="143"/>
      <c r="K294" s="143"/>
      <c r="L294" s="143"/>
    </row>
    <row r="295" spans="1:12">
      <c r="A295" s="296"/>
      <c r="B295" s="143"/>
      <c r="C295" s="143"/>
      <c r="D295" s="143"/>
      <c r="E295" s="143"/>
      <c r="F295" s="143"/>
      <c r="G295" s="143"/>
      <c r="H295" s="143"/>
      <c r="I295" s="143"/>
      <c r="J295" s="143"/>
      <c r="K295" s="143"/>
      <c r="L295" s="143"/>
    </row>
    <row r="296" spans="1:12">
      <c r="A296" s="296"/>
      <c r="B296" s="143"/>
      <c r="C296" s="143"/>
      <c r="D296" s="143"/>
      <c r="E296" s="143"/>
      <c r="F296" s="143"/>
      <c r="G296" s="143"/>
      <c r="H296" s="143"/>
      <c r="I296" s="143"/>
      <c r="J296" s="143"/>
      <c r="K296" s="143"/>
      <c r="L296" s="143"/>
    </row>
    <row r="297" spans="1:12">
      <c r="A297" s="296"/>
      <c r="B297" s="143"/>
      <c r="C297" s="143"/>
      <c r="D297" s="143"/>
      <c r="E297" s="143"/>
      <c r="F297" s="143"/>
      <c r="G297" s="143"/>
      <c r="H297" s="143"/>
      <c r="I297" s="143"/>
      <c r="J297" s="143"/>
      <c r="K297" s="143"/>
      <c r="L297" s="143"/>
    </row>
    <row r="298" spans="1:12">
      <c r="A298" s="296"/>
      <c r="B298" s="143"/>
      <c r="C298" s="143"/>
      <c r="D298" s="143"/>
      <c r="E298" s="143"/>
      <c r="F298" s="143"/>
      <c r="G298" s="143"/>
      <c r="H298" s="143"/>
      <c r="I298" s="143"/>
      <c r="J298" s="143"/>
      <c r="K298" s="143"/>
      <c r="L298" s="143"/>
    </row>
    <row r="299" spans="1:12">
      <c r="A299" s="296"/>
      <c r="B299" s="143"/>
      <c r="C299" s="143"/>
      <c r="D299" s="143"/>
      <c r="E299" s="143"/>
      <c r="F299" s="143"/>
      <c r="G299" s="143"/>
      <c r="H299" s="143"/>
      <c r="I299" s="143"/>
      <c r="J299" s="143"/>
      <c r="K299" s="143"/>
      <c r="L299" s="143"/>
    </row>
    <row r="300" spans="1:12">
      <c r="A300" s="296"/>
      <c r="B300" s="143"/>
      <c r="C300" s="143"/>
      <c r="D300" s="143"/>
      <c r="E300" s="143"/>
      <c r="F300" s="143"/>
      <c r="G300" s="143"/>
      <c r="H300" s="143"/>
      <c r="I300" s="143"/>
      <c r="J300" s="143"/>
      <c r="K300" s="143"/>
      <c r="L300" s="143"/>
    </row>
    <row r="301" spans="1:12">
      <c r="A301" s="296"/>
      <c r="B301" s="143"/>
      <c r="C301" s="143"/>
      <c r="D301" s="143"/>
      <c r="E301" s="143"/>
      <c r="F301" s="143"/>
      <c r="G301" s="143"/>
      <c r="H301" s="143"/>
      <c r="I301" s="143"/>
      <c r="J301" s="143"/>
      <c r="K301" s="143"/>
      <c r="L301" s="143"/>
    </row>
    <row r="302" spans="1:12">
      <c r="A302" s="296"/>
      <c r="B302" s="143"/>
      <c r="C302" s="143"/>
      <c r="D302" s="143"/>
      <c r="E302" s="143"/>
      <c r="F302" s="143"/>
      <c r="G302" s="143"/>
      <c r="H302" s="143"/>
      <c r="I302" s="143"/>
      <c r="J302" s="143"/>
      <c r="K302" s="143"/>
      <c r="L302" s="143"/>
    </row>
    <row r="303" spans="1:12">
      <c r="A303" s="296"/>
      <c r="B303" s="143"/>
      <c r="C303" s="143"/>
      <c r="D303" s="143"/>
      <c r="E303" s="143"/>
      <c r="F303" s="143"/>
      <c r="G303" s="143"/>
      <c r="H303" s="143"/>
      <c r="I303" s="143"/>
      <c r="J303" s="143"/>
      <c r="K303" s="143"/>
      <c r="L303" s="143"/>
    </row>
    <row r="304" spans="1:12">
      <c r="A304" s="296"/>
      <c r="B304" s="143"/>
      <c r="C304" s="143"/>
      <c r="D304" s="143"/>
      <c r="E304" s="143"/>
      <c r="F304" s="143"/>
      <c r="G304" s="143"/>
      <c r="H304" s="143"/>
      <c r="I304" s="143"/>
      <c r="J304" s="143"/>
      <c r="K304" s="143"/>
      <c r="L304" s="143"/>
    </row>
    <row r="305" spans="1:12">
      <c r="A305" s="296"/>
      <c r="B305" s="143"/>
      <c r="C305" s="143"/>
      <c r="D305" s="143"/>
      <c r="E305" s="143"/>
      <c r="F305" s="143"/>
      <c r="G305" s="143"/>
      <c r="H305" s="143"/>
      <c r="I305" s="143"/>
      <c r="J305" s="143"/>
      <c r="K305" s="143"/>
      <c r="L305" s="143"/>
    </row>
    <row r="306" spans="1:12">
      <c r="A306" s="296"/>
      <c r="B306" s="143"/>
      <c r="C306" s="143"/>
      <c r="D306" s="143"/>
      <c r="E306" s="143"/>
      <c r="F306" s="143"/>
      <c r="G306" s="143"/>
      <c r="H306" s="143"/>
      <c r="I306" s="143"/>
      <c r="J306" s="143"/>
      <c r="K306" s="143"/>
      <c r="L306" s="143"/>
    </row>
    <row r="307" spans="1:12">
      <c r="A307" s="296"/>
      <c r="B307" s="143"/>
      <c r="C307" s="143"/>
      <c r="D307" s="143"/>
      <c r="E307" s="143"/>
      <c r="F307" s="143"/>
      <c r="G307" s="143"/>
      <c r="H307" s="143"/>
      <c r="I307" s="143"/>
      <c r="J307" s="143"/>
      <c r="K307" s="143"/>
      <c r="L307" s="143"/>
    </row>
    <row r="308" spans="1:12">
      <c r="A308" s="296"/>
      <c r="B308" s="143"/>
      <c r="C308" s="143"/>
      <c r="D308" s="143"/>
      <c r="E308" s="143"/>
      <c r="F308" s="143"/>
      <c r="G308" s="143"/>
      <c r="H308" s="143"/>
      <c r="I308" s="143"/>
      <c r="J308" s="143"/>
      <c r="K308" s="143"/>
      <c r="L308" s="143"/>
    </row>
    <row r="309" spans="1:12">
      <c r="A309" s="296"/>
      <c r="B309" s="143"/>
      <c r="C309" s="143"/>
      <c r="D309" s="143"/>
      <c r="E309" s="143"/>
      <c r="F309" s="143"/>
      <c r="G309" s="143"/>
      <c r="H309" s="143"/>
      <c r="I309" s="143"/>
      <c r="J309" s="143"/>
      <c r="K309" s="143"/>
      <c r="L309" s="143"/>
    </row>
    <row r="310" spans="1:12">
      <c r="A310" s="296"/>
      <c r="B310" s="143"/>
      <c r="C310" s="143"/>
      <c r="D310" s="143"/>
      <c r="E310" s="143"/>
      <c r="F310" s="143"/>
      <c r="G310" s="143"/>
      <c r="H310" s="143"/>
      <c r="I310" s="143"/>
      <c r="J310" s="143"/>
      <c r="K310" s="143"/>
      <c r="L310" s="143"/>
    </row>
    <row r="311" spans="1:12">
      <c r="A311" s="296"/>
      <c r="B311" s="143"/>
      <c r="C311" s="143"/>
      <c r="D311" s="143"/>
      <c r="E311" s="143"/>
      <c r="F311" s="143"/>
      <c r="G311" s="143"/>
      <c r="H311" s="143"/>
      <c r="I311" s="143"/>
      <c r="J311" s="143"/>
      <c r="K311" s="143"/>
      <c r="L311" s="143"/>
    </row>
    <row r="312" spans="1:12">
      <c r="A312" s="296"/>
      <c r="B312" s="143"/>
      <c r="C312" s="143"/>
      <c r="D312" s="143"/>
      <c r="E312" s="143"/>
      <c r="F312" s="143"/>
      <c r="G312" s="143"/>
      <c r="H312" s="143"/>
      <c r="I312" s="143"/>
      <c r="J312" s="143"/>
      <c r="K312" s="143"/>
      <c r="L312" s="143"/>
    </row>
    <row r="313" spans="1:12">
      <c r="A313" s="296"/>
      <c r="B313" s="143"/>
      <c r="C313" s="143"/>
      <c r="D313" s="143"/>
      <c r="E313" s="143"/>
      <c r="F313" s="143"/>
      <c r="G313" s="143"/>
      <c r="H313" s="143"/>
      <c r="I313" s="143"/>
      <c r="J313" s="143"/>
      <c r="K313" s="143"/>
      <c r="L313" s="143"/>
    </row>
    <row r="314" spans="1:12">
      <c r="A314" s="296"/>
      <c r="B314" s="143"/>
      <c r="C314" s="143"/>
      <c r="D314" s="143"/>
      <c r="E314" s="143"/>
      <c r="F314" s="143"/>
      <c r="G314" s="143"/>
      <c r="H314" s="143"/>
      <c r="I314" s="143"/>
      <c r="J314" s="143"/>
      <c r="K314" s="143"/>
      <c r="L314" s="143"/>
    </row>
    <row r="315" spans="1:12">
      <c r="A315" s="296"/>
      <c r="B315" s="143"/>
      <c r="C315" s="143"/>
      <c r="D315" s="143"/>
      <c r="E315" s="143"/>
      <c r="F315" s="143"/>
      <c r="G315" s="143"/>
      <c r="H315" s="143"/>
      <c r="I315" s="143"/>
      <c r="J315" s="143"/>
      <c r="K315" s="143"/>
      <c r="L315" s="143"/>
    </row>
    <row r="316" spans="1:12">
      <c r="A316" s="296"/>
      <c r="B316" s="143"/>
      <c r="C316" s="143"/>
      <c r="D316" s="143"/>
      <c r="E316" s="143"/>
      <c r="F316" s="143"/>
      <c r="G316" s="143"/>
      <c r="H316" s="143"/>
      <c r="I316" s="143"/>
      <c r="J316" s="143"/>
      <c r="K316" s="143"/>
      <c r="L316" s="143"/>
    </row>
    <row r="317" spans="1:12">
      <c r="A317" s="296"/>
      <c r="B317" s="143"/>
      <c r="C317" s="143"/>
      <c r="D317" s="143"/>
      <c r="E317" s="143"/>
      <c r="F317" s="143"/>
      <c r="G317" s="143"/>
      <c r="H317" s="143"/>
      <c r="I317" s="143"/>
      <c r="J317" s="143"/>
      <c r="K317" s="143"/>
      <c r="L317" s="143"/>
    </row>
    <row r="318" spans="1:12">
      <c r="A318" s="296"/>
      <c r="B318" s="143"/>
      <c r="C318" s="143"/>
      <c r="D318" s="143"/>
      <c r="E318" s="143"/>
      <c r="F318" s="143"/>
      <c r="G318" s="143"/>
      <c r="H318" s="143"/>
      <c r="I318" s="143"/>
      <c r="J318" s="143"/>
      <c r="K318" s="143"/>
      <c r="L318" s="143"/>
    </row>
    <row r="319" spans="1:12">
      <c r="A319" s="296"/>
      <c r="B319" s="143"/>
      <c r="C319" s="143"/>
      <c r="D319" s="143"/>
      <c r="E319" s="143"/>
      <c r="F319" s="143"/>
      <c r="G319" s="143"/>
      <c r="H319" s="143"/>
      <c r="I319" s="143"/>
      <c r="J319" s="143"/>
      <c r="K319" s="143"/>
      <c r="L319" s="143"/>
    </row>
    <row r="320" spans="1:12">
      <c r="A320" s="296"/>
      <c r="B320" s="143"/>
      <c r="C320" s="143"/>
      <c r="D320" s="143"/>
      <c r="E320" s="143"/>
      <c r="F320" s="143"/>
      <c r="G320" s="143"/>
      <c r="H320" s="143"/>
      <c r="I320" s="143"/>
      <c r="J320" s="143"/>
      <c r="K320" s="143"/>
      <c r="L320" s="143"/>
    </row>
    <row r="321" spans="1:12">
      <c r="A321" s="296"/>
      <c r="B321" s="143"/>
      <c r="C321" s="143"/>
      <c r="D321" s="143"/>
      <c r="E321" s="143"/>
      <c r="F321" s="143"/>
      <c r="G321" s="143"/>
      <c r="H321" s="143"/>
      <c r="I321" s="143"/>
      <c r="J321" s="143"/>
      <c r="K321" s="143"/>
      <c r="L321" s="143"/>
    </row>
    <row r="322" spans="1:12">
      <c r="A322" s="296"/>
      <c r="B322" s="143"/>
      <c r="C322" s="143"/>
      <c r="D322" s="143"/>
      <c r="E322" s="143"/>
      <c r="F322" s="143"/>
      <c r="G322" s="143"/>
      <c r="H322" s="143"/>
      <c r="I322" s="143"/>
      <c r="J322" s="143"/>
      <c r="K322" s="143"/>
      <c r="L322" s="143"/>
    </row>
    <row r="323" spans="1:12">
      <c r="A323" s="296"/>
      <c r="B323" s="143"/>
      <c r="C323" s="143"/>
      <c r="D323" s="143"/>
      <c r="E323" s="143"/>
      <c r="F323" s="143"/>
      <c r="G323" s="143"/>
      <c r="H323" s="143"/>
      <c r="I323" s="143"/>
      <c r="J323" s="143"/>
      <c r="K323" s="143"/>
      <c r="L323" s="143"/>
    </row>
    <row r="324" spans="1:12">
      <c r="A324" s="296"/>
      <c r="B324" s="143"/>
      <c r="C324" s="143"/>
      <c r="D324" s="143"/>
      <c r="E324" s="143"/>
      <c r="F324" s="143"/>
      <c r="G324" s="143"/>
      <c r="H324" s="143"/>
      <c r="I324" s="143"/>
      <c r="J324" s="143"/>
      <c r="K324" s="143"/>
      <c r="L324" s="143"/>
    </row>
    <row r="325" spans="1:12">
      <c r="A325" s="296"/>
      <c r="B325" s="143"/>
      <c r="C325" s="143"/>
      <c r="D325" s="143"/>
      <c r="E325" s="143"/>
      <c r="F325" s="143"/>
      <c r="G325" s="143"/>
      <c r="H325" s="143"/>
      <c r="I325" s="143"/>
      <c r="J325" s="143"/>
      <c r="K325" s="143"/>
      <c r="L325" s="143"/>
    </row>
    <row r="326" spans="1:12">
      <c r="A326" s="296"/>
      <c r="B326" s="143"/>
      <c r="C326" s="143"/>
      <c r="D326" s="143"/>
      <c r="E326" s="143"/>
      <c r="F326" s="143"/>
      <c r="G326" s="143"/>
      <c r="H326" s="143"/>
      <c r="I326" s="143"/>
      <c r="J326" s="143"/>
      <c r="K326" s="143"/>
      <c r="L326" s="143"/>
    </row>
    <row r="327" spans="1:12">
      <c r="A327" s="296"/>
      <c r="B327" s="143"/>
      <c r="C327" s="143"/>
      <c r="D327" s="143"/>
      <c r="E327" s="143"/>
      <c r="F327" s="143"/>
      <c r="G327" s="143"/>
      <c r="H327" s="143"/>
      <c r="I327" s="143"/>
      <c r="J327" s="143"/>
      <c r="K327" s="143"/>
      <c r="L327" s="143"/>
    </row>
    <row r="328" spans="1:12">
      <c r="A328" s="296"/>
      <c r="B328" s="143"/>
      <c r="C328" s="143"/>
      <c r="D328" s="143"/>
      <c r="E328" s="143"/>
      <c r="F328" s="143"/>
      <c r="G328" s="143"/>
      <c r="H328" s="143"/>
      <c r="I328" s="143"/>
      <c r="J328" s="143"/>
      <c r="K328" s="143"/>
      <c r="L328" s="143"/>
    </row>
    <row r="329" spans="1:12">
      <c r="A329" s="296"/>
      <c r="B329" s="143"/>
      <c r="C329" s="143"/>
      <c r="D329" s="143"/>
      <c r="E329" s="143"/>
      <c r="F329" s="143"/>
      <c r="G329" s="143"/>
      <c r="H329" s="143"/>
      <c r="I329" s="143"/>
      <c r="J329" s="143"/>
      <c r="K329" s="143"/>
      <c r="L329" s="143"/>
    </row>
    <row r="330" spans="1:12">
      <c r="A330" s="296"/>
      <c r="B330" s="143"/>
      <c r="C330" s="143"/>
      <c r="D330" s="143"/>
      <c r="E330" s="143"/>
      <c r="F330" s="143"/>
      <c r="G330" s="143"/>
      <c r="H330" s="143"/>
      <c r="I330" s="143"/>
      <c r="J330" s="143"/>
      <c r="K330" s="143"/>
      <c r="L330" s="143"/>
    </row>
    <row r="331" spans="1:12">
      <c r="A331" s="296"/>
      <c r="B331" s="143"/>
      <c r="C331" s="143"/>
      <c r="D331" s="143"/>
      <c r="E331" s="143"/>
      <c r="F331" s="143"/>
      <c r="G331" s="143"/>
      <c r="H331" s="143"/>
      <c r="I331" s="143"/>
      <c r="J331" s="143"/>
      <c r="K331" s="143"/>
      <c r="L331" s="143"/>
    </row>
    <row r="332" spans="1:12">
      <c r="A332" s="296"/>
      <c r="B332" s="143"/>
      <c r="C332" s="143"/>
      <c r="D332" s="143"/>
      <c r="E332" s="143"/>
      <c r="F332" s="143"/>
      <c r="G332" s="143"/>
      <c r="H332" s="143"/>
      <c r="I332" s="143"/>
      <c r="J332" s="143"/>
      <c r="K332" s="143"/>
      <c r="L332" s="143"/>
    </row>
    <row r="333" spans="1:12">
      <c r="A333" s="296"/>
      <c r="B333" s="143"/>
      <c r="C333" s="143"/>
      <c r="D333" s="143"/>
      <c r="E333" s="143"/>
      <c r="F333" s="143"/>
      <c r="G333" s="143"/>
      <c r="H333" s="143"/>
      <c r="I333" s="143"/>
      <c r="J333" s="143"/>
      <c r="K333" s="143"/>
      <c r="L333" s="143"/>
    </row>
    <row r="334" spans="1:12">
      <c r="A334" s="296"/>
      <c r="B334" s="143"/>
      <c r="C334" s="143"/>
      <c r="D334" s="143"/>
      <c r="E334" s="143"/>
      <c r="F334" s="143"/>
      <c r="G334" s="143"/>
      <c r="H334" s="143"/>
      <c r="I334" s="143"/>
      <c r="J334" s="143"/>
      <c r="K334" s="143"/>
      <c r="L334" s="143"/>
    </row>
    <row r="335" spans="1:12">
      <c r="A335" s="296"/>
      <c r="B335" s="143"/>
      <c r="C335" s="143"/>
      <c r="D335" s="143"/>
      <c r="E335" s="143"/>
      <c r="F335" s="143"/>
      <c r="G335" s="143"/>
      <c r="H335" s="143"/>
      <c r="I335" s="143"/>
      <c r="J335" s="143"/>
      <c r="K335" s="143"/>
      <c r="L335" s="143"/>
    </row>
    <row r="336" spans="1:12">
      <c r="A336" s="296"/>
      <c r="B336" s="143"/>
      <c r="C336" s="143"/>
      <c r="D336" s="143"/>
      <c r="E336" s="143"/>
      <c r="F336" s="143"/>
      <c r="G336" s="143"/>
      <c r="H336" s="143"/>
      <c r="I336" s="143"/>
      <c r="J336" s="143"/>
      <c r="K336" s="143"/>
      <c r="L336" s="143"/>
    </row>
    <row r="337" spans="1:12">
      <c r="A337" s="296"/>
      <c r="B337" s="143"/>
      <c r="C337" s="143"/>
      <c r="D337" s="143"/>
      <c r="E337" s="143"/>
      <c r="F337" s="143"/>
      <c r="G337" s="143"/>
      <c r="H337" s="143"/>
      <c r="I337" s="143"/>
      <c r="J337" s="143"/>
      <c r="K337" s="143"/>
      <c r="L337" s="143"/>
    </row>
    <row r="338" spans="1:12">
      <c r="A338" s="296"/>
      <c r="B338" s="143"/>
      <c r="C338" s="143"/>
      <c r="D338" s="143"/>
      <c r="E338" s="143"/>
      <c r="F338" s="143"/>
      <c r="G338" s="143"/>
      <c r="H338" s="143"/>
      <c r="I338" s="143"/>
      <c r="J338" s="143"/>
      <c r="K338" s="143"/>
      <c r="L338" s="143"/>
    </row>
    <row r="339" spans="1:12">
      <c r="A339" s="296"/>
      <c r="B339" s="143"/>
      <c r="C339" s="143"/>
      <c r="D339" s="143"/>
      <c r="E339" s="143"/>
      <c r="F339" s="143"/>
      <c r="G339" s="143"/>
      <c r="H339" s="143"/>
      <c r="I339" s="143"/>
      <c r="J339" s="143"/>
      <c r="K339" s="143"/>
      <c r="L339" s="143"/>
    </row>
    <row r="340" spans="1:12">
      <c r="A340" s="296"/>
      <c r="B340" s="143"/>
      <c r="C340" s="143"/>
      <c r="D340" s="143"/>
      <c r="E340" s="143"/>
      <c r="F340" s="143"/>
      <c r="G340" s="143"/>
      <c r="H340" s="143"/>
      <c r="I340" s="143"/>
      <c r="J340" s="143"/>
      <c r="K340" s="143"/>
      <c r="L340" s="143"/>
    </row>
    <row r="341" spans="1:12">
      <c r="A341" s="296"/>
      <c r="B341" s="143"/>
      <c r="C341" s="143"/>
      <c r="D341" s="143"/>
      <c r="E341" s="143"/>
      <c r="F341" s="143"/>
      <c r="G341" s="143"/>
      <c r="H341" s="143"/>
      <c r="I341" s="143"/>
      <c r="J341" s="143"/>
      <c r="K341" s="143"/>
      <c r="L341" s="143"/>
    </row>
    <row r="342" spans="1:12">
      <c r="A342" s="296"/>
      <c r="B342" s="143"/>
      <c r="C342" s="143"/>
      <c r="D342" s="143"/>
      <c r="E342" s="143"/>
      <c r="F342" s="143"/>
      <c r="G342" s="143"/>
      <c r="H342" s="143"/>
      <c r="I342" s="143"/>
      <c r="J342" s="143"/>
      <c r="K342" s="143"/>
      <c r="L342" s="143"/>
    </row>
    <row r="343" spans="1:12">
      <c r="A343" s="296"/>
      <c r="B343" s="143"/>
      <c r="C343" s="143"/>
      <c r="D343" s="143"/>
      <c r="E343" s="143"/>
      <c r="F343" s="143"/>
      <c r="G343" s="143"/>
      <c r="H343" s="143"/>
      <c r="I343" s="143"/>
      <c r="J343" s="143"/>
      <c r="K343" s="143"/>
      <c r="L343" s="143"/>
    </row>
    <row r="344" spans="1:12">
      <c r="A344" s="296"/>
      <c r="B344" s="143"/>
      <c r="C344" s="143"/>
      <c r="D344" s="143"/>
      <c r="E344" s="143"/>
      <c r="F344" s="143"/>
      <c r="G344" s="143"/>
      <c r="H344" s="143"/>
      <c r="I344" s="143"/>
      <c r="J344" s="143"/>
      <c r="K344" s="143"/>
      <c r="L344" s="143"/>
    </row>
    <row r="345" spans="1:12">
      <c r="A345" s="296"/>
      <c r="B345" s="143"/>
      <c r="C345" s="143"/>
      <c r="D345" s="143"/>
      <c r="E345" s="143"/>
      <c r="F345" s="143"/>
      <c r="G345" s="143"/>
      <c r="H345" s="143"/>
      <c r="I345" s="143"/>
      <c r="J345" s="143"/>
      <c r="K345" s="143"/>
      <c r="L345" s="143"/>
    </row>
    <row r="346" spans="1:12">
      <c r="A346" s="296"/>
      <c r="B346" s="143"/>
      <c r="C346" s="143"/>
      <c r="D346" s="143"/>
      <c r="E346" s="143"/>
      <c r="F346" s="143"/>
      <c r="G346" s="143"/>
      <c r="H346" s="143"/>
      <c r="I346" s="143"/>
      <c r="J346" s="143"/>
      <c r="K346" s="143"/>
      <c r="L346" s="143"/>
    </row>
    <row r="347" spans="1:12">
      <c r="A347" s="296"/>
      <c r="B347" s="143"/>
      <c r="C347" s="143"/>
      <c r="D347" s="143"/>
      <c r="E347" s="143"/>
      <c r="F347" s="143"/>
      <c r="G347" s="143"/>
      <c r="H347" s="143"/>
      <c r="I347" s="143"/>
      <c r="J347" s="143"/>
      <c r="K347" s="143"/>
      <c r="L347" s="143"/>
    </row>
    <row r="348" spans="1:12">
      <c r="A348" s="296"/>
      <c r="B348" s="143"/>
      <c r="C348" s="143"/>
      <c r="D348" s="143"/>
      <c r="E348" s="143"/>
      <c r="F348" s="143"/>
      <c r="G348" s="143"/>
      <c r="H348" s="143"/>
      <c r="I348" s="143"/>
      <c r="J348" s="143"/>
      <c r="K348" s="143"/>
      <c r="L348" s="143"/>
    </row>
    <row r="349" spans="1:12">
      <c r="A349" s="296"/>
      <c r="B349" s="143"/>
      <c r="C349" s="143"/>
      <c r="D349" s="143"/>
      <c r="E349" s="143"/>
      <c r="F349" s="143"/>
      <c r="G349" s="143"/>
      <c r="H349" s="143"/>
      <c r="I349" s="143"/>
      <c r="J349" s="143"/>
      <c r="K349" s="143"/>
      <c r="L349" s="143"/>
    </row>
    <row r="350" spans="1:12">
      <c r="A350" s="296"/>
      <c r="B350" s="143"/>
      <c r="C350" s="143"/>
      <c r="D350" s="143"/>
      <c r="E350" s="143"/>
      <c r="F350" s="143"/>
      <c r="G350" s="143"/>
      <c r="H350" s="143"/>
      <c r="I350" s="143"/>
      <c r="J350" s="143"/>
      <c r="K350" s="143"/>
      <c r="L350" s="143"/>
    </row>
    <row r="351" spans="1:12">
      <c r="A351" s="296"/>
      <c r="B351" s="143"/>
      <c r="C351" s="143"/>
      <c r="D351" s="143"/>
      <c r="E351" s="143"/>
      <c r="F351" s="143"/>
      <c r="G351" s="143"/>
      <c r="H351" s="143"/>
      <c r="I351" s="143"/>
      <c r="J351" s="143"/>
      <c r="K351" s="143"/>
      <c r="L351" s="143"/>
    </row>
    <row r="352" spans="1:12">
      <c r="A352" s="296"/>
      <c r="B352" s="143"/>
      <c r="C352" s="143"/>
      <c r="D352" s="143"/>
      <c r="E352" s="143"/>
      <c r="F352" s="143"/>
      <c r="G352" s="143"/>
      <c r="H352" s="143"/>
      <c r="I352" s="143"/>
      <c r="J352" s="143"/>
      <c r="K352" s="143"/>
      <c r="L352" s="143"/>
    </row>
    <row r="353" spans="1:12">
      <c r="A353" s="296"/>
      <c r="B353" s="143"/>
      <c r="C353" s="143"/>
      <c r="D353" s="143"/>
      <c r="E353" s="143"/>
      <c r="F353" s="143"/>
      <c r="G353" s="143"/>
      <c r="H353" s="143"/>
      <c r="I353" s="143"/>
      <c r="J353" s="143"/>
      <c r="K353" s="143"/>
      <c r="L353" s="143"/>
    </row>
    <row r="354" spans="1:12">
      <c r="A354" s="296"/>
      <c r="B354" s="143"/>
      <c r="C354" s="143"/>
      <c r="D354" s="143"/>
      <c r="E354" s="143"/>
      <c r="F354" s="143"/>
      <c r="G354" s="143"/>
      <c r="H354" s="143"/>
      <c r="I354" s="143"/>
      <c r="J354" s="143"/>
      <c r="K354" s="143"/>
      <c r="L354" s="143"/>
    </row>
    <row r="355" spans="1:12">
      <c r="A355" s="296"/>
      <c r="B355" s="143"/>
      <c r="C355" s="143"/>
      <c r="D355" s="143"/>
      <c r="E355" s="143"/>
      <c r="F355" s="143"/>
      <c r="G355" s="143"/>
      <c r="H355" s="143"/>
      <c r="I355" s="143"/>
      <c r="J355" s="143"/>
      <c r="K355" s="143"/>
      <c r="L355" s="143"/>
    </row>
    <row r="356" spans="1:12">
      <c r="A356" s="296"/>
      <c r="B356" s="143"/>
      <c r="C356" s="143"/>
      <c r="D356" s="143"/>
      <c r="E356" s="143"/>
      <c r="F356" s="143"/>
      <c r="G356" s="143"/>
      <c r="H356" s="143"/>
      <c r="I356" s="143"/>
      <c r="J356" s="143"/>
      <c r="K356" s="143"/>
      <c r="L356" s="143"/>
    </row>
    <row r="357" spans="1:12">
      <c r="A357" s="296"/>
      <c r="B357" s="143"/>
      <c r="C357" s="143"/>
      <c r="D357" s="143"/>
      <c r="E357" s="143"/>
      <c r="F357" s="143"/>
      <c r="G357" s="143"/>
      <c r="H357" s="143"/>
      <c r="I357" s="143"/>
      <c r="J357" s="143"/>
      <c r="K357" s="143"/>
      <c r="L357" s="143"/>
    </row>
    <row r="358" spans="1:12">
      <c r="A358" s="296"/>
      <c r="B358" s="143"/>
      <c r="C358" s="143"/>
      <c r="D358" s="143"/>
      <c r="E358" s="143"/>
      <c r="F358" s="143"/>
      <c r="G358" s="143"/>
      <c r="H358" s="143"/>
      <c r="I358" s="143"/>
      <c r="J358" s="143"/>
      <c r="K358" s="143"/>
      <c r="L358" s="143"/>
    </row>
    <row r="359" spans="1:12">
      <c r="A359" s="296"/>
      <c r="B359" s="143"/>
      <c r="C359" s="143"/>
      <c r="D359" s="143"/>
      <c r="E359" s="143"/>
      <c r="F359" s="143"/>
      <c r="G359" s="143"/>
      <c r="H359" s="143"/>
      <c r="I359" s="143"/>
      <c r="J359" s="143"/>
      <c r="K359" s="143"/>
      <c r="L359" s="143"/>
    </row>
    <row r="360" spans="1:12">
      <c r="A360" s="296"/>
      <c r="B360" s="143"/>
      <c r="C360" s="143"/>
      <c r="D360" s="143"/>
      <c r="E360" s="143"/>
      <c r="F360" s="143"/>
      <c r="G360" s="143"/>
      <c r="H360" s="143"/>
      <c r="I360" s="143"/>
      <c r="J360" s="143"/>
      <c r="K360" s="143"/>
      <c r="L360" s="143"/>
    </row>
    <row r="361" spans="1:12">
      <c r="A361" s="296"/>
      <c r="B361" s="143"/>
      <c r="C361" s="143"/>
      <c r="D361" s="143"/>
      <c r="E361" s="143"/>
      <c r="F361" s="143"/>
      <c r="G361" s="143"/>
      <c r="H361" s="143"/>
      <c r="I361" s="143"/>
      <c r="J361" s="143"/>
      <c r="K361" s="143"/>
      <c r="L361" s="143"/>
    </row>
    <row r="362" spans="1:12">
      <c r="A362" s="296"/>
      <c r="B362" s="143"/>
      <c r="C362" s="143"/>
      <c r="D362" s="143"/>
      <c r="E362" s="143"/>
      <c r="F362" s="143"/>
      <c r="G362" s="143"/>
      <c r="H362" s="143"/>
      <c r="I362" s="143"/>
      <c r="J362" s="143"/>
      <c r="K362" s="143"/>
      <c r="L362" s="143"/>
    </row>
    <row r="363" spans="1:12">
      <c r="A363" s="296"/>
      <c r="B363" s="143"/>
      <c r="C363" s="143"/>
      <c r="D363" s="143"/>
      <c r="E363" s="143"/>
      <c r="F363" s="143"/>
      <c r="G363" s="143"/>
      <c r="H363" s="143"/>
      <c r="I363" s="143"/>
      <c r="J363" s="143"/>
      <c r="K363" s="143"/>
      <c r="L363" s="143"/>
    </row>
    <row r="364" spans="1:12">
      <c r="A364" s="296"/>
      <c r="B364" s="143"/>
      <c r="C364" s="143"/>
      <c r="D364" s="143"/>
      <c r="E364" s="143"/>
      <c r="F364" s="143"/>
      <c r="G364" s="143"/>
      <c r="H364" s="143"/>
      <c r="I364" s="143"/>
      <c r="J364" s="143"/>
      <c r="K364" s="143"/>
      <c r="L364" s="143"/>
    </row>
    <row r="365" spans="1:12">
      <c r="A365" s="296"/>
      <c r="B365" s="143"/>
      <c r="C365" s="143"/>
      <c r="D365" s="143"/>
      <c r="E365" s="143"/>
      <c r="F365" s="143"/>
      <c r="G365" s="143"/>
      <c r="H365" s="143"/>
      <c r="I365" s="143"/>
      <c r="J365" s="143"/>
      <c r="K365" s="143"/>
      <c r="L365" s="143"/>
    </row>
    <row r="366" spans="1:12">
      <c r="A366" s="296"/>
      <c r="B366" s="143"/>
      <c r="C366" s="143"/>
      <c r="D366" s="143"/>
      <c r="E366" s="143"/>
      <c r="F366" s="143"/>
      <c r="G366" s="143"/>
      <c r="H366" s="143"/>
      <c r="I366" s="143"/>
      <c r="J366" s="143"/>
      <c r="K366" s="143"/>
      <c r="L366" s="143"/>
    </row>
    <row r="367" spans="1:12">
      <c r="A367" s="296"/>
      <c r="B367" s="143"/>
      <c r="C367" s="143"/>
      <c r="D367" s="143"/>
      <c r="E367" s="143"/>
      <c r="F367" s="143"/>
      <c r="G367" s="143"/>
      <c r="H367" s="143"/>
      <c r="I367" s="143"/>
      <c r="J367" s="143"/>
      <c r="K367" s="143"/>
      <c r="L367" s="143"/>
    </row>
    <row r="368" spans="1:12">
      <c r="A368" s="296"/>
      <c r="B368" s="143"/>
      <c r="C368" s="143"/>
      <c r="D368" s="143"/>
      <c r="E368" s="143"/>
      <c r="F368" s="143"/>
      <c r="G368" s="143"/>
      <c r="H368" s="143"/>
      <c r="I368" s="143"/>
      <c r="J368" s="143"/>
      <c r="K368" s="143"/>
      <c r="L368" s="143"/>
    </row>
    <row r="369" spans="1:12">
      <c r="A369" s="296"/>
      <c r="B369" s="143"/>
      <c r="C369" s="143"/>
      <c r="D369" s="143"/>
      <c r="E369" s="143"/>
      <c r="F369" s="143"/>
      <c r="G369" s="143"/>
      <c r="H369" s="143"/>
      <c r="I369" s="143"/>
      <c r="J369" s="143"/>
      <c r="K369" s="143"/>
      <c r="L369" s="143"/>
    </row>
    <row r="370" spans="1:12">
      <c r="A370" s="296"/>
      <c r="B370" s="143"/>
      <c r="C370" s="143"/>
      <c r="D370" s="143"/>
      <c r="E370" s="143"/>
      <c r="F370" s="143"/>
      <c r="G370" s="143"/>
      <c r="H370" s="143"/>
      <c r="I370" s="143"/>
      <c r="J370" s="143"/>
      <c r="K370" s="143"/>
      <c r="L370" s="143"/>
    </row>
    <row r="371" spans="1:12">
      <c r="A371" s="296"/>
      <c r="B371" s="143"/>
      <c r="C371" s="143"/>
      <c r="D371" s="143"/>
      <c r="E371" s="143"/>
      <c r="F371" s="143"/>
      <c r="G371" s="143"/>
      <c r="H371" s="143"/>
      <c r="I371" s="143"/>
      <c r="J371" s="143"/>
      <c r="K371" s="143"/>
      <c r="L371" s="143"/>
    </row>
    <row r="372" spans="1:12">
      <c r="A372" s="296"/>
      <c r="B372" s="143"/>
      <c r="C372" s="143"/>
      <c r="D372" s="143"/>
      <c r="E372" s="143"/>
      <c r="F372" s="143"/>
      <c r="G372" s="143"/>
      <c r="H372" s="143"/>
      <c r="I372" s="143"/>
      <c r="J372" s="143"/>
      <c r="K372" s="143"/>
      <c r="L372" s="143"/>
    </row>
    <row r="373" spans="1:12">
      <c r="A373" s="296"/>
      <c r="B373" s="143"/>
      <c r="C373" s="143"/>
      <c r="D373" s="143"/>
      <c r="E373" s="143"/>
      <c r="F373" s="143"/>
      <c r="G373" s="143"/>
      <c r="H373" s="143"/>
      <c r="I373" s="143"/>
      <c r="J373" s="143"/>
      <c r="K373" s="143"/>
      <c r="L373" s="143"/>
    </row>
    <row r="374" spans="1:12">
      <c r="A374" s="296"/>
      <c r="B374" s="143"/>
      <c r="C374" s="143"/>
      <c r="D374" s="143"/>
      <c r="E374" s="143"/>
      <c r="F374" s="143"/>
      <c r="G374" s="143"/>
      <c r="H374" s="143"/>
      <c r="I374" s="143"/>
      <c r="J374" s="143"/>
      <c r="K374" s="143"/>
      <c r="L374" s="143"/>
    </row>
    <row r="375" spans="1:12">
      <c r="A375" s="296"/>
      <c r="B375" s="143"/>
      <c r="C375" s="143"/>
      <c r="D375" s="143"/>
      <c r="E375" s="143"/>
      <c r="F375" s="143"/>
      <c r="G375" s="143"/>
      <c r="H375" s="143"/>
      <c r="I375" s="143"/>
      <c r="J375" s="143"/>
      <c r="K375" s="143"/>
      <c r="L375" s="143"/>
    </row>
    <row r="376" spans="1:12">
      <c r="A376" s="296"/>
      <c r="B376" s="143"/>
      <c r="C376" s="143"/>
      <c r="D376" s="143"/>
      <c r="E376" s="143"/>
      <c r="F376" s="143"/>
      <c r="G376" s="143"/>
      <c r="H376" s="143"/>
      <c r="I376" s="143"/>
      <c r="J376" s="143"/>
      <c r="K376" s="143"/>
      <c r="L376" s="143"/>
    </row>
    <row r="377" spans="1:12">
      <c r="A377" s="296"/>
      <c r="B377" s="143"/>
      <c r="C377" s="143"/>
      <c r="D377" s="143"/>
      <c r="E377" s="143"/>
      <c r="F377" s="143"/>
      <c r="G377" s="143"/>
      <c r="H377" s="143"/>
      <c r="I377" s="143"/>
      <c r="J377" s="143"/>
      <c r="K377" s="143"/>
      <c r="L377" s="143"/>
    </row>
    <row r="378" spans="1:12">
      <c r="A378" s="296"/>
      <c r="B378" s="143"/>
      <c r="C378" s="143"/>
      <c r="D378" s="143"/>
      <c r="E378" s="143"/>
      <c r="F378" s="143"/>
      <c r="G378" s="143"/>
      <c r="H378" s="143"/>
      <c r="I378" s="143"/>
      <c r="J378" s="143"/>
      <c r="K378" s="143"/>
      <c r="L378" s="143"/>
    </row>
    <row r="379" spans="1:12">
      <c r="A379" s="296"/>
      <c r="B379" s="143"/>
      <c r="C379" s="143"/>
      <c r="D379" s="143"/>
      <c r="E379" s="143"/>
      <c r="F379" s="143"/>
      <c r="G379" s="143"/>
      <c r="H379" s="143"/>
      <c r="I379" s="143"/>
      <c r="J379" s="143"/>
      <c r="K379" s="143"/>
      <c r="L379" s="143"/>
    </row>
    <row r="380" spans="1:12">
      <c r="A380" s="296"/>
      <c r="B380" s="143"/>
      <c r="C380" s="143"/>
      <c r="D380" s="143"/>
      <c r="E380" s="143"/>
      <c r="F380" s="143"/>
      <c r="G380" s="143"/>
      <c r="H380" s="143"/>
      <c r="I380" s="143"/>
      <c r="J380" s="143"/>
      <c r="K380" s="143"/>
      <c r="L380" s="143"/>
    </row>
    <row r="381" spans="1:12">
      <c r="A381" s="296"/>
      <c r="B381" s="143"/>
      <c r="C381" s="143"/>
      <c r="D381" s="143"/>
      <c r="E381" s="143"/>
      <c r="F381" s="143"/>
      <c r="G381" s="143"/>
      <c r="H381" s="143"/>
      <c r="I381" s="143"/>
      <c r="J381" s="143"/>
      <c r="K381" s="143"/>
      <c r="L381" s="143"/>
    </row>
    <row r="382" spans="1:12">
      <c r="A382" s="296"/>
      <c r="B382" s="143"/>
      <c r="C382" s="143"/>
      <c r="D382" s="143"/>
      <c r="E382" s="143"/>
      <c r="F382" s="143"/>
      <c r="G382" s="143"/>
      <c r="H382" s="143"/>
      <c r="I382" s="143"/>
      <c r="J382" s="143"/>
      <c r="K382" s="143"/>
      <c r="L382" s="143"/>
    </row>
    <row r="383" spans="1:12">
      <c r="A383" s="296"/>
      <c r="B383" s="143"/>
      <c r="C383" s="143"/>
      <c r="D383" s="143"/>
      <c r="E383" s="143"/>
      <c r="F383" s="143"/>
      <c r="G383" s="143"/>
      <c r="H383" s="143"/>
      <c r="I383" s="143"/>
      <c r="J383" s="143"/>
      <c r="K383" s="143"/>
      <c r="L383" s="143"/>
    </row>
    <row r="384" spans="1:12">
      <c r="A384" s="296"/>
      <c r="B384" s="143"/>
      <c r="C384" s="143"/>
      <c r="D384" s="143"/>
      <c r="E384" s="143"/>
      <c r="F384" s="143"/>
      <c r="G384" s="143"/>
      <c r="H384" s="143"/>
      <c r="I384" s="143"/>
      <c r="J384" s="143"/>
      <c r="K384" s="143"/>
      <c r="L384" s="143"/>
    </row>
    <row r="385" spans="1:12">
      <c r="A385" s="296"/>
      <c r="B385" s="143"/>
      <c r="C385" s="143"/>
      <c r="D385" s="143"/>
      <c r="E385" s="143"/>
      <c r="F385" s="143"/>
      <c r="G385" s="143"/>
      <c r="H385" s="143"/>
      <c r="I385" s="143"/>
      <c r="J385" s="143"/>
      <c r="K385" s="143"/>
      <c r="L385" s="143"/>
    </row>
    <row r="386" spans="1:12">
      <c r="A386" s="296"/>
      <c r="B386" s="143"/>
      <c r="C386" s="143"/>
      <c r="D386" s="143"/>
      <c r="E386" s="143"/>
      <c r="F386" s="143"/>
      <c r="G386" s="143"/>
      <c r="H386" s="143"/>
      <c r="I386" s="143"/>
      <c r="J386" s="143"/>
      <c r="K386" s="143"/>
      <c r="L386" s="143"/>
    </row>
    <row r="387" spans="1:12">
      <c r="A387" s="296"/>
      <c r="B387" s="143"/>
      <c r="C387" s="143"/>
      <c r="D387" s="143"/>
      <c r="E387" s="143"/>
      <c r="F387" s="143"/>
      <c r="G387" s="143"/>
      <c r="H387" s="143"/>
      <c r="I387" s="143"/>
      <c r="J387" s="143"/>
      <c r="K387" s="143"/>
      <c r="L387" s="143"/>
    </row>
    <row r="388" spans="1:12">
      <c r="A388" s="296"/>
      <c r="B388" s="143"/>
      <c r="C388" s="143"/>
      <c r="D388" s="143"/>
      <c r="E388" s="143"/>
      <c r="F388" s="143"/>
      <c r="G388" s="143"/>
      <c r="H388" s="143"/>
      <c r="I388" s="143"/>
      <c r="J388" s="143"/>
      <c r="K388" s="143"/>
      <c r="L388" s="143"/>
    </row>
    <row r="389" spans="1:12">
      <c r="A389" s="296"/>
      <c r="B389" s="143"/>
      <c r="C389" s="143"/>
      <c r="D389" s="143"/>
      <c r="E389" s="143"/>
      <c r="F389" s="143"/>
      <c r="G389" s="143"/>
      <c r="H389" s="143"/>
      <c r="I389" s="143"/>
      <c r="J389" s="143"/>
      <c r="K389" s="143"/>
      <c r="L389" s="143"/>
    </row>
    <row r="390" spans="1:12">
      <c r="A390" s="296"/>
      <c r="B390" s="143"/>
      <c r="C390" s="143"/>
      <c r="D390" s="143"/>
      <c r="E390" s="143"/>
      <c r="F390" s="143"/>
      <c r="G390" s="143"/>
      <c r="H390" s="143"/>
      <c r="I390" s="143"/>
      <c r="J390" s="143"/>
      <c r="K390" s="143"/>
      <c r="L390" s="143"/>
    </row>
    <row r="391" spans="1:12">
      <c r="A391" s="296"/>
      <c r="B391" s="143"/>
      <c r="C391" s="143"/>
      <c r="D391" s="143"/>
      <c r="E391" s="143"/>
      <c r="F391" s="143"/>
      <c r="G391" s="143"/>
      <c r="H391" s="143"/>
      <c r="I391" s="143"/>
      <c r="J391" s="143"/>
      <c r="K391" s="143"/>
      <c r="L391" s="143"/>
    </row>
    <row r="392" spans="1:12">
      <c r="A392" s="296"/>
      <c r="B392" s="143"/>
      <c r="C392" s="143"/>
      <c r="D392" s="143"/>
      <c r="E392" s="143"/>
      <c r="F392" s="143"/>
      <c r="G392" s="143"/>
      <c r="H392" s="143"/>
      <c r="I392" s="143"/>
      <c r="J392" s="143"/>
      <c r="K392" s="143"/>
      <c r="L392" s="143"/>
    </row>
    <row r="393" spans="1:12">
      <c r="A393" s="296"/>
      <c r="B393" s="143"/>
      <c r="C393" s="143"/>
      <c r="D393" s="143"/>
      <c r="E393" s="143"/>
      <c r="F393" s="143"/>
      <c r="G393" s="143"/>
      <c r="H393" s="143"/>
      <c r="I393" s="143"/>
      <c r="J393" s="143"/>
      <c r="K393" s="143"/>
      <c r="L393" s="143"/>
    </row>
    <row r="394" spans="1:12">
      <c r="A394" s="296"/>
      <c r="B394" s="143"/>
      <c r="C394" s="143"/>
      <c r="D394" s="143"/>
      <c r="E394" s="143"/>
      <c r="F394" s="143"/>
      <c r="G394" s="143"/>
      <c r="H394" s="143"/>
      <c r="I394" s="143"/>
      <c r="J394" s="143"/>
      <c r="K394" s="143"/>
      <c r="L394" s="143"/>
    </row>
    <row r="395" spans="1:12">
      <c r="A395" s="296"/>
      <c r="B395" s="143"/>
      <c r="C395" s="143"/>
      <c r="D395" s="143"/>
      <c r="E395" s="143"/>
      <c r="F395" s="143"/>
      <c r="G395" s="143"/>
      <c r="H395" s="143"/>
      <c r="I395" s="143"/>
      <c r="J395" s="143"/>
      <c r="K395" s="143"/>
      <c r="L395" s="143"/>
    </row>
    <row r="396" spans="1:12">
      <c r="A396" s="296"/>
      <c r="B396" s="143"/>
      <c r="C396" s="143"/>
      <c r="D396" s="143"/>
      <c r="E396" s="143"/>
      <c r="F396" s="143"/>
      <c r="G396" s="143"/>
      <c r="H396" s="143"/>
      <c r="I396" s="143"/>
      <c r="J396" s="143"/>
      <c r="K396" s="143"/>
      <c r="L396" s="143"/>
    </row>
    <row r="397" spans="1:12">
      <c r="A397" s="296"/>
      <c r="B397" s="143"/>
      <c r="C397" s="143"/>
      <c r="D397" s="143"/>
      <c r="E397" s="143"/>
      <c r="F397" s="143"/>
      <c r="G397" s="143"/>
      <c r="H397" s="143"/>
      <c r="I397" s="143"/>
      <c r="J397" s="143"/>
      <c r="K397" s="143"/>
      <c r="L397" s="143"/>
    </row>
    <row r="398" spans="1:12">
      <c r="A398" s="296"/>
      <c r="B398" s="143"/>
      <c r="C398" s="143"/>
      <c r="D398" s="143"/>
      <c r="E398" s="143"/>
      <c r="F398" s="143"/>
      <c r="G398" s="143"/>
      <c r="H398" s="143"/>
      <c r="I398" s="143"/>
      <c r="J398" s="143"/>
      <c r="K398" s="143"/>
      <c r="L398" s="143"/>
    </row>
    <row r="399" spans="1:12">
      <c r="A399" s="296"/>
      <c r="B399" s="143"/>
      <c r="C399" s="143"/>
      <c r="D399" s="143"/>
      <c r="E399" s="143"/>
      <c r="F399" s="143"/>
      <c r="G399" s="143"/>
      <c r="H399" s="143"/>
      <c r="I399" s="143"/>
      <c r="J399" s="143"/>
      <c r="K399" s="143"/>
      <c r="L399" s="143"/>
    </row>
    <row r="400" spans="1:12">
      <c r="A400" s="296"/>
      <c r="B400" s="143"/>
      <c r="C400" s="143"/>
      <c r="D400" s="143"/>
      <c r="E400" s="143"/>
      <c r="F400" s="143"/>
      <c r="G400" s="143"/>
      <c r="H400" s="143"/>
      <c r="I400" s="143"/>
      <c r="J400" s="143"/>
      <c r="K400" s="143"/>
      <c r="L400" s="143"/>
    </row>
    <row r="401" spans="1:12">
      <c r="A401" s="296"/>
      <c r="B401" s="143"/>
      <c r="C401" s="143"/>
      <c r="D401" s="143"/>
      <c r="E401" s="143"/>
      <c r="F401" s="143"/>
      <c r="G401" s="143"/>
      <c r="H401" s="143"/>
      <c r="I401" s="143"/>
      <c r="J401" s="143"/>
      <c r="K401" s="143"/>
      <c r="L401" s="143"/>
    </row>
    <row r="402" spans="1:12">
      <c r="A402" s="296"/>
      <c r="B402" s="143"/>
      <c r="C402" s="143"/>
      <c r="D402" s="143"/>
      <c r="E402" s="143"/>
      <c r="F402" s="143"/>
      <c r="G402" s="143"/>
      <c r="H402" s="143"/>
      <c r="I402" s="143"/>
      <c r="J402" s="143"/>
      <c r="K402" s="143"/>
      <c r="L402" s="143"/>
    </row>
    <row r="403" spans="1:12">
      <c r="A403" s="296"/>
      <c r="B403" s="143"/>
      <c r="C403" s="143"/>
      <c r="D403" s="143"/>
      <c r="E403" s="143"/>
      <c r="F403" s="143"/>
      <c r="G403" s="143"/>
      <c r="H403" s="143"/>
      <c r="I403" s="143"/>
      <c r="J403" s="143"/>
      <c r="K403" s="143"/>
      <c r="L403" s="143"/>
    </row>
    <row r="404" spans="1:12">
      <c r="A404" s="296"/>
      <c r="B404" s="143"/>
      <c r="C404" s="143"/>
      <c r="D404" s="143"/>
      <c r="E404" s="143"/>
      <c r="F404" s="143"/>
      <c r="G404" s="143"/>
      <c r="H404" s="143"/>
      <c r="I404" s="143"/>
      <c r="J404" s="143"/>
      <c r="K404" s="143"/>
      <c r="L404" s="143"/>
    </row>
    <row r="405" spans="1:12">
      <c r="A405" s="296"/>
      <c r="B405" s="143"/>
      <c r="C405" s="143"/>
      <c r="D405" s="143"/>
      <c r="E405" s="143"/>
      <c r="F405" s="143"/>
      <c r="G405" s="143"/>
      <c r="H405" s="143"/>
      <c r="I405" s="143"/>
      <c r="J405" s="143"/>
      <c r="K405" s="143"/>
      <c r="L405" s="143"/>
    </row>
    <row r="406" spans="1:12">
      <c r="A406" s="296"/>
      <c r="B406" s="143"/>
      <c r="C406" s="143"/>
      <c r="D406" s="143"/>
      <c r="E406" s="143"/>
      <c r="F406" s="143"/>
      <c r="G406" s="143"/>
      <c r="H406" s="143"/>
      <c r="I406" s="143"/>
      <c r="J406" s="143"/>
      <c r="K406" s="143"/>
      <c r="L406" s="143"/>
    </row>
    <row r="407" spans="1:12">
      <c r="A407" s="296"/>
      <c r="B407" s="143"/>
      <c r="C407" s="143"/>
      <c r="D407" s="143"/>
      <c r="E407" s="143"/>
      <c r="F407" s="143"/>
      <c r="G407" s="143"/>
      <c r="H407" s="143"/>
      <c r="I407" s="143"/>
      <c r="J407" s="143"/>
      <c r="K407" s="143"/>
      <c r="L407" s="143"/>
    </row>
    <row r="408" spans="1:12">
      <c r="A408" s="296"/>
      <c r="B408" s="143"/>
      <c r="C408" s="143"/>
      <c r="D408" s="143"/>
      <c r="E408" s="143"/>
      <c r="F408" s="143"/>
      <c r="G408" s="143"/>
      <c r="H408" s="143"/>
      <c r="I408" s="143"/>
      <c r="J408" s="143"/>
      <c r="K408" s="143"/>
      <c r="L408" s="143"/>
    </row>
    <row r="409" spans="1:12">
      <c r="A409" s="296"/>
      <c r="B409" s="143"/>
      <c r="C409" s="143"/>
      <c r="D409" s="143"/>
      <c r="E409" s="143"/>
      <c r="F409" s="143"/>
      <c r="G409" s="143"/>
      <c r="H409" s="143"/>
      <c r="I409" s="143"/>
      <c r="J409" s="143"/>
      <c r="K409" s="143"/>
      <c r="L409" s="143"/>
    </row>
    <row r="410" spans="1:12">
      <c r="A410" s="296"/>
      <c r="B410" s="143"/>
      <c r="C410" s="143"/>
      <c r="D410" s="143"/>
      <c r="E410" s="143"/>
      <c r="F410" s="143"/>
      <c r="G410" s="143"/>
      <c r="H410" s="143"/>
      <c r="I410" s="143"/>
      <c r="J410" s="143"/>
      <c r="K410" s="143"/>
      <c r="L410" s="143"/>
    </row>
    <row r="411" spans="1:12">
      <c r="A411" s="296"/>
      <c r="B411" s="143"/>
      <c r="C411" s="143"/>
      <c r="D411" s="143"/>
      <c r="E411" s="143"/>
      <c r="F411" s="143"/>
      <c r="G411" s="143"/>
      <c r="H411" s="143"/>
      <c r="I411" s="143"/>
      <c r="J411" s="143"/>
      <c r="K411" s="143"/>
      <c r="L411" s="143"/>
    </row>
    <row r="412" spans="1:12">
      <c r="A412" s="296"/>
      <c r="B412" s="143"/>
      <c r="C412" s="143"/>
      <c r="D412" s="143"/>
      <c r="E412" s="143"/>
      <c r="F412" s="143"/>
      <c r="G412" s="143"/>
      <c r="H412" s="143"/>
      <c r="I412" s="143"/>
      <c r="J412" s="143"/>
      <c r="K412" s="143"/>
      <c r="L412" s="143"/>
    </row>
    <row r="413" spans="1:12">
      <c r="A413" s="296"/>
      <c r="B413" s="143"/>
      <c r="C413" s="143"/>
      <c r="D413" s="143"/>
      <c r="E413" s="143"/>
      <c r="F413" s="143"/>
      <c r="G413" s="143"/>
      <c r="H413" s="143"/>
      <c r="I413" s="143"/>
      <c r="J413" s="143"/>
      <c r="K413" s="143"/>
      <c r="L413" s="143"/>
    </row>
    <row r="414" spans="1:12">
      <c r="A414" s="296"/>
      <c r="B414" s="143"/>
      <c r="C414" s="143"/>
      <c r="D414" s="143"/>
      <c r="E414" s="143"/>
      <c r="F414" s="143"/>
      <c r="G414" s="143"/>
      <c r="H414" s="143"/>
      <c r="I414" s="143"/>
      <c r="J414" s="143"/>
      <c r="K414" s="143"/>
      <c r="L414" s="143"/>
    </row>
    <row r="415" spans="1:12">
      <c r="A415" s="296"/>
      <c r="B415" s="143"/>
      <c r="C415" s="143"/>
      <c r="D415" s="143"/>
      <c r="E415" s="143"/>
      <c r="F415" s="143"/>
      <c r="G415" s="143"/>
      <c r="H415" s="143"/>
      <c r="I415" s="143"/>
      <c r="J415" s="143"/>
      <c r="K415" s="143"/>
      <c r="L415" s="143"/>
    </row>
    <row r="416" spans="1:12">
      <c r="A416" s="296"/>
      <c r="B416" s="143"/>
      <c r="C416" s="143"/>
      <c r="D416" s="143"/>
      <c r="E416" s="143"/>
      <c r="F416" s="143"/>
      <c r="G416" s="143"/>
      <c r="H416" s="143"/>
      <c r="I416" s="143"/>
      <c r="J416" s="143"/>
      <c r="K416" s="143"/>
      <c r="L416" s="143"/>
    </row>
    <row r="417" spans="1:12">
      <c r="A417" s="296"/>
      <c r="B417" s="143"/>
      <c r="C417" s="143"/>
      <c r="D417" s="143"/>
      <c r="E417" s="143"/>
      <c r="F417" s="143"/>
      <c r="G417" s="143"/>
      <c r="H417" s="143"/>
      <c r="I417" s="143"/>
      <c r="J417" s="143"/>
      <c r="K417" s="143"/>
      <c r="L417" s="143"/>
    </row>
    <row r="418" spans="1:12">
      <c r="A418" s="296"/>
      <c r="B418" s="143"/>
      <c r="C418" s="143"/>
      <c r="D418" s="143"/>
      <c r="E418" s="143"/>
      <c r="F418" s="143"/>
      <c r="G418" s="143"/>
      <c r="H418" s="143"/>
      <c r="I418" s="143"/>
      <c r="J418" s="143"/>
      <c r="K418" s="143"/>
      <c r="L418" s="143"/>
    </row>
    <row r="419" spans="1:12">
      <c r="A419" s="296"/>
      <c r="B419" s="143"/>
      <c r="C419" s="143"/>
      <c r="D419" s="143"/>
      <c r="E419" s="143"/>
      <c r="F419" s="143"/>
      <c r="G419" s="143"/>
      <c r="H419" s="143"/>
      <c r="I419" s="143"/>
      <c r="J419" s="143"/>
      <c r="K419" s="143"/>
      <c r="L419" s="143"/>
    </row>
    <row r="420" spans="1:12">
      <c r="A420" s="296"/>
      <c r="B420" s="143"/>
      <c r="C420" s="143"/>
      <c r="D420" s="143"/>
      <c r="E420" s="143"/>
      <c r="F420" s="143"/>
      <c r="G420" s="143"/>
      <c r="H420" s="143"/>
      <c r="I420" s="143"/>
      <c r="J420" s="143"/>
      <c r="K420" s="143"/>
      <c r="L420" s="143"/>
    </row>
    <row r="421" spans="1:12">
      <c r="A421" s="296"/>
      <c r="B421" s="143"/>
      <c r="C421" s="143"/>
      <c r="D421" s="143"/>
      <c r="E421" s="143"/>
      <c r="F421" s="143"/>
      <c r="G421" s="143"/>
      <c r="H421" s="143"/>
      <c r="I421" s="143"/>
      <c r="J421" s="143"/>
      <c r="K421" s="143"/>
      <c r="L421" s="143"/>
    </row>
    <row r="422" spans="1:12">
      <c r="A422" s="296"/>
      <c r="B422" s="143"/>
      <c r="C422" s="143"/>
      <c r="D422" s="143"/>
      <c r="E422" s="143"/>
      <c r="F422" s="143"/>
      <c r="G422" s="143"/>
      <c r="H422" s="143"/>
      <c r="I422" s="143"/>
      <c r="J422" s="143"/>
      <c r="K422" s="143"/>
      <c r="L422" s="143"/>
    </row>
    <row r="423" spans="1:12">
      <c r="A423" s="296"/>
      <c r="B423" s="143"/>
      <c r="C423" s="143"/>
      <c r="D423" s="143"/>
      <c r="E423" s="143"/>
      <c r="F423" s="143"/>
      <c r="G423" s="143"/>
      <c r="H423" s="143"/>
      <c r="I423" s="143"/>
      <c r="J423" s="143"/>
      <c r="K423" s="143"/>
      <c r="L423" s="143"/>
    </row>
    <row r="424" spans="1:12">
      <c r="A424" s="296"/>
      <c r="B424" s="143"/>
      <c r="C424" s="143"/>
      <c r="D424" s="143"/>
      <c r="E424" s="143"/>
      <c r="F424" s="143"/>
      <c r="G424" s="143"/>
      <c r="H424" s="143"/>
      <c r="I424" s="143"/>
      <c r="J424" s="143"/>
      <c r="K424" s="143"/>
      <c r="L424" s="143"/>
    </row>
    <row r="425" spans="1:12">
      <c r="A425" s="296"/>
      <c r="B425" s="143"/>
      <c r="C425" s="143"/>
      <c r="D425" s="143"/>
      <c r="E425" s="143"/>
      <c r="F425" s="143"/>
      <c r="G425" s="143"/>
      <c r="H425" s="143"/>
      <c r="I425" s="143"/>
      <c r="J425" s="143"/>
      <c r="K425" s="143"/>
      <c r="L425" s="143"/>
    </row>
    <row r="426" spans="1:12">
      <c r="A426" s="296"/>
      <c r="B426" s="143"/>
      <c r="C426" s="143"/>
      <c r="D426" s="143"/>
      <c r="E426" s="143"/>
      <c r="F426" s="143"/>
      <c r="G426" s="143"/>
      <c r="H426" s="143"/>
      <c r="I426" s="143"/>
      <c r="J426" s="143"/>
      <c r="K426" s="143"/>
      <c r="L426" s="143"/>
    </row>
    <row r="427" spans="1:12">
      <c r="A427" s="296"/>
      <c r="B427" s="143"/>
      <c r="C427" s="143"/>
      <c r="D427" s="143"/>
      <c r="E427" s="143"/>
      <c r="F427" s="143"/>
      <c r="G427" s="143"/>
      <c r="H427" s="143"/>
      <c r="I427" s="143"/>
      <c r="J427" s="143"/>
      <c r="K427" s="143"/>
      <c r="L427" s="143"/>
    </row>
    <row r="428" spans="1:12">
      <c r="A428" s="296"/>
      <c r="B428" s="143"/>
      <c r="C428" s="143"/>
      <c r="D428" s="143"/>
      <c r="E428" s="143"/>
      <c r="F428" s="143"/>
      <c r="G428" s="143"/>
      <c r="H428" s="143"/>
      <c r="I428" s="143"/>
      <c r="J428" s="143"/>
      <c r="K428" s="143"/>
      <c r="L428" s="143"/>
    </row>
    <row r="429" spans="1:12">
      <c r="A429" s="296"/>
      <c r="B429" s="143"/>
      <c r="C429" s="143"/>
      <c r="D429" s="143"/>
      <c r="E429" s="143"/>
      <c r="F429" s="143"/>
      <c r="G429" s="143"/>
      <c r="H429" s="143"/>
      <c r="I429" s="143"/>
      <c r="J429" s="143"/>
      <c r="K429" s="143"/>
      <c r="L429" s="143"/>
    </row>
    <row r="430" spans="1:12">
      <c r="A430" s="296"/>
      <c r="B430" s="143"/>
      <c r="C430" s="143"/>
      <c r="D430" s="143"/>
      <c r="E430" s="143"/>
      <c r="F430" s="143"/>
      <c r="G430" s="143"/>
      <c r="H430" s="143"/>
      <c r="I430" s="143"/>
      <c r="J430" s="143"/>
      <c r="K430" s="143"/>
      <c r="L430" s="143"/>
    </row>
    <row r="431" spans="1:12">
      <c r="A431" s="296"/>
      <c r="B431" s="143"/>
      <c r="C431" s="143"/>
      <c r="D431" s="143"/>
      <c r="E431" s="143"/>
      <c r="F431" s="143"/>
      <c r="G431" s="143"/>
      <c r="H431" s="143"/>
      <c r="I431" s="143"/>
      <c r="J431" s="143"/>
      <c r="K431" s="143"/>
      <c r="L431" s="143"/>
    </row>
    <row r="432" spans="1:12">
      <c r="A432" s="296"/>
      <c r="B432" s="143"/>
      <c r="C432" s="143"/>
      <c r="D432" s="143"/>
      <c r="E432" s="143"/>
      <c r="F432" s="143"/>
      <c r="G432" s="143"/>
      <c r="H432" s="143"/>
      <c r="I432" s="143"/>
      <c r="J432" s="143"/>
      <c r="K432" s="143"/>
      <c r="L432" s="143"/>
    </row>
    <row r="433" spans="1:12">
      <c r="A433" s="296"/>
      <c r="B433" s="143"/>
      <c r="C433" s="143"/>
      <c r="D433" s="143"/>
      <c r="E433" s="143"/>
      <c r="F433" s="143"/>
      <c r="G433" s="143"/>
      <c r="H433" s="143"/>
      <c r="I433" s="143"/>
      <c r="J433" s="143"/>
      <c r="K433" s="143"/>
      <c r="L433" s="143"/>
    </row>
    <row r="434" spans="1:12">
      <c r="A434" s="296"/>
      <c r="B434" s="143"/>
      <c r="C434" s="143"/>
      <c r="D434" s="143"/>
      <c r="E434" s="143"/>
      <c r="F434" s="143"/>
      <c r="G434" s="143"/>
      <c r="H434" s="143"/>
      <c r="I434" s="143"/>
      <c r="J434" s="143"/>
      <c r="K434" s="143"/>
      <c r="L434" s="143"/>
    </row>
    <row r="435" spans="1:12">
      <c r="A435" s="296"/>
      <c r="B435" s="143"/>
      <c r="C435" s="143"/>
      <c r="D435" s="143"/>
      <c r="E435" s="143"/>
      <c r="F435" s="143"/>
      <c r="G435" s="143"/>
      <c r="H435" s="143"/>
      <c r="I435" s="143"/>
      <c r="J435" s="143"/>
      <c r="K435" s="143"/>
      <c r="L435" s="143"/>
    </row>
    <row r="436" spans="1:12">
      <c r="A436" s="296"/>
      <c r="B436" s="143"/>
      <c r="C436" s="143"/>
      <c r="D436" s="143"/>
      <c r="E436" s="143"/>
      <c r="F436" s="143"/>
      <c r="G436" s="143"/>
      <c r="H436" s="143"/>
      <c r="I436" s="143"/>
      <c r="J436" s="143"/>
      <c r="K436" s="143"/>
      <c r="L436" s="143"/>
    </row>
    <row r="437" spans="1:12">
      <c r="A437" s="296"/>
      <c r="B437" s="143"/>
      <c r="C437" s="143"/>
      <c r="D437" s="143"/>
      <c r="E437" s="143"/>
      <c r="F437" s="143"/>
      <c r="G437" s="143"/>
      <c r="H437" s="143"/>
      <c r="I437" s="143"/>
      <c r="J437" s="143"/>
      <c r="K437" s="143"/>
      <c r="L437" s="143"/>
    </row>
    <row r="438" spans="1:12">
      <c r="A438" s="296"/>
      <c r="B438" s="143"/>
      <c r="C438" s="143"/>
      <c r="D438" s="143"/>
      <c r="E438" s="143"/>
      <c r="F438" s="143"/>
      <c r="G438" s="143"/>
      <c r="H438" s="143"/>
      <c r="I438" s="143"/>
      <c r="J438" s="143"/>
      <c r="K438" s="143"/>
      <c r="L438" s="143"/>
    </row>
    <row r="439" spans="1:12">
      <c r="A439" s="296"/>
      <c r="B439" s="143"/>
      <c r="C439" s="143"/>
      <c r="D439" s="143"/>
      <c r="E439" s="143"/>
      <c r="F439" s="143"/>
      <c r="G439" s="143"/>
      <c r="H439" s="143"/>
      <c r="I439" s="143"/>
      <c r="J439" s="143"/>
      <c r="K439" s="143"/>
      <c r="L439" s="143"/>
    </row>
    <row r="440" spans="1:12">
      <c r="A440" s="296"/>
      <c r="B440" s="143"/>
      <c r="C440" s="143"/>
      <c r="D440" s="143"/>
      <c r="E440" s="143"/>
      <c r="F440" s="143"/>
      <c r="G440" s="143"/>
      <c r="H440" s="143"/>
      <c r="I440" s="143"/>
      <c r="J440" s="143"/>
      <c r="K440" s="143"/>
      <c r="L440" s="143"/>
    </row>
    <row r="441" spans="1:12">
      <c r="A441" s="296"/>
      <c r="B441" s="143"/>
      <c r="C441" s="143"/>
      <c r="D441" s="143"/>
      <c r="E441" s="143"/>
      <c r="F441" s="143"/>
      <c r="G441" s="143"/>
      <c r="H441" s="143"/>
      <c r="I441" s="143"/>
      <c r="J441" s="143"/>
      <c r="K441" s="143"/>
      <c r="L441" s="143"/>
    </row>
    <row r="442" spans="1:12">
      <c r="A442" s="296"/>
      <c r="B442" s="143"/>
      <c r="C442" s="143"/>
      <c r="D442" s="143"/>
      <c r="E442" s="143"/>
      <c r="F442" s="143"/>
      <c r="G442" s="143"/>
      <c r="H442" s="143"/>
      <c r="I442" s="143"/>
      <c r="J442" s="143"/>
      <c r="K442" s="143"/>
      <c r="L442" s="143"/>
    </row>
    <row r="443" spans="1:12">
      <c r="A443" s="296"/>
      <c r="B443" s="143"/>
      <c r="C443" s="143"/>
      <c r="D443" s="143"/>
      <c r="E443" s="143"/>
      <c r="F443" s="143"/>
      <c r="G443" s="143"/>
      <c r="H443" s="143"/>
      <c r="I443" s="143"/>
      <c r="J443" s="143"/>
      <c r="K443" s="143"/>
      <c r="L443" s="143"/>
    </row>
    <row r="444" spans="1:12">
      <c r="A444" s="296"/>
      <c r="B444" s="143"/>
      <c r="C444" s="143"/>
      <c r="D444" s="143"/>
      <c r="E444" s="143"/>
      <c r="F444" s="143"/>
      <c r="G444" s="143"/>
      <c r="H444" s="143"/>
      <c r="I444" s="143"/>
      <c r="J444" s="143"/>
      <c r="K444" s="143"/>
      <c r="L444" s="143"/>
    </row>
    <row r="445" spans="1:12">
      <c r="A445" s="296"/>
      <c r="B445" s="143"/>
      <c r="C445" s="143"/>
      <c r="D445" s="143"/>
      <c r="E445" s="143"/>
      <c r="F445" s="143"/>
      <c r="G445" s="143"/>
      <c r="H445" s="143"/>
      <c r="I445" s="143"/>
      <c r="J445" s="143"/>
      <c r="K445" s="143"/>
      <c r="L445" s="143"/>
    </row>
    <row r="446" spans="1:12">
      <c r="A446" s="296"/>
      <c r="B446" s="143"/>
      <c r="C446" s="143"/>
      <c r="D446" s="143"/>
      <c r="E446" s="143"/>
      <c r="F446" s="143"/>
      <c r="G446" s="143"/>
      <c r="H446" s="143"/>
      <c r="I446" s="143"/>
      <c r="J446" s="143"/>
      <c r="K446" s="143"/>
      <c r="L446" s="143"/>
    </row>
    <row r="447" spans="1:12">
      <c r="A447" s="296"/>
      <c r="B447" s="143"/>
      <c r="C447" s="143"/>
      <c r="D447" s="143"/>
      <c r="E447" s="143"/>
      <c r="F447" s="143"/>
      <c r="G447" s="143"/>
      <c r="H447" s="143"/>
      <c r="I447" s="143"/>
      <c r="J447" s="143"/>
      <c r="K447" s="143"/>
      <c r="L447" s="143"/>
    </row>
    <row r="448" spans="1:12">
      <c r="A448" s="296"/>
      <c r="B448" s="143"/>
      <c r="C448" s="143"/>
      <c r="D448" s="143"/>
      <c r="E448" s="143"/>
      <c r="F448" s="143"/>
      <c r="G448" s="143"/>
      <c r="H448" s="143"/>
      <c r="I448" s="143"/>
      <c r="J448" s="143"/>
      <c r="K448" s="143"/>
      <c r="L448" s="143"/>
    </row>
    <row r="449" spans="1:12">
      <c r="A449" s="296"/>
      <c r="B449" s="143"/>
      <c r="C449" s="143"/>
      <c r="D449" s="143"/>
      <c r="E449" s="143"/>
      <c r="F449" s="143"/>
      <c r="G449" s="143"/>
      <c r="H449" s="143"/>
      <c r="I449" s="143"/>
      <c r="J449" s="143"/>
      <c r="K449" s="143"/>
      <c r="L449" s="143"/>
    </row>
    <row r="450" spans="1:12">
      <c r="A450" s="296"/>
      <c r="B450" s="143"/>
      <c r="C450" s="143"/>
      <c r="D450" s="143"/>
      <c r="E450" s="143"/>
      <c r="F450" s="143"/>
      <c r="G450" s="143"/>
      <c r="H450" s="143"/>
      <c r="I450" s="143"/>
      <c r="J450" s="143"/>
      <c r="K450" s="143"/>
      <c r="L450" s="143"/>
    </row>
    <row r="451" spans="1:12">
      <c r="A451" s="296"/>
      <c r="B451" s="143"/>
      <c r="C451" s="143"/>
      <c r="D451" s="143"/>
      <c r="E451" s="143"/>
      <c r="F451" s="143"/>
      <c r="G451" s="143"/>
      <c r="H451" s="143"/>
      <c r="I451" s="143"/>
      <c r="J451" s="143"/>
      <c r="K451" s="143"/>
      <c r="L451" s="143"/>
    </row>
    <row r="452" spans="1:12">
      <c r="A452" s="296"/>
      <c r="B452" s="143"/>
      <c r="C452" s="143"/>
      <c r="D452" s="143"/>
      <c r="E452" s="143"/>
      <c r="F452" s="143"/>
      <c r="G452" s="143"/>
      <c r="H452" s="143"/>
      <c r="I452" s="143"/>
      <c r="J452" s="143"/>
      <c r="K452" s="143"/>
      <c r="L452" s="143"/>
    </row>
    <row r="453" spans="1:12">
      <c r="A453" s="296"/>
      <c r="B453" s="143"/>
      <c r="C453" s="143"/>
      <c r="D453" s="143"/>
      <c r="E453" s="143"/>
      <c r="F453" s="143"/>
      <c r="G453" s="143"/>
      <c r="H453" s="143"/>
      <c r="I453" s="143"/>
      <c r="J453" s="143"/>
      <c r="K453" s="143"/>
      <c r="L453" s="143"/>
    </row>
    <row r="454" spans="1:12">
      <c r="A454" s="296"/>
      <c r="B454" s="143"/>
      <c r="C454" s="143"/>
      <c r="D454" s="143"/>
      <c r="E454" s="143"/>
      <c r="F454" s="143"/>
      <c r="G454" s="143"/>
      <c r="H454" s="143"/>
      <c r="I454" s="143"/>
      <c r="J454" s="143"/>
      <c r="K454" s="143"/>
      <c r="L454" s="143"/>
    </row>
    <row r="455" spans="1:12">
      <c r="A455" s="296"/>
      <c r="B455" s="143"/>
      <c r="C455" s="143"/>
      <c r="D455" s="143"/>
      <c r="E455" s="143"/>
      <c r="F455" s="143"/>
      <c r="G455" s="143"/>
      <c r="H455" s="143"/>
      <c r="I455" s="143"/>
      <c r="J455" s="143"/>
      <c r="K455" s="143"/>
      <c r="L455" s="143"/>
    </row>
    <row r="456" spans="1:12">
      <c r="A456" s="296"/>
      <c r="B456" s="143"/>
      <c r="C456" s="143"/>
      <c r="D456" s="143"/>
      <c r="E456" s="143"/>
      <c r="F456" s="143"/>
      <c r="G456" s="143"/>
      <c r="H456" s="143"/>
      <c r="I456" s="143"/>
      <c r="J456" s="143"/>
      <c r="K456" s="143"/>
      <c r="L456" s="143"/>
    </row>
    <row r="457" spans="1:12">
      <c r="A457" s="296"/>
      <c r="B457" s="143"/>
      <c r="C457" s="143"/>
      <c r="D457" s="143"/>
      <c r="E457" s="143"/>
      <c r="F457" s="143"/>
      <c r="G457" s="143"/>
      <c r="H457" s="143"/>
      <c r="I457" s="143"/>
      <c r="J457" s="143"/>
      <c r="K457" s="143"/>
      <c r="L457" s="143"/>
    </row>
    <row r="458" spans="1:12">
      <c r="A458" s="296"/>
      <c r="B458" s="143"/>
      <c r="C458" s="143"/>
      <c r="D458" s="143"/>
      <c r="E458" s="143"/>
      <c r="F458" s="143"/>
      <c r="G458" s="143"/>
      <c r="H458" s="143"/>
      <c r="I458" s="143"/>
      <c r="J458" s="143"/>
      <c r="K458" s="143"/>
      <c r="L458" s="143"/>
    </row>
    <row r="459" spans="1:12">
      <c r="A459" s="296"/>
      <c r="B459" s="143"/>
      <c r="C459" s="143"/>
      <c r="D459" s="143"/>
      <c r="E459" s="143"/>
      <c r="F459" s="143"/>
      <c r="G459" s="143"/>
      <c r="H459" s="143"/>
      <c r="I459" s="143"/>
      <c r="J459" s="143"/>
      <c r="K459" s="143"/>
      <c r="L459" s="143"/>
    </row>
    <row r="460" spans="1:12">
      <c r="A460" s="296"/>
      <c r="B460" s="143"/>
      <c r="C460" s="143"/>
      <c r="D460" s="143"/>
      <c r="E460" s="143"/>
      <c r="F460" s="143"/>
      <c r="G460" s="143"/>
      <c r="H460" s="143"/>
      <c r="I460" s="143"/>
      <c r="J460" s="143"/>
      <c r="K460" s="143"/>
      <c r="L460" s="143"/>
    </row>
    <row r="461" spans="1:12">
      <c r="A461" s="296"/>
      <c r="B461" s="143"/>
      <c r="C461" s="143"/>
      <c r="D461" s="143"/>
      <c r="E461" s="143"/>
      <c r="F461" s="143"/>
      <c r="G461" s="143"/>
      <c r="H461" s="143"/>
      <c r="I461" s="143"/>
      <c r="J461" s="143"/>
      <c r="K461" s="143"/>
      <c r="L461" s="143"/>
    </row>
    <row r="462" spans="1:12">
      <c r="A462" s="296"/>
      <c r="B462" s="143"/>
      <c r="C462" s="143"/>
      <c r="D462" s="143"/>
      <c r="E462" s="143"/>
      <c r="F462" s="143"/>
      <c r="G462" s="143"/>
      <c r="H462" s="143"/>
      <c r="I462" s="143"/>
      <c r="J462" s="143"/>
      <c r="K462" s="143"/>
      <c r="L462" s="143"/>
    </row>
    <row r="463" spans="1:12">
      <c r="A463" s="296"/>
      <c r="B463" s="143"/>
      <c r="C463" s="143"/>
      <c r="D463" s="143"/>
      <c r="E463" s="143"/>
      <c r="F463" s="143"/>
      <c r="G463" s="143"/>
      <c r="H463" s="143"/>
      <c r="I463" s="143"/>
      <c r="J463" s="143"/>
      <c r="K463" s="143"/>
      <c r="L463" s="143"/>
    </row>
    <row r="464" spans="1:12">
      <c r="A464" s="296"/>
      <c r="B464" s="143"/>
      <c r="C464" s="143"/>
      <c r="D464" s="143"/>
      <c r="E464" s="143"/>
      <c r="F464" s="143"/>
      <c r="G464" s="143"/>
      <c r="H464" s="143"/>
      <c r="I464" s="143"/>
      <c r="J464" s="143"/>
      <c r="K464" s="143"/>
      <c r="L464" s="143"/>
    </row>
    <row r="465" spans="1:12">
      <c r="A465" s="296"/>
      <c r="B465" s="143"/>
      <c r="C465" s="143"/>
      <c r="D465" s="143"/>
      <c r="E465" s="143"/>
      <c r="F465" s="143"/>
      <c r="G465" s="143"/>
      <c r="H465" s="143"/>
      <c r="I465" s="143"/>
      <c r="J465" s="143"/>
      <c r="K465" s="143"/>
      <c r="L465" s="143"/>
    </row>
    <row r="466" spans="1:12">
      <c r="A466" s="296"/>
      <c r="B466" s="143"/>
      <c r="C466" s="143"/>
      <c r="D466" s="143"/>
      <c r="E466" s="143"/>
      <c r="F466" s="143"/>
      <c r="G466" s="143"/>
      <c r="H466" s="143"/>
      <c r="I466" s="143"/>
      <c r="J466" s="143"/>
      <c r="K466" s="143"/>
      <c r="L466" s="143"/>
    </row>
    <row r="467" spans="1:12">
      <c r="A467" s="296"/>
      <c r="B467" s="143"/>
      <c r="C467" s="143"/>
      <c r="D467" s="143"/>
      <c r="E467" s="143"/>
      <c r="F467" s="143"/>
      <c r="G467" s="143"/>
      <c r="H467" s="143"/>
      <c r="I467" s="143"/>
      <c r="J467" s="143"/>
      <c r="K467" s="143"/>
      <c r="L467" s="143"/>
    </row>
    <row r="468" spans="1:12">
      <c r="A468" s="296"/>
      <c r="B468" s="143"/>
      <c r="C468" s="143"/>
      <c r="D468" s="143"/>
      <c r="E468" s="143"/>
      <c r="F468" s="143"/>
      <c r="G468" s="143"/>
      <c r="H468" s="143"/>
      <c r="I468" s="143"/>
      <c r="J468" s="143"/>
      <c r="K468" s="143"/>
      <c r="L468" s="143"/>
    </row>
    <row r="469" spans="1:12">
      <c r="A469" s="296"/>
      <c r="B469" s="143"/>
      <c r="C469" s="143"/>
      <c r="D469" s="143"/>
      <c r="E469" s="143"/>
      <c r="F469" s="143"/>
      <c r="G469" s="143"/>
      <c r="H469" s="143"/>
      <c r="I469" s="143"/>
      <c r="J469" s="143"/>
      <c r="K469" s="143"/>
      <c r="L469" s="143"/>
    </row>
    <row r="470" spans="1:12">
      <c r="A470" s="296"/>
      <c r="B470" s="143"/>
      <c r="C470" s="143"/>
      <c r="D470" s="143"/>
      <c r="E470" s="143"/>
      <c r="F470" s="143"/>
      <c r="G470" s="143"/>
      <c r="H470" s="143"/>
      <c r="I470" s="143"/>
      <c r="J470" s="143"/>
      <c r="K470" s="143"/>
      <c r="L470" s="143"/>
    </row>
    <row r="471" spans="1:12">
      <c r="A471" s="296"/>
      <c r="B471" s="143"/>
      <c r="C471" s="143"/>
      <c r="D471" s="143"/>
      <c r="E471" s="143"/>
      <c r="F471" s="143"/>
      <c r="G471" s="143"/>
      <c r="H471" s="143"/>
      <c r="I471" s="143"/>
      <c r="J471" s="143"/>
      <c r="K471" s="143"/>
      <c r="L471" s="143"/>
    </row>
    <row r="472" spans="1:12">
      <c r="A472" s="296"/>
      <c r="B472" s="143"/>
      <c r="C472" s="143"/>
      <c r="D472" s="143"/>
      <c r="E472" s="143"/>
      <c r="F472" s="143"/>
      <c r="G472" s="143"/>
      <c r="H472" s="143"/>
      <c r="I472" s="143"/>
      <c r="J472" s="143"/>
      <c r="K472" s="143"/>
      <c r="L472" s="143"/>
    </row>
    <row r="473" spans="1:12">
      <c r="A473" s="296"/>
      <c r="B473" s="143"/>
      <c r="C473" s="143"/>
      <c r="D473" s="143"/>
      <c r="E473" s="143"/>
      <c r="F473" s="143"/>
      <c r="G473" s="143"/>
      <c r="H473" s="143"/>
      <c r="I473" s="143"/>
      <c r="J473" s="143"/>
      <c r="K473" s="143"/>
      <c r="L473" s="143"/>
    </row>
    <row r="474" spans="1:12">
      <c r="A474" s="296"/>
      <c r="B474" s="143"/>
      <c r="C474" s="143"/>
      <c r="D474" s="143"/>
      <c r="E474" s="143"/>
      <c r="F474" s="143"/>
      <c r="G474" s="143"/>
      <c r="H474" s="143"/>
      <c r="I474" s="143"/>
      <c r="J474" s="143"/>
      <c r="K474" s="143"/>
      <c r="L474" s="143"/>
    </row>
    <row r="475" spans="1:12">
      <c r="A475" s="296"/>
      <c r="B475" s="143"/>
      <c r="C475" s="143"/>
      <c r="D475" s="143"/>
      <c r="E475" s="143"/>
      <c r="F475" s="143"/>
      <c r="G475" s="143"/>
      <c r="H475" s="143"/>
      <c r="I475" s="143"/>
      <c r="J475" s="143"/>
      <c r="K475" s="143"/>
      <c r="L475" s="143"/>
    </row>
    <row r="476" spans="1:12">
      <c r="A476" s="296"/>
      <c r="B476" s="143"/>
      <c r="C476" s="143"/>
      <c r="D476" s="143"/>
      <c r="E476" s="143"/>
      <c r="F476" s="143"/>
      <c r="G476" s="143"/>
      <c r="H476" s="143"/>
      <c r="I476" s="143"/>
      <c r="J476" s="143"/>
      <c r="K476" s="143"/>
      <c r="L476" s="143"/>
    </row>
    <row r="477" spans="1:12">
      <c r="A477" s="296"/>
      <c r="B477" s="143"/>
      <c r="C477" s="143"/>
      <c r="D477" s="143"/>
      <c r="E477" s="143"/>
      <c r="F477" s="143"/>
      <c r="G477" s="143"/>
      <c r="H477" s="143"/>
      <c r="I477" s="143"/>
      <c r="J477" s="143"/>
      <c r="K477" s="143"/>
      <c r="L477" s="143"/>
    </row>
    <row r="478" spans="1:12">
      <c r="A478" s="296"/>
      <c r="B478" s="143"/>
      <c r="C478" s="143"/>
      <c r="D478" s="143"/>
      <c r="E478" s="143"/>
      <c r="F478" s="143"/>
      <c r="G478" s="143"/>
      <c r="H478" s="143"/>
      <c r="I478" s="143"/>
      <c r="J478" s="143"/>
      <c r="K478" s="143"/>
      <c r="L478" s="143"/>
    </row>
    <row r="479" spans="1:12">
      <c r="A479" s="296"/>
      <c r="B479" s="143"/>
      <c r="C479" s="143"/>
      <c r="D479" s="143"/>
      <c r="E479" s="143"/>
      <c r="F479" s="143"/>
      <c r="G479" s="143"/>
      <c r="H479" s="143"/>
      <c r="I479" s="143"/>
      <c r="J479" s="143"/>
      <c r="K479" s="143"/>
      <c r="L479" s="143"/>
    </row>
    <row r="480" spans="1:12">
      <c r="A480" s="296"/>
      <c r="B480" s="143"/>
      <c r="C480" s="143"/>
      <c r="D480" s="143"/>
      <c r="E480" s="143"/>
      <c r="F480" s="143"/>
      <c r="G480" s="143"/>
      <c r="H480" s="143"/>
      <c r="I480" s="143"/>
      <c r="J480" s="143"/>
      <c r="K480" s="143"/>
      <c r="L480" s="143"/>
    </row>
    <row r="481" spans="1:12">
      <c r="A481" s="296"/>
      <c r="B481" s="143"/>
      <c r="C481" s="143"/>
      <c r="D481" s="143"/>
      <c r="E481" s="143"/>
      <c r="F481" s="143"/>
      <c r="G481" s="143"/>
      <c r="H481" s="143"/>
      <c r="I481" s="143"/>
      <c r="J481" s="143"/>
      <c r="K481" s="143"/>
      <c r="L481" s="143"/>
    </row>
    <row r="482" spans="1:12">
      <c r="A482" s="296"/>
      <c r="B482" s="143"/>
      <c r="C482" s="143"/>
      <c r="D482" s="143"/>
      <c r="E482" s="143"/>
      <c r="F482" s="143"/>
      <c r="G482" s="143"/>
      <c r="H482" s="143"/>
      <c r="I482" s="143"/>
      <c r="J482" s="143"/>
      <c r="K482" s="143"/>
      <c r="L482" s="143"/>
    </row>
    <row r="483" spans="1:12">
      <c r="A483" s="296"/>
      <c r="B483" s="143"/>
      <c r="C483" s="143"/>
      <c r="D483" s="143"/>
      <c r="E483" s="143"/>
      <c r="F483" s="143"/>
      <c r="G483" s="143"/>
      <c r="H483" s="143"/>
      <c r="I483" s="143"/>
      <c r="J483" s="143"/>
      <c r="K483" s="143"/>
      <c r="L483" s="143"/>
    </row>
    <row r="484" spans="1:12">
      <c r="A484" s="296"/>
      <c r="B484" s="143"/>
      <c r="C484" s="143"/>
      <c r="D484" s="143"/>
      <c r="E484" s="143"/>
      <c r="F484" s="143"/>
      <c r="G484" s="143"/>
      <c r="H484" s="143"/>
      <c r="I484" s="143"/>
      <c r="J484" s="143"/>
      <c r="K484" s="143"/>
      <c r="L484" s="143"/>
    </row>
    <row r="485" spans="1:12">
      <c r="A485" s="296"/>
      <c r="B485" s="143"/>
      <c r="C485" s="143"/>
      <c r="D485" s="143"/>
      <c r="E485" s="143"/>
      <c r="F485" s="143"/>
      <c r="G485" s="143"/>
      <c r="H485" s="143"/>
      <c r="I485" s="143"/>
      <c r="J485" s="143"/>
      <c r="K485" s="143"/>
      <c r="L485" s="143"/>
    </row>
    <row r="486" spans="1:12">
      <c r="A486" s="296"/>
      <c r="B486" s="143"/>
      <c r="C486" s="143"/>
      <c r="D486" s="143"/>
      <c r="E486" s="143"/>
      <c r="F486" s="143"/>
      <c r="G486" s="143"/>
      <c r="H486" s="143"/>
      <c r="I486" s="143"/>
      <c r="J486" s="143"/>
      <c r="K486" s="143"/>
      <c r="L486" s="143"/>
    </row>
    <row r="487" spans="1:12">
      <c r="A487" s="296"/>
      <c r="B487" s="143"/>
      <c r="C487" s="143"/>
      <c r="D487" s="143"/>
      <c r="E487" s="143"/>
      <c r="F487" s="143"/>
      <c r="G487" s="143"/>
      <c r="H487" s="143"/>
      <c r="I487" s="143"/>
      <c r="J487" s="143"/>
      <c r="K487" s="143"/>
      <c r="L487" s="143"/>
    </row>
    <row r="488" spans="1:12">
      <c r="A488" s="296"/>
      <c r="B488" s="143"/>
      <c r="C488" s="143"/>
      <c r="D488" s="143"/>
      <c r="E488" s="143"/>
      <c r="F488" s="143"/>
      <c r="G488" s="143"/>
      <c r="H488" s="143"/>
      <c r="I488" s="143"/>
      <c r="J488" s="143"/>
      <c r="K488" s="143"/>
      <c r="L488" s="143"/>
    </row>
    <row r="489" spans="1:12">
      <c r="A489" s="296"/>
      <c r="B489" s="143"/>
      <c r="C489" s="143"/>
      <c r="D489" s="143"/>
      <c r="E489" s="143"/>
      <c r="F489" s="143"/>
      <c r="G489" s="143"/>
      <c r="H489" s="143"/>
      <c r="I489" s="143"/>
      <c r="J489" s="143"/>
      <c r="K489" s="143"/>
      <c r="L489" s="143"/>
    </row>
    <row r="490" spans="1:12">
      <c r="A490" s="296"/>
      <c r="B490" s="143"/>
      <c r="C490" s="143"/>
      <c r="D490" s="143"/>
      <c r="E490" s="143"/>
      <c r="F490" s="143"/>
      <c r="G490" s="143"/>
      <c r="H490" s="143"/>
      <c r="I490" s="143"/>
      <c r="J490" s="143"/>
      <c r="K490" s="143"/>
      <c r="L490" s="143"/>
    </row>
    <row r="491" spans="1:12">
      <c r="A491" s="296"/>
      <c r="B491" s="143"/>
      <c r="C491" s="143"/>
      <c r="D491" s="143"/>
      <c r="E491" s="143"/>
      <c r="F491" s="143"/>
      <c r="G491" s="143"/>
      <c r="H491" s="143"/>
      <c r="I491" s="143"/>
      <c r="J491" s="143"/>
      <c r="K491" s="143"/>
      <c r="L491" s="143"/>
    </row>
    <row r="492" spans="1:12">
      <c r="A492" s="296"/>
      <c r="B492" s="143"/>
      <c r="C492" s="143"/>
      <c r="D492" s="143"/>
      <c r="E492" s="143"/>
      <c r="F492" s="143"/>
      <c r="G492" s="143"/>
      <c r="H492" s="143"/>
      <c r="I492" s="143"/>
      <c r="J492" s="143"/>
      <c r="K492" s="143"/>
      <c r="L492" s="143"/>
    </row>
    <row r="493" spans="1:12">
      <c r="A493" s="296"/>
      <c r="B493" s="143"/>
      <c r="C493" s="143"/>
      <c r="D493" s="143"/>
      <c r="E493" s="143"/>
      <c r="F493" s="143"/>
      <c r="G493" s="143"/>
      <c r="H493" s="143"/>
      <c r="I493" s="143"/>
      <c r="J493" s="143"/>
      <c r="K493" s="143"/>
      <c r="L493" s="143"/>
    </row>
    <row r="494" spans="1:12">
      <c r="A494" s="296"/>
      <c r="B494" s="143"/>
      <c r="C494" s="143"/>
      <c r="D494" s="143"/>
      <c r="E494" s="143"/>
      <c r="F494" s="143"/>
      <c r="G494" s="143"/>
      <c r="H494" s="143"/>
      <c r="I494" s="143"/>
      <c r="J494" s="143"/>
      <c r="K494" s="143"/>
      <c r="L494" s="143"/>
    </row>
    <row r="495" spans="1:12">
      <c r="A495" s="296"/>
      <c r="B495" s="143"/>
      <c r="C495" s="143"/>
      <c r="D495" s="143"/>
      <c r="E495" s="143"/>
      <c r="F495" s="143"/>
      <c r="G495" s="143"/>
      <c r="H495" s="143"/>
      <c r="I495" s="143"/>
      <c r="J495" s="143"/>
      <c r="K495" s="143"/>
      <c r="L495" s="143"/>
    </row>
    <row r="496" spans="1:12">
      <c r="A496" s="296"/>
      <c r="B496" s="143"/>
      <c r="C496" s="143"/>
      <c r="D496" s="143"/>
      <c r="E496" s="143"/>
      <c r="F496" s="143"/>
      <c r="G496" s="143"/>
      <c r="H496" s="143"/>
      <c r="I496" s="143"/>
      <c r="J496" s="143"/>
      <c r="K496" s="143"/>
      <c r="L496" s="143"/>
    </row>
    <row r="497" spans="1:12">
      <c r="A497" s="296"/>
      <c r="B497" s="143"/>
      <c r="C497" s="143"/>
      <c r="D497" s="143"/>
      <c r="E497" s="143"/>
      <c r="F497" s="143"/>
      <c r="G497" s="143"/>
      <c r="H497" s="143"/>
      <c r="I497" s="143"/>
      <c r="J497" s="143"/>
      <c r="K497" s="143"/>
      <c r="L497" s="143"/>
    </row>
    <row r="498" spans="1:12">
      <c r="A498" s="296"/>
      <c r="B498" s="143"/>
      <c r="C498" s="143"/>
      <c r="D498" s="143"/>
      <c r="E498" s="143"/>
      <c r="F498" s="143"/>
      <c r="G498" s="143"/>
      <c r="H498" s="143"/>
      <c r="I498" s="143"/>
      <c r="J498" s="143"/>
      <c r="K498" s="143"/>
      <c r="L498" s="143"/>
    </row>
    <row r="499" spans="1:12">
      <c r="A499" s="296"/>
      <c r="B499" s="143"/>
      <c r="C499" s="143"/>
      <c r="D499" s="143"/>
      <c r="E499" s="143"/>
      <c r="F499" s="143"/>
      <c r="G499" s="143"/>
      <c r="H499" s="143"/>
      <c r="I499" s="143"/>
      <c r="J499" s="143"/>
      <c r="K499" s="143"/>
      <c r="L499" s="143"/>
    </row>
    <row r="500" spans="1:12">
      <c r="A500" s="296"/>
      <c r="B500" s="143"/>
      <c r="C500" s="143"/>
      <c r="D500" s="143"/>
      <c r="E500" s="143"/>
      <c r="F500" s="143"/>
      <c r="G500" s="143"/>
      <c r="H500" s="143"/>
      <c r="I500" s="143"/>
      <c r="J500" s="143"/>
      <c r="K500" s="143"/>
      <c r="L500" s="143"/>
    </row>
    <row r="501" spans="1:12">
      <c r="A501" s="296"/>
      <c r="B501" s="143"/>
      <c r="C501" s="143"/>
      <c r="D501" s="143"/>
      <c r="E501" s="143"/>
      <c r="F501" s="143"/>
      <c r="G501" s="143"/>
      <c r="H501" s="143"/>
      <c r="I501" s="143"/>
      <c r="J501" s="143"/>
      <c r="K501" s="143"/>
      <c r="L501" s="143"/>
    </row>
    <row r="502" spans="1:12">
      <c r="A502" s="296"/>
      <c r="B502" s="143"/>
      <c r="C502" s="143"/>
      <c r="D502" s="143"/>
      <c r="E502" s="143"/>
      <c r="F502" s="143"/>
      <c r="G502" s="143"/>
      <c r="H502" s="143"/>
      <c r="I502" s="143"/>
      <c r="J502" s="143"/>
      <c r="K502" s="143"/>
      <c r="L502" s="143"/>
    </row>
    <row r="503" spans="1:12">
      <c r="A503" s="296"/>
      <c r="B503" s="143"/>
      <c r="C503" s="143"/>
      <c r="D503" s="143"/>
      <c r="E503" s="143"/>
      <c r="F503" s="143"/>
      <c r="G503" s="143"/>
      <c r="H503" s="143"/>
      <c r="I503" s="143"/>
      <c r="J503" s="143"/>
      <c r="K503" s="143"/>
      <c r="L503" s="143"/>
    </row>
    <row r="504" spans="1:12">
      <c r="A504" s="296"/>
      <c r="B504" s="143"/>
      <c r="C504" s="143"/>
      <c r="D504" s="143"/>
      <c r="E504" s="143"/>
      <c r="F504" s="143"/>
      <c r="G504" s="143"/>
      <c r="H504" s="143"/>
      <c r="I504" s="143"/>
      <c r="J504" s="143"/>
      <c r="K504" s="143"/>
      <c r="L504" s="143"/>
    </row>
    <row r="505" spans="1:12">
      <c r="A505" s="296"/>
      <c r="B505" s="143"/>
      <c r="C505" s="143"/>
      <c r="D505" s="143"/>
      <c r="E505" s="143"/>
      <c r="F505" s="143"/>
      <c r="G505" s="143"/>
      <c r="H505" s="143"/>
      <c r="I505" s="143"/>
      <c r="J505" s="143"/>
      <c r="K505" s="143"/>
      <c r="L505" s="143"/>
    </row>
    <row r="506" spans="1:12">
      <c r="A506" s="296"/>
      <c r="B506" s="143"/>
      <c r="C506" s="143"/>
      <c r="D506" s="143"/>
      <c r="E506" s="143"/>
      <c r="F506" s="143"/>
      <c r="G506" s="143"/>
      <c r="H506" s="143"/>
      <c r="I506" s="143"/>
      <c r="J506" s="143"/>
      <c r="K506" s="143"/>
      <c r="L506" s="143"/>
    </row>
    <row r="507" spans="1:12">
      <c r="A507" s="296"/>
      <c r="B507" s="143"/>
      <c r="C507" s="143"/>
      <c r="D507" s="143"/>
      <c r="E507" s="143"/>
      <c r="F507" s="143"/>
      <c r="G507" s="143"/>
      <c r="H507" s="143"/>
      <c r="I507" s="143"/>
      <c r="J507" s="143"/>
      <c r="K507" s="143"/>
      <c r="L507" s="143"/>
    </row>
    <row r="508" spans="1:12">
      <c r="A508" s="296"/>
      <c r="B508" s="143"/>
      <c r="C508" s="143"/>
      <c r="D508" s="143"/>
      <c r="E508" s="143"/>
      <c r="F508" s="143"/>
      <c r="G508" s="143"/>
      <c r="H508" s="143"/>
      <c r="I508" s="143"/>
      <c r="J508" s="143"/>
      <c r="K508" s="143"/>
      <c r="L508" s="143"/>
    </row>
    <row r="509" spans="1:12">
      <c r="A509" s="296"/>
      <c r="B509" s="143"/>
      <c r="C509" s="143"/>
      <c r="D509" s="143"/>
      <c r="E509" s="143"/>
      <c r="F509" s="143"/>
      <c r="G509" s="143"/>
      <c r="H509" s="143"/>
      <c r="I509" s="143"/>
      <c r="J509" s="143"/>
      <c r="K509" s="143"/>
      <c r="L509" s="143"/>
    </row>
    <row r="510" spans="1:12">
      <c r="A510" s="296"/>
      <c r="B510" s="143"/>
      <c r="C510" s="143"/>
      <c r="D510" s="143"/>
      <c r="E510" s="143"/>
      <c r="F510" s="143"/>
      <c r="G510" s="143"/>
      <c r="H510" s="143"/>
      <c r="I510" s="143"/>
      <c r="J510" s="143"/>
      <c r="K510" s="143"/>
      <c r="L510" s="143"/>
    </row>
    <row r="511" spans="1:12">
      <c r="A511" s="296"/>
      <c r="B511" s="143"/>
      <c r="C511" s="143"/>
      <c r="D511" s="143"/>
      <c r="E511" s="143"/>
      <c r="F511" s="143"/>
      <c r="G511" s="143"/>
      <c r="H511" s="143"/>
      <c r="I511" s="143"/>
      <c r="J511" s="143"/>
      <c r="K511" s="143"/>
      <c r="L511" s="143"/>
    </row>
    <row r="512" spans="1:12">
      <c r="A512" s="296"/>
      <c r="B512" s="143"/>
      <c r="C512" s="143"/>
      <c r="D512" s="143"/>
      <c r="E512" s="143"/>
      <c r="F512" s="143"/>
      <c r="G512" s="143"/>
      <c r="H512" s="143"/>
      <c r="I512" s="143"/>
      <c r="J512" s="143"/>
      <c r="K512" s="143"/>
      <c r="L512" s="143"/>
    </row>
    <row r="513" spans="1:12">
      <c r="A513" s="296"/>
      <c r="B513" s="143"/>
      <c r="C513" s="143"/>
      <c r="D513" s="143"/>
      <c r="E513" s="143"/>
      <c r="F513" s="143"/>
      <c r="G513" s="143"/>
      <c r="H513" s="143"/>
      <c r="I513" s="143"/>
      <c r="J513" s="143"/>
      <c r="K513" s="143"/>
      <c r="L513" s="143"/>
    </row>
    <row r="514" spans="1:12">
      <c r="A514" s="296"/>
      <c r="B514" s="143"/>
      <c r="C514" s="143"/>
      <c r="D514" s="143"/>
      <c r="E514" s="143"/>
      <c r="F514" s="143"/>
      <c r="G514" s="143"/>
      <c r="H514" s="143"/>
      <c r="I514" s="143"/>
      <c r="J514" s="143"/>
      <c r="K514" s="143"/>
      <c r="L514" s="143"/>
    </row>
    <row r="515" spans="1:12">
      <c r="A515" s="296"/>
      <c r="B515" s="143"/>
      <c r="C515" s="143"/>
      <c r="D515" s="143"/>
      <c r="E515" s="143"/>
      <c r="F515" s="143"/>
      <c r="G515" s="143"/>
      <c r="H515" s="143"/>
      <c r="I515" s="143"/>
      <c r="J515" s="143"/>
      <c r="K515" s="143"/>
      <c r="L515" s="143"/>
    </row>
    <row r="516" spans="1:12">
      <c r="A516" s="296"/>
      <c r="B516" s="143"/>
      <c r="C516" s="143"/>
      <c r="D516" s="143"/>
      <c r="E516" s="143"/>
      <c r="F516" s="143"/>
      <c r="G516" s="143"/>
      <c r="H516" s="143"/>
      <c r="I516" s="143"/>
      <c r="J516" s="143"/>
      <c r="K516" s="143"/>
      <c r="L516" s="143"/>
    </row>
    <row r="517" spans="1:12">
      <c r="A517" s="296"/>
      <c r="B517" s="143"/>
      <c r="C517" s="143"/>
      <c r="D517" s="143"/>
      <c r="E517" s="143"/>
      <c r="F517" s="143"/>
      <c r="G517" s="143"/>
      <c r="H517" s="143"/>
      <c r="I517" s="143"/>
      <c r="J517" s="143"/>
      <c r="K517" s="143"/>
      <c r="L517" s="143"/>
    </row>
    <row r="518" spans="1:12">
      <c r="A518" s="296"/>
      <c r="B518" s="143"/>
      <c r="C518" s="143"/>
      <c r="D518" s="143"/>
      <c r="E518" s="143"/>
      <c r="F518" s="143"/>
      <c r="G518" s="143"/>
      <c r="H518" s="143"/>
      <c r="I518" s="143"/>
      <c r="J518" s="143"/>
      <c r="K518" s="143"/>
      <c r="L518" s="143"/>
    </row>
    <row r="519" spans="1:12">
      <c r="A519" s="296"/>
      <c r="B519" s="143"/>
      <c r="C519" s="143"/>
      <c r="D519" s="143"/>
      <c r="E519" s="143"/>
      <c r="F519" s="143"/>
      <c r="G519" s="143"/>
      <c r="H519" s="143"/>
      <c r="I519" s="143"/>
      <c r="J519" s="143"/>
      <c r="K519" s="143"/>
      <c r="L519" s="143"/>
    </row>
    <row r="520" spans="1:12">
      <c r="A520" s="296"/>
      <c r="B520" s="143"/>
      <c r="C520" s="143"/>
      <c r="D520" s="143"/>
      <c r="E520" s="143"/>
      <c r="F520" s="143"/>
      <c r="G520" s="143"/>
      <c r="H520" s="143"/>
      <c r="I520" s="143"/>
      <c r="J520" s="143"/>
      <c r="K520" s="143"/>
      <c r="L520" s="143"/>
    </row>
    <row r="521" spans="1:12">
      <c r="A521" s="296"/>
      <c r="B521" s="143"/>
      <c r="C521" s="143"/>
      <c r="D521" s="143"/>
      <c r="E521" s="143"/>
      <c r="F521" s="143"/>
      <c r="G521" s="143"/>
      <c r="H521" s="143"/>
      <c r="I521" s="143"/>
      <c r="J521" s="143"/>
      <c r="K521" s="143"/>
      <c r="L521" s="143"/>
    </row>
    <row r="522" spans="1:12">
      <c r="A522" s="296"/>
      <c r="B522" s="143"/>
      <c r="C522" s="143"/>
      <c r="D522" s="143"/>
      <c r="E522" s="143"/>
      <c r="F522" s="143"/>
      <c r="G522" s="143"/>
      <c r="H522" s="143"/>
      <c r="I522" s="143"/>
      <c r="J522" s="143"/>
      <c r="K522" s="143"/>
      <c r="L522" s="143"/>
    </row>
    <row r="523" spans="1:12">
      <c r="A523" s="296"/>
      <c r="B523" s="143"/>
      <c r="C523" s="143"/>
      <c r="D523" s="143"/>
      <c r="E523" s="143"/>
      <c r="F523" s="143"/>
      <c r="G523" s="143"/>
      <c r="H523" s="143"/>
      <c r="I523" s="143"/>
      <c r="J523" s="143"/>
      <c r="K523" s="143"/>
      <c r="L523" s="143"/>
    </row>
    <row r="524" spans="1:12">
      <c r="A524" s="296"/>
      <c r="B524" s="143"/>
      <c r="C524" s="143"/>
      <c r="D524" s="143"/>
      <c r="E524" s="143"/>
      <c r="F524" s="143"/>
      <c r="G524" s="143"/>
      <c r="H524" s="143"/>
      <c r="I524" s="143"/>
      <c r="J524" s="143"/>
      <c r="K524" s="143"/>
      <c r="L524" s="143"/>
    </row>
    <row r="525" spans="1:12">
      <c r="A525" s="296"/>
      <c r="B525" s="143"/>
      <c r="C525" s="143"/>
      <c r="D525" s="143"/>
      <c r="E525" s="143"/>
      <c r="F525" s="143"/>
      <c r="G525" s="143"/>
      <c r="H525" s="143"/>
      <c r="I525" s="143"/>
      <c r="J525" s="143"/>
      <c r="K525" s="143"/>
      <c r="L525" s="143"/>
    </row>
    <row r="526" spans="1:12">
      <c r="A526" s="296"/>
      <c r="B526" s="143"/>
      <c r="C526" s="143"/>
      <c r="D526" s="143"/>
      <c r="E526" s="143"/>
      <c r="F526" s="143"/>
      <c r="G526" s="143"/>
      <c r="H526" s="143"/>
      <c r="I526" s="143"/>
      <c r="J526" s="143"/>
      <c r="K526" s="143"/>
      <c r="L526" s="143"/>
    </row>
    <row r="527" spans="1:12">
      <c r="A527" s="296"/>
      <c r="B527" s="143"/>
      <c r="C527" s="143"/>
      <c r="D527" s="143"/>
      <c r="E527" s="143"/>
      <c r="F527" s="143"/>
      <c r="G527" s="143"/>
      <c r="H527" s="143"/>
      <c r="I527" s="143"/>
      <c r="J527" s="143"/>
      <c r="K527" s="143"/>
      <c r="L527" s="143"/>
    </row>
    <row r="528" spans="1:12">
      <c r="A528" s="296"/>
      <c r="B528" s="143"/>
      <c r="C528" s="143"/>
      <c r="D528" s="143"/>
      <c r="E528" s="143"/>
      <c r="F528" s="143"/>
      <c r="G528" s="143"/>
      <c r="H528" s="143"/>
      <c r="I528" s="143"/>
      <c r="J528" s="143"/>
      <c r="K528" s="143"/>
      <c r="L528" s="143"/>
    </row>
    <row r="529" spans="1:12">
      <c r="A529" s="296"/>
      <c r="B529" s="143"/>
      <c r="C529" s="143"/>
      <c r="D529" s="143"/>
      <c r="E529" s="143"/>
      <c r="F529" s="143"/>
      <c r="G529" s="143"/>
      <c r="H529" s="143"/>
      <c r="I529" s="143"/>
      <c r="J529" s="143"/>
      <c r="K529" s="143"/>
      <c r="L529" s="143"/>
    </row>
    <row r="530" spans="1:12">
      <c r="A530" s="296"/>
      <c r="B530" s="143"/>
      <c r="C530" s="143"/>
      <c r="D530" s="143"/>
      <c r="E530" s="143"/>
      <c r="F530" s="143"/>
      <c r="G530" s="143"/>
      <c r="H530" s="143"/>
      <c r="I530" s="143"/>
      <c r="J530" s="143"/>
      <c r="K530" s="143"/>
      <c r="L530" s="143"/>
    </row>
    <row r="531" spans="1:12">
      <c r="A531" s="296"/>
      <c r="B531" s="143"/>
      <c r="C531" s="143"/>
      <c r="D531" s="143"/>
      <c r="E531" s="143"/>
      <c r="F531" s="143"/>
      <c r="G531" s="143"/>
      <c r="H531" s="143"/>
      <c r="I531" s="143"/>
      <c r="J531" s="143"/>
      <c r="K531" s="143"/>
      <c r="L531" s="143"/>
    </row>
    <row r="532" spans="1:12">
      <c r="A532" s="296"/>
      <c r="B532" s="143"/>
      <c r="C532" s="143"/>
      <c r="D532" s="143"/>
      <c r="E532" s="143"/>
      <c r="F532" s="143"/>
      <c r="G532" s="143"/>
      <c r="H532" s="143"/>
      <c r="I532" s="143"/>
      <c r="J532" s="143"/>
      <c r="K532" s="143"/>
      <c r="L532" s="143"/>
    </row>
  </sheetData>
  <sortState columnSort="1" ref="B1:L49">
    <sortCondition ref="B49:L49"/>
  </sortState>
  <phoneticPr fontId="0" type="noConversion"/>
  <conditionalFormatting sqref="A27:L27">
    <cfRule type="expression" dxfId="2" priority="1">
      <formula>$M27&lt;$M28</formula>
    </cfRule>
  </conditionalFormatting>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sheetPr>
    <tabColor indexed="12"/>
  </sheetPr>
  <dimension ref="B1:AA26"/>
  <sheetViews>
    <sheetView showZeros="0" workbookViewId="0">
      <selection activeCell="W22" sqref="W22"/>
    </sheetView>
  </sheetViews>
  <sheetFormatPr defaultRowHeight="12.75"/>
  <cols>
    <col min="1" max="1" width="2.7109375" style="125" customWidth="1"/>
    <col min="2" max="2" width="8.85546875" style="125" customWidth="1"/>
    <col min="3" max="3" width="13" style="125"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43"/>
      <c r="C1" s="236" t="s">
        <v>208</v>
      </c>
    </row>
    <row r="2" spans="2:27">
      <c r="B2" s="243"/>
      <c r="C2" s="237"/>
      <c r="G2" s="146"/>
    </row>
    <row r="3" spans="2:27" s="144" customFormat="1" ht="13.5" thickBot="1">
      <c r="B3" s="245"/>
      <c r="C3" s="250" t="s">
        <v>78</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46" t="s">
        <v>209</v>
      </c>
      <c r="C4" s="239" t="s">
        <v>72</v>
      </c>
      <c r="D4" s="126">
        <f t="shared" ref="D4:M13" si="0">INDEX(scorematrix,MATCH($C4,renners,0),MATCH(D$3,etappes,0))</f>
        <v>0</v>
      </c>
      <c r="E4" s="126">
        <f t="shared" si="0"/>
        <v>28</v>
      </c>
      <c r="F4" s="126">
        <f t="shared" si="0"/>
        <v>21</v>
      </c>
      <c r="G4" s="126">
        <f t="shared" si="0"/>
        <v>0</v>
      </c>
      <c r="H4" s="126">
        <f t="shared" si="0"/>
        <v>36</v>
      </c>
      <c r="I4" s="126">
        <f t="shared" si="0"/>
        <v>23</v>
      </c>
      <c r="J4" s="126">
        <f t="shared" si="0"/>
        <v>31</v>
      </c>
      <c r="K4" s="126">
        <f t="shared" si="0"/>
        <v>1</v>
      </c>
      <c r="L4" s="126">
        <f t="shared" si="0"/>
        <v>0</v>
      </c>
      <c r="M4" s="126">
        <f t="shared" si="0"/>
        <v>0</v>
      </c>
      <c r="N4" s="126">
        <f t="shared" ref="N4:Y13" si="1">INDEX(scorematrix,MATCH($C4,renners,0),MATCH(N$3,etappes,0))</f>
        <v>0</v>
      </c>
      <c r="O4" s="126">
        <f t="shared" si="1"/>
        <v>0</v>
      </c>
      <c r="P4" s="126">
        <f t="shared" si="1"/>
        <v>0</v>
      </c>
      <c r="Q4" s="126">
        <f t="shared" si="1"/>
        <v>0</v>
      </c>
      <c r="R4" s="126">
        <f t="shared" si="1"/>
        <v>0</v>
      </c>
      <c r="S4" s="126">
        <f t="shared" si="1"/>
        <v>0</v>
      </c>
      <c r="T4" s="126">
        <f t="shared" si="1"/>
        <v>0</v>
      </c>
      <c r="U4" s="126">
        <f t="shared" si="1"/>
        <v>0</v>
      </c>
      <c r="V4" s="126">
        <f t="shared" si="1"/>
        <v>0</v>
      </c>
      <c r="W4" s="126">
        <f t="shared" si="1"/>
        <v>0</v>
      </c>
      <c r="X4" s="126">
        <f t="shared" si="1"/>
        <v>0</v>
      </c>
      <c r="Y4" s="126">
        <f t="shared" si="1"/>
        <v>0</v>
      </c>
      <c r="Z4" s="204">
        <f t="shared" ref="Z4:Z20" si="2">SUM(D4:Y4)</f>
        <v>140</v>
      </c>
      <c r="AA4" s="125" t="str">
        <f t="shared" ref="AA4:AA18" si="3">C4</f>
        <v>Boasson Hagen</v>
      </c>
    </row>
    <row r="5" spans="2:27">
      <c r="B5" s="246" t="s">
        <v>127</v>
      </c>
      <c r="C5" s="240" t="s">
        <v>114</v>
      </c>
      <c r="D5" s="126">
        <f t="shared" si="0"/>
        <v>0</v>
      </c>
      <c r="E5" s="126">
        <f t="shared" si="0"/>
        <v>0</v>
      </c>
      <c r="F5" s="126">
        <f t="shared" si="0"/>
        <v>0</v>
      </c>
      <c r="G5" s="126">
        <f t="shared" si="0"/>
        <v>0.1</v>
      </c>
      <c r="H5" s="126">
        <f t="shared" si="0"/>
        <v>4</v>
      </c>
      <c r="I5" s="126">
        <f t="shared" si="0"/>
        <v>12</v>
      </c>
      <c r="J5" s="126">
        <f t="shared" si="0"/>
        <v>4</v>
      </c>
      <c r="K5" s="126">
        <f t="shared" si="0"/>
        <v>50</v>
      </c>
      <c r="L5" s="126">
        <f t="shared" si="0"/>
        <v>26</v>
      </c>
      <c r="M5" s="126">
        <f t="shared" si="0"/>
        <v>14</v>
      </c>
      <c r="N5" s="126">
        <f t="shared" si="1"/>
        <v>44</v>
      </c>
      <c r="O5" s="126">
        <f t="shared" si="1"/>
        <v>26</v>
      </c>
      <c r="P5" s="126">
        <f t="shared" si="1"/>
        <v>14</v>
      </c>
      <c r="Q5" s="126">
        <f t="shared" si="1"/>
        <v>14</v>
      </c>
      <c r="R5" s="126">
        <f t="shared" si="1"/>
        <v>50</v>
      </c>
      <c r="S5" s="126">
        <f t="shared" si="1"/>
        <v>15</v>
      </c>
      <c r="T5" s="126">
        <f t="shared" si="1"/>
        <v>50</v>
      </c>
      <c r="U5" s="126">
        <f t="shared" si="1"/>
        <v>34</v>
      </c>
      <c r="V5" s="126">
        <f t="shared" si="1"/>
        <v>15</v>
      </c>
      <c r="W5" s="126">
        <f t="shared" si="1"/>
        <v>40</v>
      </c>
      <c r="X5" s="126">
        <f t="shared" si="1"/>
        <v>14</v>
      </c>
      <c r="Y5" s="126">
        <f t="shared" si="1"/>
        <v>77</v>
      </c>
      <c r="Z5" s="204">
        <f t="shared" si="2"/>
        <v>503.1</v>
      </c>
      <c r="AA5" s="125" t="str">
        <f t="shared" si="3"/>
        <v>Froome</v>
      </c>
    </row>
    <row r="6" spans="2:27">
      <c r="B6" s="246" t="s">
        <v>126</v>
      </c>
      <c r="C6" s="240" t="s">
        <v>112</v>
      </c>
      <c r="D6" s="126">
        <f t="shared" si="0"/>
        <v>0</v>
      </c>
      <c r="E6" s="126">
        <f t="shared" si="0"/>
        <v>0</v>
      </c>
      <c r="F6" s="126">
        <f t="shared" si="0"/>
        <v>0</v>
      </c>
      <c r="G6" s="126">
        <f t="shared" si="0"/>
        <v>0</v>
      </c>
      <c r="H6" s="126">
        <f t="shared" si="0"/>
        <v>0</v>
      </c>
      <c r="I6" s="126">
        <f t="shared" si="0"/>
        <v>0</v>
      </c>
      <c r="J6" s="126">
        <f t="shared" si="0"/>
        <v>0</v>
      </c>
      <c r="K6" s="126">
        <f t="shared" si="0"/>
        <v>34</v>
      </c>
      <c r="L6" s="126">
        <f t="shared" si="0"/>
        <v>24</v>
      </c>
      <c r="M6" s="126">
        <f t="shared" si="0"/>
        <v>9</v>
      </c>
      <c r="N6" s="126">
        <f t="shared" si="1"/>
        <v>22</v>
      </c>
      <c r="O6" s="126">
        <f t="shared" si="1"/>
        <v>17</v>
      </c>
      <c r="P6" s="126">
        <f t="shared" si="1"/>
        <v>0</v>
      </c>
      <c r="Q6" s="126">
        <f t="shared" si="1"/>
        <v>0</v>
      </c>
      <c r="R6" s="126">
        <f t="shared" si="1"/>
        <v>13</v>
      </c>
      <c r="S6" s="126">
        <f t="shared" si="1"/>
        <v>0</v>
      </c>
      <c r="T6" s="126">
        <f t="shared" si="1"/>
        <v>22</v>
      </c>
      <c r="U6" s="126">
        <f t="shared" si="1"/>
        <v>18</v>
      </c>
      <c r="V6" s="126">
        <f t="shared" si="1"/>
        <v>10</v>
      </c>
      <c r="W6" s="126">
        <f t="shared" si="1"/>
        <v>27</v>
      </c>
      <c r="X6" s="126">
        <f t="shared" si="1"/>
        <v>3</v>
      </c>
      <c r="Y6" s="126">
        <f t="shared" si="1"/>
        <v>36</v>
      </c>
      <c r="Z6" s="204">
        <f t="shared" si="2"/>
        <v>235</v>
      </c>
      <c r="AA6" s="125" t="str">
        <f t="shared" si="3"/>
        <v>Valverde</v>
      </c>
    </row>
    <row r="7" spans="2:27">
      <c r="B7" s="246" t="s">
        <v>156</v>
      </c>
      <c r="C7" s="240" t="s">
        <v>161</v>
      </c>
      <c r="D7" s="126">
        <f t="shared" si="0"/>
        <v>0</v>
      </c>
      <c r="E7" s="126">
        <f t="shared" si="0"/>
        <v>0</v>
      </c>
      <c r="F7" s="126">
        <f t="shared" si="0"/>
        <v>0</v>
      </c>
      <c r="G7" s="126">
        <f t="shared" si="0"/>
        <v>0</v>
      </c>
      <c r="H7" s="126">
        <f t="shared" si="0"/>
        <v>0</v>
      </c>
      <c r="I7" s="126">
        <f t="shared" si="0"/>
        <v>0</v>
      </c>
      <c r="J7" s="126">
        <f t="shared" si="0"/>
        <v>0</v>
      </c>
      <c r="K7" s="126">
        <f t="shared" si="0"/>
        <v>0</v>
      </c>
      <c r="L7" s="126">
        <f t="shared" si="0"/>
        <v>0</v>
      </c>
      <c r="M7" s="126">
        <f t="shared" si="0"/>
        <v>0</v>
      </c>
      <c r="N7" s="126">
        <f t="shared" si="1"/>
        <v>0</v>
      </c>
      <c r="O7" s="126">
        <f t="shared" si="1"/>
        <v>0</v>
      </c>
      <c r="P7" s="126">
        <f t="shared" si="1"/>
        <v>0</v>
      </c>
      <c r="Q7" s="126">
        <f t="shared" si="1"/>
        <v>10</v>
      </c>
      <c r="R7" s="126">
        <f t="shared" si="1"/>
        <v>0</v>
      </c>
      <c r="S7" s="126">
        <f t="shared" si="1"/>
        <v>0</v>
      </c>
      <c r="T7" s="126">
        <f t="shared" si="1"/>
        <v>16</v>
      </c>
      <c r="U7" s="126">
        <f t="shared" si="1"/>
        <v>31</v>
      </c>
      <c r="V7" s="126">
        <f t="shared" si="1"/>
        <v>0</v>
      </c>
      <c r="W7" s="126">
        <f t="shared" si="1"/>
        <v>0</v>
      </c>
      <c r="X7" s="126">
        <f t="shared" si="1"/>
        <v>0</v>
      </c>
      <c r="Y7" s="126">
        <f t="shared" si="1"/>
        <v>0</v>
      </c>
      <c r="Z7" s="204">
        <f t="shared" si="2"/>
        <v>57</v>
      </c>
      <c r="AA7" s="125" t="str">
        <f t="shared" si="3"/>
        <v>van Garderen</v>
      </c>
    </row>
    <row r="8" spans="2:27">
      <c r="B8" s="246" t="s">
        <v>121</v>
      </c>
      <c r="C8" s="240" t="s">
        <v>122</v>
      </c>
      <c r="D8" s="126">
        <f t="shared" si="0"/>
        <v>0</v>
      </c>
      <c r="E8" s="126">
        <f t="shared" si="0"/>
        <v>0</v>
      </c>
      <c r="F8" s="126">
        <f t="shared" si="0"/>
        <v>0</v>
      </c>
      <c r="G8" s="126">
        <f t="shared" si="0"/>
        <v>0</v>
      </c>
      <c r="H8" s="126">
        <f t="shared" si="0"/>
        <v>0</v>
      </c>
      <c r="I8" s="126">
        <f t="shared" si="0"/>
        <v>0</v>
      </c>
      <c r="J8" s="126">
        <f t="shared" si="0"/>
        <v>0</v>
      </c>
      <c r="K8" s="126">
        <f t="shared" si="0"/>
        <v>0</v>
      </c>
      <c r="L8" s="126">
        <f t="shared" si="0"/>
        <v>0</v>
      </c>
      <c r="M8" s="126">
        <f t="shared" si="0"/>
        <v>0</v>
      </c>
      <c r="N8" s="126">
        <f t="shared" si="1"/>
        <v>0</v>
      </c>
      <c r="O8" s="126">
        <f t="shared" si="1"/>
        <v>0</v>
      </c>
      <c r="P8" s="126">
        <f t="shared" si="1"/>
        <v>0</v>
      </c>
      <c r="Q8" s="126">
        <f t="shared" si="1"/>
        <v>0</v>
      </c>
      <c r="R8" s="126">
        <f t="shared" si="1"/>
        <v>0</v>
      </c>
      <c r="S8" s="126">
        <f t="shared" si="1"/>
        <v>0</v>
      </c>
      <c r="T8" s="126">
        <f t="shared" si="1"/>
        <v>0</v>
      </c>
      <c r="U8" s="126">
        <f t="shared" si="1"/>
        <v>0</v>
      </c>
      <c r="V8" s="126">
        <f t="shared" si="1"/>
        <v>0</v>
      </c>
      <c r="W8" s="126">
        <f t="shared" si="1"/>
        <v>0</v>
      </c>
      <c r="X8" s="126">
        <f t="shared" si="1"/>
        <v>0</v>
      </c>
      <c r="Y8" s="126">
        <f t="shared" si="1"/>
        <v>0</v>
      </c>
      <c r="Z8" s="204">
        <f t="shared" si="2"/>
        <v>0</v>
      </c>
      <c r="AA8" s="125" t="str">
        <f t="shared" si="3"/>
        <v>Van den Broeck</v>
      </c>
    </row>
    <row r="9" spans="2:27">
      <c r="B9" s="246" t="s">
        <v>162</v>
      </c>
      <c r="C9" s="240" t="s">
        <v>146</v>
      </c>
      <c r="D9" s="126">
        <f t="shared" si="0"/>
        <v>0</v>
      </c>
      <c r="E9" s="126">
        <f t="shared" si="0"/>
        <v>0</v>
      </c>
      <c r="F9" s="126">
        <f t="shared" si="0"/>
        <v>0</v>
      </c>
      <c r="G9" s="126">
        <f t="shared" si="0"/>
        <v>0</v>
      </c>
      <c r="H9" s="126">
        <f t="shared" si="0"/>
        <v>0</v>
      </c>
      <c r="I9" s="126">
        <f t="shared" si="0"/>
        <v>0</v>
      </c>
      <c r="J9" s="126">
        <f t="shared" si="0"/>
        <v>0</v>
      </c>
      <c r="K9" s="126">
        <f t="shared" si="0"/>
        <v>22</v>
      </c>
      <c r="L9" s="126">
        <f t="shared" si="0"/>
        <v>18</v>
      </c>
      <c r="M9" s="126">
        <f t="shared" si="0"/>
        <v>5</v>
      </c>
      <c r="N9" s="126">
        <f t="shared" si="1"/>
        <v>18</v>
      </c>
      <c r="O9" s="126">
        <f t="shared" si="1"/>
        <v>7</v>
      </c>
      <c r="P9" s="126">
        <f t="shared" si="1"/>
        <v>27</v>
      </c>
      <c r="Q9" s="126">
        <f t="shared" si="1"/>
        <v>8</v>
      </c>
      <c r="R9" s="126">
        <f t="shared" si="1"/>
        <v>28</v>
      </c>
      <c r="S9" s="126">
        <f t="shared" si="1"/>
        <v>8</v>
      </c>
      <c r="T9" s="126">
        <f t="shared" si="1"/>
        <v>39</v>
      </c>
      <c r="U9" s="126">
        <f t="shared" si="1"/>
        <v>24</v>
      </c>
      <c r="V9" s="126">
        <f t="shared" si="1"/>
        <v>9</v>
      </c>
      <c r="W9" s="126">
        <f t="shared" si="1"/>
        <v>26</v>
      </c>
      <c r="X9" s="126">
        <f t="shared" si="1"/>
        <v>7</v>
      </c>
      <c r="Y9" s="126">
        <f t="shared" si="1"/>
        <v>48</v>
      </c>
      <c r="Z9" s="204">
        <f t="shared" si="2"/>
        <v>294</v>
      </c>
      <c r="AA9" s="125" t="str">
        <f t="shared" si="3"/>
        <v>Contador</v>
      </c>
    </row>
    <row r="10" spans="2:27">
      <c r="B10" s="246" t="s">
        <v>151</v>
      </c>
      <c r="C10" s="240" t="s">
        <v>159</v>
      </c>
      <c r="D10" s="126">
        <f t="shared" si="0"/>
        <v>0</v>
      </c>
      <c r="E10" s="126">
        <f t="shared" si="0"/>
        <v>0</v>
      </c>
      <c r="F10" s="126">
        <f t="shared" si="0"/>
        <v>0</v>
      </c>
      <c r="G10" s="126">
        <f t="shared" si="0"/>
        <v>0</v>
      </c>
      <c r="H10" s="126">
        <f t="shared" si="0"/>
        <v>0</v>
      </c>
      <c r="I10" s="126">
        <f t="shared" si="0"/>
        <v>0</v>
      </c>
      <c r="J10" s="126">
        <f t="shared" si="0"/>
        <v>0</v>
      </c>
      <c r="K10" s="126">
        <f t="shared" si="0"/>
        <v>17</v>
      </c>
      <c r="L10" s="126">
        <f t="shared" si="0"/>
        <v>24</v>
      </c>
      <c r="M10" s="126">
        <f t="shared" si="0"/>
        <v>2</v>
      </c>
      <c r="N10" s="126">
        <f t="shared" si="1"/>
        <v>0</v>
      </c>
      <c r="O10" s="126">
        <f t="shared" si="1"/>
        <v>0</v>
      </c>
      <c r="P10" s="126">
        <f t="shared" si="1"/>
        <v>1</v>
      </c>
      <c r="Q10" s="126">
        <f t="shared" si="1"/>
        <v>1</v>
      </c>
      <c r="R10" s="126">
        <f t="shared" si="1"/>
        <v>27</v>
      </c>
      <c r="S10" s="126">
        <f t="shared" si="1"/>
        <v>4</v>
      </c>
      <c r="T10" s="126">
        <f t="shared" si="1"/>
        <v>32</v>
      </c>
      <c r="U10" s="126">
        <f t="shared" si="1"/>
        <v>28</v>
      </c>
      <c r="V10" s="126">
        <f t="shared" si="1"/>
        <v>6</v>
      </c>
      <c r="W10" s="126">
        <f t="shared" si="1"/>
        <v>40</v>
      </c>
      <c r="X10" s="126">
        <f t="shared" si="1"/>
        <v>10</v>
      </c>
      <c r="Y10" s="126">
        <f t="shared" si="1"/>
        <v>55</v>
      </c>
      <c r="Z10" s="204">
        <f t="shared" si="2"/>
        <v>247</v>
      </c>
      <c r="AA10" s="125" t="str">
        <f t="shared" si="3"/>
        <v>Rodriguez</v>
      </c>
    </row>
    <row r="11" spans="2:27">
      <c r="B11" s="246" t="s">
        <v>116</v>
      </c>
      <c r="C11" s="240" t="s">
        <v>67</v>
      </c>
      <c r="D11" s="126">
        <f t="shared" si="0"/>
        <v>0</v>
      </c>
      <c r="E11" s="126">
        <f t="shared" si="0"/>
        <v>0</v>
      </c>
      <c r="F11" s="126">
        <f t="shared" si="0"/>
        <v>0</v>
      </c>
      <c r="G11" s="126">
        <f t="shared" si="0"/>
        <v>0</v>
      </c>
      <c r="H11" s="126">
        <f t="shared" si="0"/>
        <v>39</v>
      </c>
      <c r="I11" s="126">
        <f t="shared" si="0"/>
        <v>27</v>
      </c>
      <c r="J11" s="126">
        <f t="shared" si="0"/>
        <v>0</v>
      </c>
      <c r="K11" s="126">
        <f t="shared" si="0"/>
        <v>3</v>
      </c>
      <c r="L11" s="126">
        <f t="shared" si="0"/>
        <v>3</v>
      </c>
      <c r="M11" s="126">
        <f t="shared" si="0"/>
        <v>29</v>
      </c>
      <c r="N11" s="126">
        <f t="shared" si="1"/>
        <v>3</v>
      </c>
      <c r="O11" s="126">
        <f t="shared" si="1"/>
        <v>34</v>
      </c>
      <c r="P11" s="126">
        <f t="shared" si="1"/>
        <v>39</v>
      </c>
      <c r="Q11" s="126">
        <f t="shared" si="1"/>
        <v>4</v>
      </c>
      <c r="R11" s="126">
        <f t="shared" si="1"/>
        <v>4</v>
      </c>
      <c r="S11" s="126">
        <f t="shared" si="1"/>
        <v>4</v>
      </c>
      <c r="T11" s="126">
        <f t="shared" si="1"/>
        <v>4</v>
      </c>
      <c r="U11" s="126">
        <f t="shared" si="1"/>
        <v>4</v>
      </c>
      <c r="V11" s="126">
        <f t="shared" si="1"/>
        <v>4</v>
      </c>
      <c r="W11" s="126">
        <f t="shared" si="1"/>
        <v>4</v>
      </c>
      <c r="X11" s="126">
        <f t="shared" si="1"/>
        <v>30</v>
      </c>
      <c r="Y11" s="126">
        <f t="shared" si="1"/>
        <v>7</v>
      </c>
      <c r="Z11" s="204">
        <f t="shared" si="2"/>
        <v>242</v>
      </c>
      <c r="AA11" s="125" t="str">
        <f t="shared" si="3"/>
        <v>Cavendish</v>
      </c>
    </row>
    <row r="12" spans="2:27">
      <c r="B12" s="246" t="s">
        <v>105</v>
      </c>
      <c r="C12" s="240" t="s">
        <v>106</v>
      </c>
      <c r="D12" s="126">
        <f t="shared" si="0"/>
        <v>0</v>
      </c>
      <c r="E12" s="126">
        <f t="shared" si="0"/>
        <v>34</v>
      </c>
      <c r="F12" s="126">
        <f t="shared" si="0"/>
        <v>35</v>
      </c>
      <c r="G12" s="126">
        <f t="shared" si="0"/>
        <v>0</v>
      </c>
      <c r="H12" s="126">
        <f t="shared" si="0"/>
        <v>31</v>
      </c>
      <c r="I12" s="126">
        <f t="shared" si="0"/>
        <v>35</v>
      </c>
      <c r="J12" s="126">
        <f t="shared" si="0"/>
        <v>40</v>
      </c>
      <c r="K12" s="126">
        <f t="shared" si="0"/>
        <v>5</v>
      </c>
      <c r="L12" s="126">
        <f t="shared" si="0"/>
        <v>5</v>
      </c>
      <c r="M12" s="126">
        <f t="shared" si="0"/>
        <v>29</v>
      </c>
      <c r="N12" s="126">
        <f t="shared" si="1"/>
        <v>14</v>
      </c>
      <c r="O12" s="126">
        <f t="shared" si="1"/>
        <v>31</v>
      </c>
      <c r="P12" s="126">
        <f t="shared" si="1"/>
        <v>35</v>
      </c>
      <c r="Q12" s="126">
        <f t="shared" si="1"/>
        <v>5</v>
      </c>
      <c r="R12" s="126">
        <f t="shared" si="1"/>
        <v>5</v>
      </c>
      <c r="S12" s="126">
        <f t="shared" si="1"/>
        <v>5</v>
      </c>
      <c r="T12" s="126">
        <f t="shared" si="1"/>
        <v>5</v>
      </c>
      <c r="U12" s="126">
        <f t="shared" si="1"/>
        <v>5</v>
      </c>
      <c r="V12" s="126">
        <f t="shared" si="1"/>
        <v>5</v>
      </c>
      <c r="W12" s="126">
        <f t="shared" si="1"/>
        <v>5</v>
      </c>
      <c r="X12" s="126">
        <f t="shared" si="1"/>
        <v>29</v>
      </c>
      <c r="Y12" s="126">
        <f t="shared" si="1"/>
        <v>10</v>
      </c>
      <c r="Z12" s="204">
        <f t="shared" si="2"/>
        <v>368</v>
      </c>
      <c r="AA12" s="125" t="str">
        <f t="shared" si="3"/>
        <v>Sagan</v>
      </c>
    </row>
    <row r="13" spans="2:27">
      <c r="B13" s="246" t="s">
        <v>124</v>
      </c>
      <c r="C13" s="240" t="s">
        <v>85</v>
      </c>
      <c r="D13" s="126">
        <f t="shared" si="0"/>
        <v>0</v>
      </c>
      <c r="E13" s="126">
        <f t="shared" si="0"/>
        <v>0</v>
      </c>
      <c r="F13" s="126">
        <f t="shared" si="0"/>
        <v>0</v>
      </c>
      <c r="G13" s="126">
        <f t="shared" si="0"/>
        <v>0</v>
      </c>
      <c r="H13" s="126">
        <f t="shared" si="0"/>
        <v>26</v>
      </c>
      <c r="I13" s="126">
        <f t="shared" si="0"/>
        <v>39</v>
      </c>
      <c r="J13" s="126">
        <f t="shared" si="0"/>
        <v>0</v>
      </c>
      <c r="K13" s="126">
        <f t="shared" si="0"/>
        <v>4</v>
      </c>
      <c r="L13" s="126">
        <f t="shared" si="0"/>
        <v>4</v>
      </c>
      <c r="M13" s="126">
        <f t="shared" si="0"/>
        <v>34</v>
      </c>
      <c r="N13" s="126">
        <f t="shared" si="1"/>
        <v>4</v>
      </c>
      <c r="O13" s="126">
        <f t="shared" si="1"/>
        <v>3</v>
      </c>
      <c r="P13" s="126">
        <f t="shared" si="1"/>
        <v>14</v>
      </c>
      <c r="Q13" s="126">
        <f t="shared" si="1"/>
        <v>3</v>
      </c>
      <c r="R13" s="126">
        <f t="shared" si="1"/>
        <v>3</v>
      </c>
      <c r="S13" s="126">
        <f t="shared" si="1"/>
        <v>3</v>
      </c>
      <c r="T13" s="126">
        <f t="shared" si="1"/>
        <v>3</v>
      </c>
      <c r="U13" s="126">
        <f t="shared" si="1"/>
        <v>3</v>
      </c>
      <c r="V13" s="126">
        <f t="shared" si="1"/>
        <v>3</v>
      </c>
      <c r="W13" s="126">
        <f t="shared" si="1"/>
        <v>3</v>
      </c>
      <c r="X13" s="126">
        <f t="shared" si="1"/>
        <v>33</v>
      </c>
      <c r="Y13" s="126">
        <f t="shared" si="1"/>
        <v>5</v>
      </c>
      <c r="Z13" s="204">
        <f t="shared" si="2"/>
        <v>187</v>
      </c>
      <c r="AA13" s="125" t="str">
        <f t="shared" si="3"/>
        <v>Greipel</v>
      </c>
    </row>
    <row r="14" spans="2:27">
      <c r="B14" s="246" t="s">
        <v>210</v>
      </c>
      <c r="C14" s="240" t="s">
        <v>211</v>
      </c>
      <c r="D14" s="126">
        <f t="shared" ref="D14:M20" si="4">INDEX(scorematrix,MATCH($C14,renners,0),MATCH(D$3,etappes,0))</f>
        <v>0</v>
      </c>
      <c r="E14" s="126">
        <f t="shared" si="4"/>
        <v>0</v>
      </c>
      <c r="F14" s="126">
        <f t="shared" si="4"/>
        <v>0</v>
      </c>
      <c r="G14" s="126">
        <f t="shared" si="4"/>
        <v>0</v>
      </c>
      <c r="H14" s="126">
        <f t="shared" si="4"/>
        <v>6</v>
      </c>
      <c r="I14" s="126">
        <f t="shared" si="4"/>
        <v>5</v>
      </c>
      <c r="J14" s="126">
        <f t="shared" si="4"/>
        <v>21</v>
      </c>
      <c r="K14" s="126">
        <f t="shared" si="4"/>
        <v>0</v>
      </c>
      <c r="L14" s="126">
        <f t="shared" si="4"/>
        <v>0</v>
      </c>
      <c r="M14" s="126">
        <f t="shared" si="4"/>
        <v>0</v>
      </c>
      <c r="N14" s="126">
        <f t="shared" ref="N14:Y20" si="5">INDEX(scorematrix,MATCH($C14,renners,0),MATCH(N$3,etappes,0))</f>
        <v>19</v>
      </c>
      <c r="O14" s="126">
        <f t="shared" si="5"/>
        <v>0</v>
      </c>
      <c r="P14" s="126">
        <f t="shared" si="5"/>
        <v>17</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204">
        <f t="shared" si="2"/>
        <v>68</v>
      </c>
      <c r="AA14" s="125" t="str">
        <f t="shared" si="3"/>
        <v>Chavanel</v>
      </c>
    </row>
    <row r="15" spans="2:27">
      <c r="B15" s="246" t="s">
        <v>107</v>
      </c>
      <c r="C15" s="240" t="s">
        <v>108</v>
      </c>
      <c r="D15" s="126">
        <f t="shared" si="4"/>
        <v>50</v>
      </c>
      <c r="E15" s="126">
        <f t="shared" si="4"/>
        <v>5</v>
      </c>
      <c r="F15" s="126">
        <f t="shared" si="4"/>
        <v>4</v>
      </c>
      <c r="G15" s="126">
        <f t="shared" si="4"/>
        <v>0</v>
      </c>
      <c r="H15" s="126">
        <f t="shared" si="4"/>
        <v>0</v>
      </c>
      <c r="I15" s="126">
        <f t="shared" si="4"/>
        <v>27</v>
      </c>
      <c r="J15" s="126">
        <f t="shared" si="4"/>
        <v>0</v>
      </c>
      <c r="K15" s="126">
        <f t="shared" si="4"/>
        <v>0</v>
      </c>
      <c r="L15" s="126">
        <f t="shared" si="4"/>
        <v>0</v>
      </c>
      <c r="M15" s="126">
        <f t="shared" si="4"/>
        <v>37</v>
      </c>
      <c r="N15" s="126">
        <f t="shared" si="5"/>
        <v>2</v>
      </c>
      <c r="O15" s="126">
        <f t="shared" si="5"/>
        <v>37</v>
      </c>
      <c r="P15" s="126">
        <f t="shared" si="5"/>
        <v>2</v>
      </c>
      <c r="Q15" s="126">
        <f t="shared" si="5"/>
        <v>2</v>
      </c>
      <c r="R15" s="126">
        <f t="shared" si="5"/>
        <v>2</v>
      </c>
      <c r="S15" s="126">
        <f t="shared" si="5"/>
        <v>2</v>
      </c>
      <c r="T15" s="126">
        <f t="shared" si="5"/>
        <v>2</v>
      </c>
      <c r="U15" s="126">
        <f t="shared" si="5"/>
        <v>2</v>
      </c>
      <c r="V15" s="126">
        <f t="shared" si="5"/>
        <v>2</v>
      </c>
      <c r="W15" s="126">
        <f t="shared" si="5"/>
        <v>2</v>
      </c>
      <c r="X15" s="126">
        <f t="shared" si="5"/>
        <v>37</v>
      </c>
      <c r="Y15" s="126">
        <f t="shared" si="5"/>
        <v>3</v>
      </c>
      <c r="Z15" s="204">
        <f t="shared" si="2"/>
        <v>218</v>
      </c>
      <c r="AA15" s="125" t="str">
        <f t="shared" si="3"/>
        <v>Kittel</v>
      </c>
    </row>
    <row r="16" spans="2:27">
      <c r="B16" s="246" t="s">
        <v>147</v>
      </c>
      <c r="C16" s="240" t="s">
        <v>148</v>
      </c>
      <c r="D16" s="126">
        <f t="shared" si="4"/>
        <v>0</v>
      </c>
      <c r="E16" s="126">
        <f t="shared" si="4"/>
        <v>0</v>
      </c>
      <c r="F16" s="126">
        <f t="shared" si="4"/>
        <v>0</v>
      </c>
      <c r="G16" s="126">
        <f t="shared" si="4"/>
        <v>0</v>
      </c>
      <c r="H16" s="126">
        <f t="shared" si="4"/>
        <v>0</v>
      </c>
      <c r="I16" s="126">
        <f t="shared" si="4"/>
        <v>0</v>
      </c>
      <c r="J16" s="126">
        <f t="shared" si="4"/>
        <v>0</v>
      </c>
      <c r="K16" s="126">
        <f t="shared" si="4"/>
        <v>0</v>
      </c>
      <c r="L16" s="126">
        <f t="shared" si="4"/>
        <v>0</v>
      </c>
      <c r="M16" s="126">
        <f t="shared" si="4"/>
        <v>0</v>
      </c>
      <c r="N16" s="126">
        <f t="shared" si="5"/>
        <v>0</v>
      </c>
      <c r="O16" s="126">
        <f t="shared" si="5"/>
        <v>0</v>
      </c>
      <c r="P16" s="126">
        <f t="shared" si="5"/>
        <v>0</v>
      </c>
      <c r="Q16" s="126">
        <f t="shared" si="5"/>
        <v>0</v>
      </c>
      <c r="R16" s="126">
        <f t="shared" si="5"/>
        <v>0</v>
      </c>
      <c r="S16" s="126">
        <f t="shared" si="5"/>
        <v>0</v>
      </c>
      <c r="T16" s="126">
        <f t="shared" si="5"/>
        <v>0</v>
      </c>
      <c r="U16" s="126">
        <f t="shared" si="5"/>
        <v>0</v>
      </c>
      <c r="V16" s="126">
        <f t="shared" si="5"/>
        <v>0</v>
      </c>
      <c r="W16" s="126">
        <f t="shared" si="5"/>
        <v>0</v>
      </c>
      <c r="X16" s="126">
        <f t="shared" si="5"/>
        <v>0</v>
      </c>
      <c r="Y16" s="126">
        <f t="shared" si="5"/>
        <v>0</v>
      </c>
      <c r="Z16" s="204">
        <f t="shared" si="2"/>
        <v>0</v>
      </c>
      <c r="AA16" s="125" t="str">
        <f t="shared" si="3"/>
        <v>Pinot</v>
      </c>
    </row>
    <row r="17" spans="2:27">
      <c r="B17" s="246" t="s">
        <v>123</v>
      </c>
      <c r="C17" s="240" t="s">
        <v>66</v>
      </c>
      <c r="D17" s="126">
        <f t="shared" si="4"/>
        <v>0</v>
      </c>
      <c r="E17" s="126">
        <f t="shared" si="4"/>
        <v>0</v>
      </c>
      <c r="F17" s="126">
        <f t="shared" si="4"/>
        <v>0</v>
      </c>
      <c r="G17" s="126">
        <f t="shared" si="4"/>
        <v>0</v>
      </c>
      <c r="H17" s="126">
        <f t="shared" si="4"/>
        <v>0</v>
      </c>
      <c r="I17" s="126">
        <f t="shared" si="4"/>
        <v>0</v>
      </c>
      <c r="J17" s="126">
        <f t="shared" si="4"/>
        <v>0</v>
      </c>
      <c r="K17" s="126">
        <f t="shared" si="4"/>
        <v>0</v>
      </c>
      <c r="L17" s="126">
        <f t="shared" si="4"/>
        <v>0</v>
      </c>
      <c r="M17" s="126">
        <f t="shared" si="4"/>
        <v>0</v>
      </c>
      <c r="N17" s="126">
        <f t="shared" si="5"/>
        <v>0</v>
      </c>
      <c r="O17" s="126">
        <f t="shared" si="5"/>
        <v>0</v>
      </c>
      <c r="P17" s="126">
        <f t="shared" si="5"/>
        <v>0</v>
      </c>
      <c r="Q17" s="126">
        <f t="shared" si="5"/>
        <v>0</v>
      </c>
      <c r="R17" s="126">
        <f t="shared" si="5"/>
        <v>0</v>
      </c>
      <c r="S17" s="126">
        <f t="shared" si="5"/>
        <v>0</v>
      </c>
      <c r="T17" s="126">
        <f t="shared" si="5"/>
        <v>0</v>
      </c>
      <c r="U17" s="126">
        <f t="shared" si="5"/>
        <v>0</v>
      </c>
      <c r="V17" s="126">
        <f t="shared" si="5"/>
        <v>0</v>
      </c>
      <c r="W17" s="126">
        <f t="shared" si="5"/>
        <v>0</v>
      </c>
      <c r="X17" s="126">
        <f t="shared" si="5"/>
        <v>0</v>
      </c>
      <c r="Y17" s="126">
        <f t="shared" si="5"/>
        <v>0</v>
      </c>
      <c r="Z17" s="204">
        <f t="shared" si="2"/>
        <v>0</v>
      </c>
      <c r="AA17" s="125" t="str">
        <f t="shared" si="3"/>
        <v>Brajkovic</v>
      </c>
    </row>
    <row r="18" spans="2:27">
      <c r="B18" s="246" t="s">
        <v>119</v>
      </c>
      <c r="C18" s="240" t="s">
        <v>79</v>
      </c>
      <c r="D18" s="126">
        <f t="shared" si="4"/>
        <v>0</v>
      </c>
      <c r="E18" s="126">
        <f t="shared" si="4"/>
        <v>0</v>
      </c>
      <c r="F18" s="126">
        <f t="shared" si="4"/>
        <v>0</v>
      </c>
      <c r="G18" s="126">
        <f t="shared" si="4"/>
        <v>0</v>
      </c>
      <c r="H18" s="126">
        <f t="shared" si="4"/>
        <v>0</v>
      </c>
      <c r="I18" s="126">
        <f t="shared" si="4"/>
        <v>0</v>
      </c>
      <c r="J18" s="126">
        <f t="shared" si="4"/>
        <v>0</v>
      </c>
      <c r="K18" s="126">
        <f t="shared" si="4"/>
        <v>0</v>
      </c>
      <c r="L18" s="126">
        <f t="shared" si="4"/>
        <v>0</v>
      </c>
      <c r="M18" s="126">
        <f t="shared" si="4"/>
        <v>0</v>
      </c>
      <c r="N18" s="126">
        <f t="shared" si="5"/>
        <v>0</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0</v>
      </c>
      <c r="Y18" s="126">
        <f t="shared" si="5"/>
        <v>0</v>
      </c>
      <c r="Z18" s="204">
        <f t="shared" si="2"/>
        <v>0</v>
      </c>
      <c r="AA18" s="125" t="str">
        <f t="shared" si="3"/>
        <v>Hesjedal</v>
      </c>
    </row>
    <row r="19" spans="2:27">
      <c r="B19" s="246" t="s">
        <v>111</v>
      </c>
      <c r="C19" s="240" t="s">
        <v>69</v>
      </c>
      <c r="D19" s="126">
        <f t="shared" si="4"/>
        <v>0</v>
      </c>
      <c r="E19" s="126">
        <f t="shared" si="4"/>
        <v>1</v>
      </c>
      <c r="F19" s="126">
        <f t="shared" si="4"/>
        <v>15</v>
      </c>
      <c r="G19" s="126">
        <f t="shared" si="4"/>
        <v>0</v>
      </c>
      <c r="H19" s="126">
        <f t="shared" si="4"/>
        <v>0</v>
      </c>
      <c r="I19" s="126">
        <f t="shared" si="4"/>
        <v>9</v>
      </c>
      <c r="J19" s="126">
        <f t="shared" si="4"/>
        <v>0</v>
      </c>
      <c r="K19" s="126">
        <f t="shared" si="4"/>
        <v>0</v>
      </c>
      <c r="L19" s="126">
        <f t="shared" si="4"/>
        <v>20</v>
      </c>
      <c r="M19" s="126">
        <f t="shared" si="4"/>
        <v>0</v>
      </c>
      <c r="N19" s="126">
        <f t="shared" si="5"/>
        <v>0</v>
      </c>
      <c r="O19" s="126">
        <f t="shared" si="5"/>
        <v>6</v>
      </c>
      <c r="P19" s="126">
        <f t="shared" si="5"/>
        <v>0</v>
      </c>
      <c r="Q19" s="126">
        <f t="shared" si="5"/>
        <v>0</v>
      </c>
      <c r="R19" s="126">
        <f t="shared" si="5"/>
        <v>0</v>
      </c>
      <c r="S19" s="126">
        <f t="shared" si="5"/>
        <v>0</v>
      </c>
      <c r="T19" s="126">
        <f t="shared" si="5"/>
        <v>0</v>
      </c>
      <c r="U19" s="126">
        <f t="shared" si="5"/>
        <v>0</v>
      </c>
      <c r="V19" s="126">
        <f t="shared" si="5"/>
        <v>0</v>
      </c>
      <c r="W19" s="126">
        <f t="shared" si="5"/>
        <v>0</v>
      </c>
      <c r="X19" s="126">
        <f t="shared" si="5"/>
        <v>0</v>
      </c>
      <c r="Y19" s="126">
        <f t="shared" si="5"/>
        <v>0</v>
      </c>
      <c r="Z19" s="204">
        <f t="shared" si="2"/>
        <v>51</v>
      </c>
      <c r="AA19" s="125" t="str">
        <f>C19</f>
        <v>Evans</v>
      </c>
    </row>
    <row r="20" spans="2:27" s="182" customFormat="1" ht="13.5" thickBot="1">
      <c r="B20" s="246" t="s">
        <v>212</v>
      </c>
      <c r="C20" s="240" t="s">
        <v>213</v>
      </c>
      <c r="D20" s="126">
        <f t="shared" si="4"/>
        <v>0</v>
      </c>
      <c r="E20" s="126">
        <f t="shared" si="4"/>
        <v>0</v>
      </c>
      <c r="F20" s="126">
        <f t="shared" si="4"/>
        <v>0</v>
      </c>
      <c r="G20" s="126">
        <f t="shared" si="4"/>
        <v>0</v>
      </c>
      <c r="H20" s="126">
        <f t="shared" si="4"/>
        <v>0</v>
      </c>
      <c r="I20" s="126">
        <f t="shared" si="4"/>
        <v>0</v>
      </c>
      <c r="J20" s="126">
        <f t="shared" si="4"/>
        <v>0</v>
      </c>
      <c r="K20" s="126">
        <f t="shared" si="4"/>
        <v>7</v>
      </c>
      <c r="L20" s="126">
        <f t="shared" si="4"/>
        <v>0</v>
      </c>
      <c r="M20" s="126">
        <f t="shared" si="4"/>
        <v>0</v>
      </c>
      <c r="N20" s="126">
        <f t="shared" si="5"/>
        <v>0</v>
      </c>
      <c r="O20" s="126">
        <f t="shared" si="5"/>
        <v>0</v>
      </c>
      <c r="P20" s="126">
        <f t="shared" si="5"/>
        <v>0</v>
      </c>
      <c r="Q20" s="126">
        <f t="shared" si="5"/>
        <v>0</v>
      </c>
      <c r="R20" s="126">
        <f t="shared" si="5"/>
        <v>0</v>
      </c>
      <c r="S20" s="126">
        <f t="shared" si="5"/>
        <v>0</v>
      </c>
      <c r="T20" s="126">
        <f t="shared" si="5"/>
        <v>0</v>
      </c>
      <c r="U20" s="126">
        <f t="shared" si="5"/>
        <v>0</v>
      </c>
      <c r="V20" s="126">
        <f t="shared" si="5"/>
        <v>0</v>
      </c>
      <c r="W20" s="126">
        <f t="shared" si="5"/>
        <v>0</v>
      </c>
      <c r="X20" s="126">
        <f t="shared" si="5"/>
        <v>0</v>
      </c>
      <c r="Y20" s="126">
        <f t="shared" si="5"/>
        <v>0</v>
      </c>
      <c r="Z20" s="204">
        <f t="shared" si="2"/>
        <v>7</v>
      </c>
      <c r="AA20" s="125" t="str">
        <f>C20</f>
        <v>Zubeldia</v>
      </c>
    </row>
    <row r="21" spans="2:27" s="183" customFormat="1">
      <c r="B21" s="247"/>
      <c r="C21" s="241"/>
      <c r="D21" s="196"/>
      <c r="E21" s="196"/>
      <c r="F21" s="196"/>
      <c r="G21" s="196"/>
      <c r="H21" s="196"/>
      <c r="I21" s="196"/>
      <c r="J21" s="196"/>
      <c r="K21" s="196"/>
      <c r="L21" s="196"/>
      <c r="M21" s="196"/>
      <c r="N21" s="196">
        <f>N26</f>
        <v>35</v>
      </c>
      <c r="O21" s="196"/>
      <c r="P21" s="196"/>
      <c r="Q21" s="196"/>
      <c r="R21" s="196"/>
      <c r="S21" s="196"/>
      <c r="T21" s="196"/>
      <c r="U21" s="196"/>
      <c r="V21" s="196"/>
      <c r="W21" s="196">
        <f>W24</f>
        <v>15</v>
      </c>
      <c r="X21" s="196"/>
      <c r="Y21" s="196"/>
      <c r="Z21" s="285"/>
    </row>
    <row r="22" spans="2:27" s="129" customFormat="1">
      <c r="B22" s="248"/>
      <c r="C22" s="242"/>
      <c r="D22" s="184">
        <f t="shared" ref="D22:Y22" si="6">SUM(D4:D21)</f>
        <v>50</v>
      </c>
      <c r="E22" s="184">
        <f t="shared" si="6"/>
        <v>68</v>
      </c>
      <c r="F22" s="184">
        <f>SUM(F4:F21)</f>
        <v>75</v>
      </c>
      <c r="G22" s="184">
        <f t="shared" si="6"/>
        <v>0.1</v>
      </c>
      <c r="H22" s="184">
        <f t="shared" si="6"/>
        <v>142</v>
      </c>
      <c r="I22" s="184">
        <f t="shared" si="6"/>
        <v>177</v>
      </c>
      <c r="J22" s="184">
        <f t="shared" si="6"/>
        <v>96</v>
      </c>
      <c r="K22" s="184">
        <f t="shared" si="6"/>
        <v>143</v>
      </c>
      <c r="L22" s="184">
        <f t="shared" si="6"/>
        <v>124</v>
      </c>
      <c r="M22" s="184">
        <f t="shared" si="6"/>
        <v>159</v>
      </c>
      <c r="N22" s="184">
        <f t="shared" si="6"/>
        <v>161</v>
      </c>
      <c r="O22" s="184">
        <f t="shared" si="6"/>
        <v>161</v>
      </c>
      <c r="P22" s="184">
        <f t="shared" si="6"/>
        <v>149</v>
      </c>
      <c r="Q22" s="184">
        <f t="shared" si="6"/>
        <v>47</v>
      </c>
      <c r="R22" s="184">
        <f t="shared" si="6"/>
        <v>132</v>
      </c>
      <c r="S22" s="184">
        <f t="shared" si="6"/>
        <v>41</v>
      </c>
      <c r="T22" s="184">
        <f t="shared" si="6"/>
        <v>173</v>
      </c>
      <c r="U22" s="184">
        <f t="shared" si="6"/>
        <v>149</v>
      </c>
      <c r="V22" s="184">
        <f t="shared" si="6"/>
        <v>54</v>
      </c>
      <c r="W22" s="184">
        <f t="shared" si="6"/>
        <v>162</v>
      </c>
      <c r="X22" s="184">
        <f t="shared" si="6"/>
        <v>163</v>
      </c>
      <c r="Y22" s="184">
        <f t="shared" si="6"/>
        <v>241</v>
      </c>
      <c r="Z22" s="282">
        <f>SUM(Z4:Z21)</f>
        <v>2617.1</v>
      </c>
    </row>
    <row r="23" spans="2:27" s="185" customFormat="1">
      <c r="B23" s="249"/>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246" t="s">
        <v>82</v>
      </c>
      <c r="C24" s="244" t="s">
        <v>83</v>
      </c>
      <c r="D24" s="211">
        <f t="shared" ref="D24:Y26" si="7">INDEX(scorematrix,MATCH($C24,renners,0),MATCH(D$3,etappes,0))</f>
        <v>0</v>
      </c>
      <c r="E24" s="211">
        <f t="shared" si="7"/>
        <v>0</v>
      </c>
      <c r="F24" s="211">
        <f t="shared" si="7"/>
        <v>0</v>
      </c>
      <c r="G24" s="211">
        <f t="shared" si="7"/>
        <v>0</v>
      </c>
      <c r="H24" s="211">
        <f t="shared" si="7"/>
        <v>0</v>
      </c>
      <c r="I24" s="211">
        <f t="shared" si="7"/>
        <v>0</v>
      </c>
      <c r="J24" s="211">
        <f t="shared" si="7"/>
        <v>0</v>
      </c>
      <c r="K24" s="211">
        <f t="shared" si="7"/>
        <v>31</v>
      </c>
      <c r="L24" s="211">
        <f t="shared" si="7"/>
        <v>26</v>
      </c>
      <c r="M24" s="211">
        <f t="shared" si="7"/>
        <v>8</v>
      </c>
      <c r="N24" s="211">
        <f t="shared" si="7"/>
        <v>23</v>
      </c>
      <c r="O24" s="211">
        <f t="shared" si="7"/>
        <v>8</v>
      </c>
      <c r="P24" s="211">
        <f t="shared" si="7"/>
        <v>35</v>
      </c>
      <c r="Q24" s="211">
        <f t="shared" si="7"/>
        <v>9</v>
      </c>
      <c r="R24" s="211">
        <f t="shared" si="7"/>
        <v>27</v>
      </c>
      <c r="S24" s="211">
        <f t="shared" si="7"/>
        <v>9</v>
      </c>
      <c r="T24" s="211">
        <f t="shared" si="7"/>
        <v>22</v>
      </c>
      <c r="U24" s="211">
        <f t="shared" si="7"/>
        <v>5</v>
      </c>
      <c r="V24" s="211">
        <f t="shared" si="7"/>
        <v>5</v>
      </c>
      <c r="W24" s="280">
        <f t="shared" si="7"/>
        <v>15</v>
      </c>
      <c r="X24" s="211">
        <f t="shared" si="7"/>
        <v>5</v>
      </c>
      <c r="Y24" s="211">
        <f t="shared" si="7"/>
        <v>40</v>
      </c>
      <c r="Z24" s="284">
        <f>SUM(D24:Y24)</f>
        <v>268</v>
      </c>
    </row>
    <row r="25" spans="2:27" s="188" customFormat="1">
      <c r="B25" s="246" t="s">
        <v>117</v>
      </c>
      <c r="C25" s="244" t="s">
        <v>84</v>
      </c>
      <c r="D25" s="211">
        <f t="shared" si="7"/>
        <v>0</v>
      </c>
      <c r="E25" s="211">
        <f t="shared" si="7"/>
        <v>8</v>
      </c>
      <c r="F25" s="211">
        <f t="shared" si="7"/>
        <v>22</v>
      </c>
      <c r="G25" s="211">
        <f t="shared" si="7"/>
        <v>0</v>
      </c>
      <c r="H25" s="211">
        <f t="shared" si="7"/>
        <v>0</v>
      </c>
      <c r="I25" s="211">
        <f t="shared" si="7"/>
        <v>0</v>
      </c>
      <c r="J25" s="211">
        <f t="shared" si="7"/>
        <v>9</v>
      </c>
      <c r="K25" s="211">
        <f t="shared" si="7"/>
        <v>0</v>
      </c>
      <c r="L25" s="211">
        <f t="shared" si="7"/>
        <v>0</v>
      </c>
      <c r="M25" s="211">
        <f t="shared" si="7"/>
        <v>0</v>
      </c>
      <c r="N25" s="211">
        <f t="shared" si="7"/>
        <v>0</v>
      </c>
      <c r="O25" s="211">
        <f t="shared" si="7"/>
        <v>0</v>
      </c>
      <c r="P25" s="211">
        <f t="shared" si="7"/>
        <v>0</v>
      </c>
      <c r="Q25" s="280">
        <f t="shared" si="7"/>
        <v>0</v>
      </c>
      <c r="R25" s="211">
        <f t="shared" si="7"/>
        <v>0</v>
      </c>
      <c r="S25" s="211">
        <f t="shared" si="7"/>
        <v>18</v>
      </c>
      <c r="T25" s="211">
        <f t="shared" si="7"/>
        <v>0</v>
      </c>
      <c r="U25" s="211">
        <f t="shared" si="7"/>
        <v>0</v>
      </c>
      <c r="V25" s="211">
        <f t="shared" si="7"/>
        <v>0</v>
      </c>
      <c r="W25" s="211">
        <f t="shared" si="7"/>
        <v>0</v>
      </c>
      <c r="X25" s="211">
        <f t="shared" si="7"/>
        <v>0</v>
      </c>
      <c r="Y25" s="211">
        <f t="shared" si="7"/>
        <v>0</v>
      </c>
      <c r="Z25" s="284">
        <f>SUM(D25:Y25)</f>
        <v>57</v>
      </c>
    </row>
    <row r="26" spans="2:27" s="188" customFormat="1">
      <c r="B26" s="246" t="s">
        <v>214</v>
      </c>
      <c r="C26" s="244" t="s">
        <v>70</v>
      </c>
      <c r="D26" s="211">
        <f t="shared" si="7"/>
        <v>0</v>
      </c>
      <c r="E26" s="211">
        <f t="shared" si="7"/>
        <v>0</v>
      </c>
      <c r="F26" s="211">
        <f t="shared" si="7"/>
        <v>0</v>
      </c>
      <c r="G26" s="211">
        <f t="shared" si="7"/>
        <v>0</v>
      </c>
      <c r="H26" s="211">
        <f t="shared" si="7"/>
        <v>0</v>
      </c>
      <c r="I26" s="211">
        <f t="shared" si="7"/>
        <v>0</v>
      </c>
      <c r="J26" s="211">
        <f t="shared" si="7"/>
        <v>0</v>
      </c>
      <c r="K26" s="211">
        <f t="shared" si="7"/>
        <v>0</v>
      </c>
      <c r="L26" s="211">
        <f t="shared" si="7"/>
        <v>0</v>
      </c>
      <c r="M26" s="211">
        <f t="shared" si="7"/>
        <v>0</v>
      </c>
      <c r="N26" s="280">
        <f t="shared" si="7"/>
        <v>35</v>
      </c>
      <c r="O26" s="211">
        <f t="shared" si="7"/>
        <v>0</v>
      </c>
      <c r="P26" s="211">
        <f t="shared" si="7"/>
        <v>0</v>
      </c>
      <c r="Q26" s="211">
        <f t="shared" si="7"/>
        <v>0</v>
      </c>
      <c r="R26" s="211">
        <f t="shared" si="7"/>
        <v>0</v>
      </c>
      <c r="S26" s="211">
        <f t="shared" si="7"/>
        <v>0</v>
      </c>
      <c r="T26" s="211">
        <f t="shared" si="7"/>
        <v>0</v>
      </c>
      <c r="U26" s="211">
        <f t="shared" si="7"/>
        <v>0</v>
      </c>
      <c r="V26" s="211">
        <f t="shared" si="7"/>
        <v>0</v>
      </c>
      <c r="W26" s="211">
        <f t="shared" si="7"/>
        <v>0</v>
      </c>
      <c r="X26" s="211">
        <f t="shared" si="7"/>
        <v>0</v>
      </c>
      <c r="Y26" s="211">
        <f t="shared" si="7"/>
        <v>0</v>
      </c>
      <c r="Z26" s="284">
        <f>SUM(D26:Y26)</f>
        <v>35</v>
      </c>
    </row>
  </sheetData>
  <sheetProtection selectLockedCells="1"/>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sheetPr enableFormatConditionsCalculation="0">
    <tabColor indexed="39"/>
  </sheetPr>
  <dimension ref="B1:AA29"/>
  <sheetViews>
    <sheetView showZeros="0" workbookViewId="0">
      <selection activeCell="L24" sqref="L24"/>
    </sheetView>
  </sheetViews>
  <sheetFormatPr defaultRowHeight="12.75"/>
  <cols>
    <col min="1" max="1" width="2.7109375" style="125" customWidth="1"/>
    <col min="2" max="2" width="8.85546875" style="125" customWidth="1"/>
    <col min="3" max="3" width="13" style="125"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43"/>
      <c r="C1" s="236" t="s">
        <v>206</v>
      </c>
      <c r="D1" s="146"/>
    </row>
    <row r="2" spans="2:27">
      <c r="B2" s="243"/>
      <c r="C2" s="237"/>
      <c r="G2" s="146"/>
    </row>
    <row r="3" spans="2:27" s="144" customFormat="1" ht="13.5" thickBot="1">
      <c r="B3" s="245"/>
      <c r="C3" s="250" t="s">
        <v>115</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46" t="s">
        <v>127</v>
      </c>
      <c r="C4" s="239" t="s">
        <v>114</v>
      </c>
      <c r="D4" s="126">
        <f t="shared" ref="D4:M13" si="0">INDEX(scorematrix,MATCH($C4,renners,0),MATCH(D$3,etappes,0))</f>
        <v>0</v>
      </c>
      <c r="E4" s="126">
        <f t="shared" si="0"/>
        <v>0</v>
      </c>
      <c r="F4" s="126">
        <f t="shared" si="0"/>
        <v>0</v>
      </c>
      <c r="G4" s="126">
        <f t="shared" si="0"/>
        <v>0.1</v>
      </c>
      <c r="H4" s="126">
        <f t="shared" si="0"/>
        <v>4</v>
      </c>
      <c r="I4" s="126">
        <f t="shared" si="0"/>
        <v>12</v>
      </c>
      <c r="J4" s="126">
        <f t="shared" si="0"/>
        <v>4</v>
      </c>
      <c r="K4" s="126">
        <f t="shared" si="0"/>
        <v>50</v>
      </c>
      <c r="L4" s="126">
        <f t="shared" si="0"/>
        <v>26</v>
      </c>
      <c r="M4" s="126">
        <f t="shared" si="0"/>
        <v>14</v>
      </c>
      <c r="N4" s="126">
        <f t="shared" ref="N4:Y13" si="1">INDEX(scorematrix,MATCH($C4,renners,0),MATCH(N$3,etappes,0))</f>
        <v>44</v>
      </c>
      <c r="O4" s="126">
        <f t="shared" si="1"/>
        <v>26</v>
      </c>
      <c r="P4" s="126">
        <f t="shared" si="1"/>
        <v>14</v>
      </c>
      <c r="Q4" s="126">
        <f t="shared" si="1"/>
        <v>14</v>
      </c>
      <c r="R4" s="126">
        <f t="shared" si="1"/>
        <v>50</v>
      </c>
      <c r="S4" s="126">
        <f t="shared" si="1"/>
        <v>15</v>
      </c>
      <c r="T4" s="126">
        <f t="shared" si="1"/>
        <v>50</v>
      </c>
      <c r="U4" s="126">
        <f t="shared" si="1"/>
        <v>34</v>
      </c>
      <c r="V4" s="126">
        <f t="shared" si="1"/>
        <v>15</v>
      </c>
      <c r="W4" s="126">
        <f t="shared" si="1"/>
        <v>40</v>
      </c>
      <c r="X4" s="126">
        <f t="shared" si="1"/>
        <v>14</v>
      </c>
      <c r="Y4" s="126">
        <f t="shared" si="1"/>
        <v>77</v>
      </c>
      <c r="Z4" s="204">
        <f t="shared" ref="Z4:Z21" si="2">SUM(D4:Y4)</f>
        <v>503.1</v>
      </c>
      <c r="AA4" s="125" t="str">
        <f t="shared" ref="AA4:AA18" si="3">C4</f>
        <v>Froome</v>
      </c>
    </row>
    <row r="5" spans="2:27">
      <c r="B5" s="246" t="s">
        <v>105</v>
      </c>
      <c r="C5" s="240" t="s">
        <v>106</v>
      </c>
      <c r="D5" s="126">
        <f t="shared" si="0"/>
        <v>0</v>
      </c>
      <c r="E5" s="126">
        <f t="shared" si="0"/>
        <v>34</v>
      </c>
      <c r="F5" s="126">
        <f t="shared" si="0"/>
        <v>35</v>
      </c>
      <c r="G5" s="126">
        <f t="shared" si="0"/>
        <v>0</v>
      </c>
      <c r="H5" s="126">
        <f t="shared" si="0"/>
        <v>31</v>
      </c>
      <c r="I5" s="126">
        <f t="shared" si="0"/>
        <v>35</v>
      </c>
      <c r="J5" s="126">
        <f t="shared" si="0"/>
        <v>40</v>
      </c>
      <c r="K5" s="126">
        <f t="shared" si="0"/>
        <v>5</v>
      </c>
      <c r="L5" s="126">
        <f t="shared" si="0"/>
        <v>5</v>
      </c>
      <c r="M5" s="126">
        <f t="shared" si="0"/>
        <v>29</v>
      </c>
      <c r="N5" s="126">
        <f t="shared" si="1"/>
        <v>14</v>
      </c>
      <c r="O5" s="126">
        <f t="shared" si="1"/>
        <v>31</v>
      </c>
      <c r="P5" s="126">
        <f t="shared" si="1"/>
        <v>35</v>
      </c>
      <c r="Q5" s="126">
        <f t="shared" si="1"/>
        <v>5</v>
      </c>
      <c r="R5" s="126">
        <f t="shared" si="1"/>
        <v>5</v>
      </c>
      <c r="S5" s="126">
        <f t="shared" si="1"/>
        <v>5</v>
      </c>
      <c r="T5" s="126">
        <f t="shared" si="1"/>
        <v>5</v>
      </c>
      <c r="U5" s="126">
        <f t="shared" si="1"/>
        <v>5</v>
      </c>
      <c r="V5" s="126">
        <f t="shared" si="1"/>
        <v>5</v>
      </c>
      <c r="W5" s="126">
        <f t="shared" si="1"/>
        <v>5</v>
      </c>
      <c r="X5" s="126">
        <f t="shared" si="1"/>
        <v>29</v>
      </c>
      <c r="Y5" s="126">
        <f t="shared" si="1"/>
        <v>10</v>
      </c>
      <c r="Z5" s="204">
        <f t="shared" si="2"/>
        <v>368</v>
      </c>
      <c r="AA5" s="125" t="str">
        <f t="shared" si="3"/>
        <v>Sagan</v>
      </c>
    </row>
    <row r="6" spans="2:27">
      <c r="B6" s="246" t="s">
        <v>145</v>
      </c>
      <c r="C6" s="240" t="s">
        <v>146</v>
      </c>
      <c r="D6" s="126">
        <f t="shared" si="0"/>
        <v>0</v>
      </c>
      <c r="E6" s="126">
        <f t="shared" si="0"/>
        <v>0</v>
      </c>
      <c r="F6" s="126">
        <f t="shared" si="0"/>
        <v>0</v>
      </c>
      <c r="G6" s="126">
        <f t="shared" si="0"/>
        <v>0</v>
      </c>
      <c r="H6" s="126">
        <f t="shared" si="0"/>
        <v>0</v>
      </c>
      <c r="I6" s="126">
        <f t="shared" si="0"/>
        <v>0</v>
      </c>
      <c r="J6" s="126">
        <f t="shared" si="0"/>
        <v>0</v>
      </c>
      <c r="K6" s="126">
        <f t="shared" si="0"/>
        <v>22</v>
      </c>
      <c r="L6" s="126">
        <f t="shared" si="0"/>
        <v>18</v>
      </c>
      <c r="M6" s="126">
        <f t="shared" si="0"/>
        <v>5</v>
      </c>
      <c r="N6" s="126">
        <f t="shared" si="1"/>
        <v>18</v>
      </c>
      <c r="O6" s="126">
        <f t="shared" si="1"/>
        <v>7</v>
      </c>
      <c r="P6" s="126">
        <f t="shared" si="1"/>
        <v>27</v>
      </c>
      <c r="Q6" s="126">
        <f t="shared" si="1"/>
        <v>8</v>
      </c>
      <c r="R6" s="126">
        <f t="shared" si="1"/>
        <v>28</v>
      </c>
      <c r="S6" s="126">
        <f t="shared" si="1"/>
        <v>8</v>
      </c>
      <c r="T6" s="126">
        <f t="shared" si="1"/>
        <v>39</v>
      </c>
      <c r="U6" s="126">
        <f t="shared" si="1"/>
        <v>24</v>
      </c>
      <c r="V6" s="126">
        <f t="shared" si="1"/>
        <v>9</v>
      </c>
      <c r="W6" s="126">
        <f t="shared" si="1"/>
        <v>26</v>
      </c>
      <c r="X6" s="126">
        <f t="shared" si="1"/>
        <v>7</v>
      </c>
      <c r="Y6" s="126">
        <f t="shared" si="1"/>
        <v>48</v>
      </c>
      <c r="Z6" s="204">
        <f t="shared" si="2"/>
        <v>294</v>
      </c>
      <c r="AA6" s="125" t="str">
        <f t="shared" si="3"/>
        <v>Contador</v>
      </c>
    </row>
    <row r="7" spans="2:27">
      <c r="B7" s="246" t="s">
        <v>126</v>
      </c>
      <c r="C7" s="240" t="s">
        <v>112</v>
      </c>
      <c r="D7" s="126">
        <f t="shared" si="0"/>
        <v>0</v>
      </c>
      <c r="E7" s="126">
        <f t="shared" si="0"/>
        <v>0</v>
      </c>
      <c r="F7" s="126">
        <f t="shared" si="0"/>
        <v>0</v>
      </c>
      <c r="G7" s="126">
        <f t="shared" si="0"/>
        <v>0</v>
      </c>
      <c r="H7" s="126">
        <f t="shared" si="0"/>
        <v>0</v>
      </c>
      <c r="I7" s="126">
        <f t="shared" si="0"/>
        <v>0</v>
      </c>
      <c r="J7" s="126">
        <f t="shared" si="0"/>
        <v>0</v>
      </c>
      <c r="K7" s="126">
        <f t="shared" si="0"/>
        <v>34</v>
      </c>
      <c r="L7" s="126">
        <f t="shared" si="0"/>
        <v>24</v>
      </c>
      <c r="M7" s="126">
        <f t="shared" si="0"/>
        <v>9</v>
      </c>
      <c r="N7" s="126">
        <f t="shared" si="1"/>
        <v>22</v>
      </c>
      <c r="O7" s="126">
        <f t="shared" si="1"/>
        <v>17</v>
      </c>
      <c r="P7" s="126">
        <f t="shared" si="1"/>
        <v>0</v>
      </c>
      <c r="Q7" s="126">
        <f t="shared" si="1"/>
        <v>0</v>
      </c>
      <c r="R7" s="126">
        <f t="shared" si="1"/>
        <v>13</v>
      </c>
      <c r="S7" s="126">
        <f t="shared" si="1"/>
        <v>0</v>
      </c>
      <c r="T7" s="126">
        <f t="shared" si="1"/>
        <v>22</v>
      </c>
      <c r="U7" s="126">
        <f t="shared" si="1"/>
        <v>18</v>
      </c>
      <c r="V7" s="126">
        <f t="shared" si="1"/>
        <v>10</v>
      </c>
      <c r="W7" s="126">
        <f t="shared" si="1"/>
        <v>27</v>
      </c>
      <c r="X7" s="126">
        <f t="shared" si="1"/>
        <v>3</v>
      </c>
      <c r="Y7" s="126">
        <f t="shared" si="1"/>
        <v>36</v>
      </c>
      <c r="Z7" s="204">
        <f t="shared" si="2"/>
        <v>235</v>
      </c>
      <c r="AA7" s="125" t="str">
        <f t="shared" si="3"/>
        <v>Valverde</v>
      </c>
    </row>
    <row r="8" spans="2:27">
      <c r="B8" s="246" t="s">
        <v>201</v>
      </c>
      <c r="C8" s="240" t="s">
        <v>84</v>
      </c>
      <c r="D8" s="126">
        <f t="shared" si="0"/>
        <v>0</v>
      </c>
      <c r="E8" s="126">
        <f t="shared" si="0"/>
        <v>8</v>
      </c>
      <c r="F8" s="126">
        <f t="shared" si="0"/>
        <v>22</v>
      </c>
      <c r="G8" s="126">
        <f t="shared" si="0"/>
        <v>0</v>
      </c>
      <c r="H8" s="126">
        <f t="shared" si="0"/>
        <v>0</v>
      </c>
      <c r="I8" s="126">
        <f t="shared" si="0"/>
        <v>0</v>
      </c>
      <c r="J8" s="126">
        <f t="shared" si="0"/>
        <v>9</v>
      </c>
      <c r="K8" s="126">
        <f t="shared" si="0"/>
        <v>0</v>
      </c>
      <c r="L8" s="126">
        <f t="shared" si="0"/>
        <v>0</v>
      </c>
      <c r="M8" s="126">
        <f t="shared" si="0"/>
        <v>0</v>
      </c>
      <c r="N8" s="126">
        <f t="shared" si="1"/>
        <v>0</v>
      </c>
      <c r="O8" s="126">
        <f t="shared" si="1"/>
        <v>0</v>
      </c>
      <c r="P8" s="126">
        <f t="shared" si="1"/>
        <v>0</v>
      </c>
      <c r="Q8" s="126">
        <f t="shared" si="1"/>
        <v>0</v>
      </c>
      <c r="R8" s="126">
        <f t="shared" si="1"/>
        <v>0</v>
      </c>
      <c r="S8" s="126">
        <f t="shared" si="1"/>
        <v>18</v>
      </c>
      <c r="T8" s="126">
        <f t="shared" si="1"/>
        <v>0</v>
      </c>
      <c r="U8" s="126">
        <f t="shared" si="1"/>
        <v>0</v>
      </c>
      <c r="V8" s="126">
        <f t="shared" si="1"/>
        <v>0</v>
      </c>
      <c r="W8" s="126">
        <f t="shared" si="1"/>
        <v>0</v>
      </c>
      <c r="X8" s="126">
        <f t="shared" si="1"/>
        <v>0</v>
      </c>
      <c r="Y8" s="126">
        <f t="shared" si="1"/>
        <v>0</v>
      </c>
      <c r="Z8" s="204">
        <f t="shared" si="2"/>
        <v>57</v>
      </c>
      <c r="AA8" s="125" t="str">
        <f t="shared" si="3"/>
        <v>Gilbert</v>
      </c>
    </row>
    <row r="9" spans="2:27">
      <c r="B9" s="246" t="s">
        <v>113</v>
      </c>
      <c r="C9" s="240" t="s">
        <v>70</v>
      </c>
      <c r="D9" s="126">
        <f t="shared" si="0"/>
        <v>0</v>
      </c>
      <c r="E9" s="126">
        <f t="shared" si="0"/>
        <v>0</v>
      </c>
      <c r="F9" s="126">
        <f t="shared" si="0"/>
        <v>0</v>
      </c>
      <c r="G9" s="126">
        <f t="shared" si="0"/>
        <v>0</v>
      </c>
      <c r="H9" s="126">
        <f t="shared" si="0"/>
        <v>0</v>
      </c>
      <c r="I9" s="126">
        <f t="shared" si="0"/>
        <v>0</v>
      </c>
      <c r="J9" s="126">
        <f t="shared" si="0"/>
        <v>0</v>
      </c>
      <c r="K9" s="126">
        <f t="shared" si="0"/>
        <v>0</v>
      </c>
      <c r="L9" s="126">
        <f t="shared" si="0"/>
        <v>0</v>
      </c>
      <c r="M9" s="126">
        <f t="shared" si="0"/>
        <v>0</v>
      </c>
      <c r="N9" s="126">
        <f t="shared" si="1"/>
        <v>35</v>
      </c>
      <c r="O9" s="126">
        <f t="shared" si="1"/>
        <v>0</v>
      </c>
      <c r="P9" s="126">
        <f t="shared" si="1"/>
        <v>0</v>
      </c>
      <c r="Q9" s="126">
        <f t="shared" si="1"/>
        <v>0</v>
      </c>
      <c r="R9" s="126">
        <f t="shared" si="1"/>
        <v>0</v>
      </c>
      <c r="S9" s="126">
        <f t="shared" si="1"/>
        <v>0</v>
      </c>
      <c r="T9" s="126">
        <f t="shared" si="1"/>
        <v>0</v>
      </c>
      <c r="U9" s="126">
        <f t="shared" si="1"/>
        <v>0</v>
      </c>
      <c r="V9" s="126">
        <f t="shared" si="1"/>
        <v>0</v>
      </c>
      <c r="W9" s="126">
        <f t="shared" si="1"/>
        <v>0</v>
      </c>
      <c r="X9" s="126">
        <f t="shared" si="1"/>
        <v>0</v>
      </c>
      <c r="Y9" s="126">
        <f t="shared" si="1"/>
        <v>0</v>
      </c>
      <c r="Z9" s="204">
        <f t="shared" si="2"/>
        <v>35</v>
      </c>
      <c r="AA9" s="125" t="str">
        <f t="shared" si="3"/>
        <v>Martin</v>
      </c>
    </row>
    <row r="10" spans="2:27">
      <c r="B10" s="246" t="s">
        <v>111</v>
      </c>
      <c r="C10" s="240" t="s">
        <v>69</v>
      </c>
      <c r="D10" s="126">
        <f t="shared" si="0"/>
        <v>0</v>
      </c>
      <c r="E10" s="126">
        <f t="shared" si="0"/>
        <v>1</v>
      </c>
      <c r="F10" s="126">
        <f t="shared" si="0"/>
        <v>15</v>
      </c>
      <c r="G10" s="126">
        <f t="shared" si="0"/>
        <v>0</v>
      </c>
      <c r="H10" s="126">
        <f t="shared" si="0"/>
        <v>0</v>
      </c>
      <c r="I10" s="126">
        <f t="shared" si="0"/>
        <v>9</v>
      </c>
      <c r="J10" s="126">
        <f t="shared" si="0"/>
        <v>0</v>
      </c>
      <c r="K10" s="126">
        <f t="shared" si="0"/>
        <v>0</v>
      </c>
      <c r="L10" s="126">
        <f t="shared" si="0"/>
        <v>20</v>
      </c>
      <c r="M10" s="126">
        <f t="shared" si="0"/>
        <v>0</v>
      </c>
      <c r="N10" s="126">
        <f t="shared" si="1"/>
        <v>0</v>
      </c>
      <c r="O10" s="126">
        <f t="shared" si="1"/>
        <v>6</v>
      </c>
      <c r="P10" s="126">
        <f t="shared" si="1"/>
        <v>0</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204">
        <f t="shared" si="2"/>
        <v>51</v>
      </c>
      <c r="AA10" s="125" t="str">
        <f t="shared" si="3"/>
        <v>Evans</v>
      </c>
    </row>
    <row r="11" spans="2:27">
      <c r="B11" s="246" t="s">
        <v>168</v>
      </c>
      <c r="C11" s="240" t="s">
        <v>120</v>
      </c>
      <c r="D11" s="126">
        <f t="shared" si="0"/>
        <v>0</v>
      </c>
      <c r="E11" s="126">
        <f t="shared" si="0"/>
        <v>0</v>
      </c>
      <c r="F11" s="126">
        <f t="shared" si="0"/>
        <v>0</v>
      </c>
      <c r="G11" s="126">
        <f t="shared" si="0"/>
        <v>0</v>
      </c>
      <c r="H11" s="126">
        <f t="shared" si="0"/>
        <v>0</v>
      </c>
      <c r="I11" s="126">
        <f t="shared" si="0"/>
        <v>0</v>
      </c>
      <c r="J11" s="126">
        <f t="shared" si="0"/>
        <v>0</v>
      </c>
      <c r="K11" s="126">
        <f t="shared" si="0"/>
        <v>0</v>
      </c>
      <c r="L11" s="126">
        <f t="shared" si="0"/>
        <v>14</v>
      </c>
      <c r="M11" s="126">
        <f t="shared" si="0"/>
        <v>0</v>
      </c>
      <c r="N11" s="126">
        <f t="shared" si="1"/>
        <v>0</v>
      </c>
      <c r="O11" s="126">
        <f t="shared" si="1"/>
        <v>0</v>
      </c>
      <c r="P11" s="126">
        <f t="shared" si="1"/>
        <v>0</v>
      </c>
      <c r="Q11" s="126">
        <f t="shared" si="1"/>
        <v>0</v>
      </c>
      <c r="R11" s="126">
        <f t="shared" si="1"/>
        <v>0</v>
      </c>
      <c r="S11" s="126">
        <f t="shared" si="1"/>
        <v>0</v>
      </c>
      <c r="T11" s="126">
        <f t="shared" si="1"/>
        <v>11</v>
      </c>
      <c r="U11" s="126">
        <f t="shared" si="1"/>
        <v>0</v>
      </c>
      <c r="V11" s="126">
        <f t="shared" si="1"/>
        <v>0</v>
      </c>
      <c r="W11" s="126">
        <f t="shared" si="1"/>
        <v>0</v>
      </c>
      <c r="X11" s="126">
        <f t="shared" si="1"/>
        <v>0</v>
      </c>
      <c r="Y11" s="126">
        <f t="shared" si="1"/>
        <v>12</v>
      </c>
      <c r="Z11" s="204">
        <f t="shared" si="2"/>
        <v>37</v>
      </c>
      <c r="AA11" s="125" t="str">
        <f t="shared" si="3"/>
        <v>Schleck</v>
      </c>
    </row>
    <row r="12" spans="2:27">
      <c r="B12" s="246" t="s">
        <v>128</v>
      </c>
      <c r="C12" s="240" t="s">
        <v>72</v>
      </c>
      <c r="D12" s="126">
        <f t="shared" si="0"/>
        <v>0</v>
      </c>
      <c r="E12" s="126">
        <f t="shared" si="0"/>
        <v>28</v>
      </c>
      <c r="F12" s="126">
        <f t="shared" si="0"/>
        <v>21</v>
      </c>
      <c r="G12" s="126">
        <f t="shared" si="0"/>
        <v>0</v>
      </c>
      <c r="H12" s="126">
        <f t="shared" si="0"/>
        <v>36</v>
      </c>
      <c r="I12" s="126">
        <f t="shared" si="0"/>
        <v>23</v>
      </c>
      <c r="J12" s="126">
        <f t="shared" si="0"/>
        <v>31</v>
      </c>
      <c r="K12" s="126">
        <f t="shared" si="0"/>
        <v>1</v>
      </c>
      <c r="L12" s="126">
        <f t="shared" si="0"/>
        <v>0</v>
      </c>
      <c r="M12" s="126">
        <f t="shared" si="0"/>
        <v>0</v>
      </c>
      <c r="N12" s="126">
        <f t="shared" si="1"/>
        <v>0</v>
      </c>
      <c r="O12" s="126">
        <f t="shared" si="1"/>
        <v>0</v>
      </c>
      <c r="P12" s="126">
        <f t="shared" si="1"/>
        <v>0</v>
      </c>
      <c r="Q12" s="126">
        <f t="shared" si="1"/>
        <v>0</v>
      </c>
      <c r="R12" s="126">
        <f t="shared" si="1"/>
        <v>0</v>
      </c>
      <c r="S12" s="126">
        <f t="shared" si="1"/>
        <v>0</v>
      </c>
      <c r="T12" s="126">
        <f t="shared" si="1"/>
        <v>0</v>
      </c>
      <c r="U12" s="126">
        <f t="shared" si="1"/>
        <v>0</v>
      </c>
      <c r="V12" s="126">
        <f t="shared" si="1"/>
        <v>0</v>
      </c>
      <c r="W12" s="126">
        <f t="shared" si="1"/>
        <v>0</v>
      </c>
      <c r="X12" s="126">
        <f t="shared" si="1"/>
        <v>0</v>
      </c>
      <c r="Y12" s="126">
        <f t="shared" si="1"/>
        <v>0</v>
      </c>
      <c r="Z12" s="204">
        <f t="shared" si="2"/>
        <v>140</v>
      </c>
      <c r="AA12" s="125" t="str">
        <f t="shared" si="3"/>
        <v>Boasson Hagen</v>
      </c>
    </row>
    <row r="13" spans="2:27">
      <c r="B13" s="274" t="s">
        <v>202</v>
      </c>
      <c r="C13" s="240" t="s">
        <v>129</v>
      </c>
      <c r="D13" s="126">
        <f t="shared" si="0"/>
        <v>0</v>
      </c>
      <c r="E13" s="126">
        <f t="shared" si="0"/>
        <v>0</v>
      </c>
      <c r="F13" s="126">
        <f t="shared" si="0"/>
        <v>0</v>
      </c>
      <c r="G13" s="126">
        <f t="shared" si="0"/>
        <v>0</v>
      </c>
      <c r="H13" s="126">
        <f t="shared" si="0"/>
        <v>0</v>
      </c>
      <c r="I13" s="126">
        <f t="shared" si="0"/>
        <v>0</v>
      </c>
      <c r="J13" s="126">
        <f t="shared" si="0"/>
        <v>0</v>
      </c>
      <c r="K13" s="126">
        <f t="shared" si="0"/>
        <v>0</v>
      </c>
      <c r="L13" s="126">
        <f t="shared" si="0"/>
        <v>0</v>
      </c>
      <c r="M13" s="126">
        <f t="shared" si="0"/>
        <v>0</v>
      </c>
      <c r="N13" s="126">
        <f t="shared" si="1"/>
        <v>0</v>
      </c>
      <c r="O13" s="126">
        <f t="shared" si="1"/>
        <v>0</v>
      </c>
      <c r="P13" s="126">
        <f t="shared" si="1"/>
        <v>0</v>
      </c>
      <c r="Q13" s="126">
        <f t="shared" si="1"/>
        <v>0</v>
      </c>
      <c r="R13" s="126">
        <f t="shared" si="1"/>
        <v>0</v>
      </c>
      <c r="S13" s="126">
        <f t="shared" si="1"/>
        <v>0</v>
      </c>
      <c r="T13" s="126">
        <f t="shared" si="1"/>
        <v>0</v>
      </c>
      <c r="U13" s="126">
        <f t="shared" si="1"/>
        <v>0</v>
      </c>
      <c r="V13" s="126">
        <f t="shared" si="1"/>
        <v>0</v>
      </c>
      <c r="W13" s="126">
        <f t="shared" si="1"/>
        <v>0</v>
      </c>
      <c r="X13" s="126">
        <f t="shared" si="1"/>
        <v>0</v>
      </c>
      <c r="Y13" s="126">
        <f t="shared" si="1"/>
        <v>0</v>
      </c>
      <c r="Z13" s="204">
        <f t="shared" si="2"/>
        <v>0</v>
      </c>
      <c r="AA13" s="125" t="str">
        <f t="shared" si="3"/>
        <v>Thomas</v>
      </c>
    </row>
    <row r="14" spans="2:27">
      <c r="B14" s="246" t="s">
        <v>121</v>
      </c>
      <c r="C14" s="240" t="s">
        <v>122</v>
      </c>
      <c r="D14" s="126">
        <f t="shared" ref="D14:M20" si="4">INDEX(scorematrix,MATCH($C14,renners,0),MATCH(D$3,etappes,0))</f>
        <v>0</v>
      </c>
      <c r="E14" s="126">
        <f t="shared" si="4"/>
        <v>0</v>
      </c>
      <c r="F14" s="126">
        <f t="shared" si="4"/>
        <v>0</v>
      </c>
      <c r="G14" s="126">
        <f t="shared" si="4"/>
        <v>0</v>
      </c>
      <c r="H14" s="126">
        <f t="shared" si="4"/>
        <v>0</v>
      </c>
      <c r="I14" s="126">
        <f t="shared" si="4"/>
        <v>0</v>
      </c>
      <c r="J14" s="126">
        <f t="shared" si="4"/>
        <v>0</v>
      </c>
      <c r="K14" s="126">
        <f t="shared" si="4"/>
        <v>0</v>
      </c>
      <c r="L14" s="126">
        <f t="shared" si="4"/>
        <v>0</v>
      </c>
      <c r="M14" s="126">
        <f t="shared" si="4"/>
        <v>0</v>
      </c>
      <c r="N14" s="126">
        <f t="shared" ref="N14:Y20" si="5">INDEX(scorematrix,MATCH($C14,renners,0),MATCH(N$3,etappes,0))</f>
        <v>0</v>
      </c>
      <c r="O14" s="126">
        <f t="shared" si="5"/>
        <v>0</v>
      </c>
      <c r="P14" s="126">
        <f t="shared" si="5"/>
        <v>0</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204">
        <f t="shared" si="2"/>
        <v>0</v>
      </c>
      <c r="AA14" s="125" t="str">
        <f t="shared" si="3"/>
        <v>Van den Broeck</v>
      </c>
    </row>
    <row r="15" spans="2:27">
      <c r="B15" s="246" t="s">
        <v>118</v>
      </c>
      <c r="C15" s="240" t="s">
        <v>85</v>
      </c>
      <c r="D15" s="126">
        <f t="shared" si="4"/>
        <v>0</v>
      </c>
      <c r="E15" s="126">
        <f t="shared" si="4"/>
        <v>0</v>
      </c>
      <c r="F15" s="126">
        <f t="shared" si="4"/>
        <v>0</v>
      </c>
      <c r="G15" s="126">
        <f t="shared" si="4"/>
        <v>0</v>
      </c>
      <c r="H15" s="126">
        <f t="shared" si="4"/>
        <v>26</v>
      </c>
      <c r="I15" s="126">
        <f t="shared" si="4"/>
        <v>39</v>
      </c>
      <c r="J15" s="126">
        <f t="shared" si="4"/>
        <v>0</v>
      </c>
      <c r="K15" s="126">
        <f t="shared" si="4"/>
        <v>4</v>
      </c>
      <c r="L15" s="126">
        <f t="shared" si="4"/>
        <v>4</v>
      </c>
      <c r="M15" s="126">
        <f t="shared" si="4"/>
        <v>34</v>
      </c>
      <c r="N15" s="126">
        <f t="shared" si="5"/>
        <v>4</v>
      </c>
      <c r="O15" s="126">
        <f t="shared" si="5"/>
        <v>3</v>
      </c>
      <c r="P15" s="126">
        <f t="shared" si="5"/>
        <v>14</v>
      </c>
      <c r="Q15" s="126">
        <f t="shared" si="5"/>
        <v>3</v>
      </c>
      <c r="R15" s="126">
        <f t="shared" si="5"/>
        <v>3</v>
      </c>
      <c r="S15" s="126">
        <f t="shared" si="5"/>
        <v>3</v>
      </c>
      <c r="T15" s="126">
        <f t="shared" si="5"/>
        <v>3</v>
      </c>
      <c r="U15" s="126">
        <f t="shared" si="5"/>
        <v>3</v>
      </c>
      <c r="V15" s="126">
        <f t="shared" si="5"/>
        <v>3</v>
      </c>
      <c r="W15" s="126">
        <f t="shared" si="5"/>
        <v>3</v>
      </c>
      <c r="X15" s="126">
        <f t="shared" si="5"/>
        <v>33</v>
      </c>
      <c r="Y15" s="126">
        <f t="shared" si="5"/>
        <v>5</v>
      </c>
      <c r="Z15" s="204">
        <f t="shared" si="2"/>
        <v>187</v>
      </c>
      <c r="AA15" s="125" t="str">
        <f t="shared" si="3"/>
        <v>Greipel</v>
      </c>
    </row>
    <row r="16" spans="2:27" s="182" customFormat="1">
      <c r="B16" s="246" t="s">
        <v>109</v>
      </c>
      <c r="C16" s="240" t="s">
        <v>74</v>
      </c>
      <c r="D16" s="126">
        <f t="shared" si="4"/>
        <v>19</v>
      </c>
      <c r="E16" s="126">
        <f t="shared" si="4"/>
        <v>0</v>
      </c>
      <c r="F16" s="126">
        <f t="shared" si="4"/>
        <v>26</v>
      </c>
      <c r="G16" s="126">
        <f t="shared" si="4"/>
        <v>0</v>
      </c>
      <c r="H16" s="126">
        <f t="shared" si="4"/>
        <v>16</v>
      </c>
      <c r="I16" s="126">
        <f t="shared" si="4"/>
        <v>19</v>
      </c>
      <c r="J16" s="126">
        <f t="shared" si="4"/>
        <v>0</v>
      </c>
      <c r="K16" s="126">
        <f t="shared" si="4"/>
        <v>0</v>
      </c>
      <c r="L16" s="126">
        <f t="shared" si="4"/>
        <v>0</v>
      </c>
      <c r="M16" s="126">
        <f t="shared" si="4"/>
        <v>16</v>
      </c>
      <c r="N16" s="126">
        <f t="shared" si="5"/>
        <v>0</v>
      </c>
      <c r="O16" s="126">
        <f t="shared" si="5"/>
        <v>19</v>
      </c>
      <c r="P16" s="126">
        <f t="shared" si="5"/>
        <v>0</v>
      </c>
      <c r="Q16" s="126">
        <f t="shared" si="5"/>
        <v>24</v>
      </c>
      <c r="R16" s="126">
        <f t="shared" si="5"/>
        <v>0</v>
      </c>
      <c r="S16" s="126">
        <f t="shared" si="5"/>
        <v>0</v>
      </c>
      <c r="T16" s="126">
        <f t="shared" si="5"/>
        <v>0</v>
      </c>
      <c r="U16" s="126">
        <f t="shared" si="5"/>
        <v>0</v>
      </c>
      <c r="V16" s="126">
        <f t="shared" si="5"/>
        <v>0</v>
      </c>
      <c r="W16" s="126">
        <f t="shared" si="5"/>
        <v>0</v>
      </c>
      <c r="X16" s="126">
        <f t="shared" si="5"/>
        <v>7</v>
      </c>
      <c r="Y16" s="126">
        <f t="shared" si="5"/>
        <v>0</v>
      </c>
      <c r="Z16" s="204">
        <f t="shared" si="2"/>
        <v>146</v>
      </c>
      <c r="AA16" s="125" t="str">
        <f t="shared" si="3"/>
        <v>Rojas</v>
      </c>
    </row>
    <row r="17" spans="2:27">
      <c r="B17" s="246" t="s">
        <v>116</v>
      </c>
      <c r="C17" s="240" t="s">
        <v>67</v>
      </c>
      <c r="D17" s="126">
        <f t="shared" si="4"/>
        <v>0</v>
      </c>
      <c r="E17" s="126">
        <f t="shared" si="4"/>
        <v>0</v>
      </c>
      <c r="F17" s="126">
        <f t="shared" si="4"/>
        <v>0</v>
      </c>
      <c r="G17" s="126">
        <f t="shared" si="4"/>
        <v>0</v>
      </c>
      <c r="H17" s="126">
        <f t="shared" si="4"/>
        <v>39</v>
      </c>
      <c r="I17" s="126">
        <f t="shared" si="4"/>
        <v>27</v>
      </c>
      <c r="J17" s="126">
        <f t="shared" si="4"/>
        <v>0</v>
      </c>
      <c r="K17" s="126">
        <f t="shared" si="4"/>
        <v>3</v>
      </c>
      <c r="L17" s="126">
        <f t="shared" si="4"/>
        <v>3</v>
      </c>
      <c r="M17" s="126">
        <f t="shared" si="4"/>
        <v>29</v>
      </c>
      <c r="N17" s="126">
        <f t="shared" si="5"/>
        <v>3</v>
      </c>
      <c r="O17" s="126">
        <f t="shared" si="5"/>
        <v>34</v>
      </c>
      <c r="P17" s="126">
        <f t="shared" si="5"/>
        <v>39</v>
      </c>
      <c r="Q17" s="126">
        <f t="shared" si="5"/>
        <v>4</v>
      </c>
      <c r="R17" s="126">
        <f t="shared" si="5"/>
        <v>4</v>
      </c>
      <c r="S17" s="126">
        <f t="shared" si="5"/>
        <v>4</v>
      </c>
      <c r="T17" s="126">
        <f t="shared" si="5"/>
        <v>4</v>
      </c>
      <c r="U17" s="126">
        <f t="shared" si="5"/>
        <v>4</v>
      </c>
      <c r="V17" s="126">
        <f t="shared" si="5"/>
        <v>4</v>
      </c>
      <c r="W17" s="126">
        <f t="shared" si="5"/>
        <v>4</v>
      </c>
      <c r="X17" s="126">
        <f t="shared" si="5"/>
        <v>30</v>
      </c>
      <c r="Y17" s="126">
        <f t="shared" si="5"/>
        <v>7</v>
      </c>
      <c r="Z17" s="204">
        <f t="shared" si="2"/>
        <v>242</v>
      </c>
      <c r="AA17" s="125" t="str">
        <f t="shared" si="3"/>
        <v>Cavendish</v>
      </c>
    </row>
    <row r="18" spans="2:27">
      <c r="B18" s="246" t="s">
        <v>170</v>
      </c>
      <c r="C18" s="240" t="s">
        <v>166</v>
      </c>
      <c r="D18" s="126">
        <f t="shared" si="4"/>
        <v>0</v>
      </c>
      <c r="E18" s="126">
        <f t="shared" si="4"/>
        <v>0</v>
      </c>
      <c r="F18" s="126">
        <f t="shared" si="4"/>
        <v>0</v>
      </c>
      <c r="G18" s="126">
        <f t="shared" si="4"/>
        <v>0</v>
      </c>
      <c r="H18" s="126">
        <f t="shared" si="4"/>
        <v>14</v>
      </c>
      <c r="I18" s="126">
        <f t="shared" si="4"/>
        <v>0</v>
      </c>
      <c r="J18" s="126">
        <f t="shared" si="4"/>
        <v>30</v>
      </c>
      <c r="K18" s="126">
        <f t="shared" si="4"/>
        <v>0</v>
      </c>
      <c r="L18" s="126">
        <f t="shared" si="4"/>
        <v>0</v>
      </c>
      <c r="M18" s="126">
        <f t="shared" si="4"/>
        <v>0</v>
      </c>
      <c r="N18" s="126">
        <f t="shared" si="5"/>
        <v>0</v>
      </c>
      <c r="O18" s="126">
        <f t="shared" si="5"/>
        <v>0</v>
      </c>
      <c r="P18" s="126">
        <f t="shared" si="5"/>
        <v>6</v>
      </c>
      <c r="Q18" s="126">
        <f t="shared" si="5"/>
        <v>0</v>
      </c>
      <c r="R18" s="126">
        <f t="shared" si="5"/>
        <v>0</v>
      </c>
      <c r="S18" s="126">
        <f t="shared" si="5"/>
        <v>0</v>
      </c>
      <c r="T18" s="126">
        <f t="shared" si="5"/>
        <v>0</v>
      </c>
      <c r="U18" s="126">
        <f t="shared" si="5"/>
        <v>0</v>
      </c>
      <c r="V18" s="126">
        <f t="shared" si="5"/>
        <v>0</v>
      </c>
      <c r="W18" s="126">
        <f t="shared" si="5"/>
        <v>0</v>
      </c>
      <c r="X18" s="126">
        <f t="shared" si="5"/>
        <v>0</v>
      </c>
      <c r="Y18" s="126">
        <f t="shared" si="5"/>
        <v>0</v>
      </c>
      <c r="Z18" s="204">
        <f t="shared" si="2"/>
        <v>50</v>
      </c>
      <c r="AA18" s="125" t="str">
        <f t="shared" si="3"/>
        <v>Degenkolb</v>
      </c>
    </row>
    <row r="19" spans="2:27">
      <c r="B19" s="246" t="s">
        <v>107</v>
      </c>
      <c r="C19" s="240" t="s">
        <v>108</v>
      </c>
      <c r="D19" s="126">
        <f t="shared" si="4"/>
        <v>50</v>
      </c>
      <c r="E19" s="126">
        <f t="shared" si="4"/>
        <v>5</v>
      </c>
      <c r="F19" s="126">
        <f t="shared" si="4"/>
        <v>4</v>
      </c>
      <c r="G19" s="126">
        <f t="shared" si="4"/>
        <v>0</v>
      </c>
      <c r="H19" s="126">
        <f t="shared" si="4"/>
        <v>0</v>
      </c>
      <c r="I19" s="126">
        <f t="shared" si="4"/>
        <v>27</v>
      </c>
      <c r="J19" s="126">
        <f t="shared" si="4"/>
        <v>0</v>
      </c>
      <c r="K19" s="126">
        <f t="shared" si="4"/>
        <v>0</v>
      </c>
      <c r="L19" s="126">
        <f t="shared" si="4"/>
        <v>0</v>
      </c>
      <c r="M19" s="126">
        <f t="shared" si="4"/>
        <v>37</v>
      </c>
      <c r="N19" s="126">
        <f t="shared" si="5"/>
        <v>2</v>
      </c>
      <c r="O19" s="126">
        <f t="shared" si="5"/>
        <v>37</v>
      </c>
      <c r="P19" s="126">
        <f t="shared" si="5"/>
        <v>2</v>
      </c>
      <c r="Q19" s="126">
        <f t="shared" si="5"/>
        <v>2</v>
      </c>
      <c r="R19" s="126">
        <f t="shared" si="5"/>
        <v>2</v>
      </c>
      <c r="S19" s="126">
        <f t="shared" si="5"/>
        <v>2</v>
      </c>
      <c r="T19" s="126">
        <f t="shared" si="5"/>
        <v>2</v>
      </c>
      <c r="U19" s="126">
        <f t="shared" si="5"/>
        <v>2</v>
      </c>
      <c r="V19" s="126">
        <f t="shared" si="5"/>
        <v>2</v>
      </c>
      <c r="W19" s="126">
        <f t="shared" si="5"/>
        <v>2</v>
      </c>
      <c r="X19" s="126">
        <f t="shared" si="5"/>
        <v>37</v>
      </c>
      <c r="Y19" s="126">
        <f t="shared" si="5"/>
        <v>3</v>
      </c>
      <c r="Z19" s="204">
        <f t="shared" si="2"/>
        <v>218</v>
      </c>
      <c r="AA19" s="125" t="str">
        <f>C19</f>
        <v>Kittel</v>
      </c>
    </row>
    <row r="20" spans="2:27" ht="13.5" thickBot="1">
      <c r="B20" s="246" t="s">
        <v>203</v>
      </c>
      <c r="C20" s="240" t="s">
        <v>204</v>
      </c>
      <c r="D20" s="126">
        <f t="shared" si="4"/>
        <v>0</v>
      </c>
      <c r="E20" s="126">
        <f t="shared" si="4"/>
        <v>0</v>
      </c>
      <c r="F20" s="126">
        <f t="shared" si="4"/>
        <v>0</v>
      </c>
      <c r="G20" s="126">
        <f t="shared" si="4"/>
        <v>0</v>
      </c>
      <c r="H20" s="126">
        <f t="shared" si="4"/>
        <v>0</v>
      </c>
      <c r="I20" s="126">
        <f t="shared" si="4"/>
        <v>0</v>
      </c>
      <c r="J20" s="126">
        <f t="shared" si="4"/>
        <v>0</v>
      </c>
      <c r="K20" s="126">
        <f t="shared" si="4"/>
        <v>16</v>
      </c>
      <c r="L20" s="126">
        <f t="shared" si="4"/>
        <v>0</v>
      </c>
      <c r="M20" s="126">
        <f t="shared" si="4"/>
        <v>0</v>
      </c>
      <c r="N20" s="126">
        <f t="shared" si="5"/>
        <v>0</v>
      </c>
      <c r="O20" s="126">
        <f t="shared" si="5"/>
        <v>0</v>
      </c>
      <c r="P20" s="126">
        <f t="shared" si="5"/>
        <v>0</v>
      </c>
      <c r="Q20" s="126">
        <f t="shared" si="5"/>
        <v>0</v>
      </c>
      <c r="R20" s="126">
        <f t="shared" si="5"/>
        <v>0</v>
      </c>
      <c r="S20" s="126">
        <f t="shared" si="5"/>
        <v>0</v>
      </c>
      <c r="T20" s="126">
        <f t="shared" si="5"/>
        <v>0</v>
      </c>
      <c r="U20" s="126">
        <f t="shared" si="5"/>
        <v>9</v>
      </c>
      <c r="V20" s="126">
        <f t="shared" si="5"/>
        <v>0</v>
      </c>
      <c r="W20" s="126">
        <f t="shared" si="5"/>
        <v>0</v>
      </c>
      <c r="X20" s="126">
        <f t="shared" si="5"/>
        <v>0</v>
      </c>
      <c r="Y20" s="126">
        <f t="shared" si="5"/>
        <v>0</v>
      </c>
      <c r="Z20" s="204">
        <f t="shared" si="2"/>
        <v>25</v>
      </c>
      <c r="AA20" s="125" t="str">
        <f>C20</f>
        <v>Anton</v>
      </c>
    </row>
    <row r="21" spans="2:27" s="183" customFormat="1">
      <c r="B21" s="247"/>
      <c r="C21" s="241"/>
      <c r="D21" s="196"/>
      <c r="E21" s="196"/>
      <c r="F21" s="196"/>
      <c r="G21" s="196"/>
      <c r="H21" s="196"/>
      <c r="I21" s="196"/>
      <c r="J21" s="196"/>
      <c r="K21" s="196"/>
      <c r="L21" s="196"/>
      <c r="M21" s="196"/>
      <c r="N21" s="196"/>
      <c r="O21" s="196"/>
      <c r="P21" s="196"/>
      <c r="Q21" s="196"/>
      <c r="R21" s="196"/>
      <c r="S21" s="196"/>
      <c r="T21" s="196"/>
      <c r="U21" s="196"/>
      <c r="V21" s="196"/>
      <c r="W21" s="196"/>
      <c r="X21" s="196"/>
      <c r="Y21" s="196"/>
      <c r="Z21" s="281">
        <f t="shared" si="2"/>
        <v>0</v>
      </c>
    </row>
    <row r="22" spans="2:27" s="129" customFormat="1">
      <c r="B22" s="248"/>
      <c r="C22" s="242"/>
      <c r="D22" s="184">
        <f t="shared" ref="D22:Z22" si="6">SUM(D4:D21)</f>
        <v>69</v>
      </c>
      <c r="E22" s="184">
        <f t="shared" ref="E22" si="7">SUM(E4:E21)</f>
        <v>76</v>
      </c>
      <c r="F22" s="184">
        <f>SUM(F4:F21)</f>
        <v>123</v>
      </c>
      <c r="G22" s="184">
        <f t="shared" si="6"/>
        <v>0.1</v>
      </c>
      <c r="H22" s="184">
        <f t="shared" si="6"/>
        <v>166</v>
      </c>
      <c r="I22" s="184">
        <f t="shared" si="6"/>
        <v>191</v>
      </c>
      <c r="J22" s="184">
        <f t="shared" si="6"/>
        <v>114</v>
      </c>
      <c r="K22" s="184">
        <f t="shared" si="6"/>
        <v>135</v>
      </c>
      <c r="L22" s="184">
        <f t="shared" si="6"/>
        <v>114</v>
      </c>
      <c r="M22" s="184">
        <f t="shared" si="6"/>
        <v>173</v>
      </c>
      <c r="N22" s="184">
        <f t="shared" si="6"/>
        <v>142</v>
      </c>
      <c r="O22" s="184">
        <f t="shared" si="6"/>
        <v>180</v>
      </c>
      <c r="P22" s="184">
        <f t="shared" si="6"/>
        <v>137</v>
      </c>
      <c r="Q22" s="184">
        <f t="shared" si="6"/>
        <v>60</v>
      </c>
      <c r="R22" s="184">
        <f t="shared" si="6"/>
        <v>105</v>
      </c>
      <c r="S22" s="184">
        <f t="shared" si="6"/>
        <v>55</v>
      </c>
      <c r="T22" s="184">
        <f t="shared" si="6"/>
        <v>136</v>
      </c>
      <c r="U22" s="184">
        <f t="shared" si="6"/>
        <v>99</v>
      </c>
      <c r="V22" s="184">
        <f t="shared" si="6"/>
        <v>48</v>
      </c>
      <c r="W22" s="184">
        <f t="shared" si="6"/>
        <v>107</v>
      </c>
      <c r="X22" s="184">
        <f t="shared" si="6"/>
        <v>160</v>
      </c>
      <c r="Y22" s="184">
        <f t="shared" si="6"/>
        <v>198</v>
      </c>
      <c r="Z22" s="282">
        <f t="shared" si="6"/>
        <v>2588.1</v>
      </c>
    </row>
    <row r="23" spans="2:27" s="185" customFormat="1">
      <c r="B23" s="249"/>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246"/>
      <c r="C24" s="244" t="s">
        <v>79</v>
      </c>
      <c r="D24" s="211">
        <f t="shared" ref="D24:Y26" si="8">INDEX(scorematrix,MATCH($C24,renners,0),MATCH(D$3,etappes,0))</f>
        <v>0</v>
      </c>
      <c r="E24" s="211">
        <f t="shared" si="8"/>
        <v>0</v>
      </c>
      <c r="F24" s="211">
        <f t="shared" si="8"/>
        <v>0</v>
      </c>
      <c r="G24" s="211">
        <f t="shared" si="8"/>
        <v>0</v>
      </c>
      <c r="H24" s="211">
        <f t="shared" si="8"/>
        <v>0</v>
      </c>
      <c r="I24" s="211">
        <f t="shared" si="8"/>
        <v>0</v>
      </c>
      <c r="J24" s="211">
        <f t="shared" si="8"/>
        <v>0</v>
      </c>
      <c r="K24" s="211">
        <f t="shared" si="8"/>
        <v>0</v>
      </c>
      <c r="L24" s="280">
        <f t="shared" si="8"/>
        <v>0</v>
      </c>
      <c r="M24" s="211">
        <f t="shared" si="8"/>
        <v>0</v>
      </c>
      <c r="N24" s="211">
        <f t="shared" si="8"/>
        <v>0</v>
      </c>
      <c r="O24" s="211">
        <f t="shared" si="8"/>
        <v>0</v>
      </c>
      <c r="P24" s="211">
        <f t="shared" si="8"/>
        <v>0</v>
      </c>
      <c r="Q24" s="211">
        <f t="shared" si="8"/>
        <v>0</v>
      </c>
      <c r="R24" s="211">
        <f t="shared" si="8"/>
        <v>0</v>
      </c>
      <c r="S24" s="211">
        <f t="shared" si="8"/>
        <v>0</v>
      </c>
      <c r="T24" s="211">
        <f t="shared" si="8"/>
        <v>0</v>
      </c>
      <c r="U24" s="211">
        <f t="shared" si="8"/>
        <v>0</v>
      </c>
      <c r="V24" s="211">
        <f t="shared" si="8"/>
        <v>0</v>
      </c>
      <c r="W24" s="211">
        <f t="shared" si="8"/>
        <v>0</v>
      </c>
      <c r="X24" s="211">
        <f t="shared" si="8"/>
        <v>0</v>
      </c>
      <c r="Y24" s="211">
        <f t="shared" si="8"/>
        <v>0</v>
      </c>
      <c r="Z24" s="284">
        <f>SUM(D24:Y24)</f>
        <v>0</v>
      </c>
    </row>
    <row r="25" spans="2:27" s="188" customFormat="1">
      <c r="B25" s="246" t="s">
        <v>129</v>
      </c>
      <c r="C25" s="244" t="s">
        <v>87</v>
      </c>
      <c r="D25" s="211">
        <f t="shared" si="8"/>
        <v>0</v>
      </c>
      <c r="E25" s="211">
        <f t="shared" si="8"/>
        <v>0</v>
      </c>
      <c r="F25" s="211">
        <f t="shared" si="8"/>
        <v>0</v>
      </c>
      <c r="G25" s="211">
        <f t="shared" si="8"/>
        <v>0</v>
      </c>
      <c r="H25" s="211">
        <f t="shared" si="8"/>
        <v>0</v>
      </c>
      <c r="I25" s="211">
        <f t="shared" si="8"/>
        <v>0</v>
      </c>
      <c r="J25" s="211">
        <f t="shared" si="8"/>
        <v>0</v>
      </c>
      <c r="K25" s="211">
        <f t="shared" si="8"/>
        <v>0</v>
      </c>
      <c r="L25" s="211">
        <f t="shared" si="8"/>
        <v>0</v>
      </c>
      <c r="M25" s="211">
        <f t="shared" si="8"/>
        <v>0</v>
      </c>
      <c r="N25" s="211">
        <f t="shared" si="8"/>
        <v>0</v>
      </c>
      <c r="O25" s="211">
        <f t="shared" si="8"/>
        <v>0</v>
      </c>
      <c r="P25" s="211">
        <f t="shared" si="8"/>
        <v>0</v>
      </c>
      <c r="Q25" s="211">
        <f t="shared" si="8"/>
        <v>0</v>
      </c>
      <c r="R25" s="211">
        <f t="shared" si="8"/>
        <v>0</v>
      </c>
      <c r="S25" s="211">
        <f t="shared" si="8"/>
        <v>0</v>
      </c>
      <c r="T25" s="211">
        <f t="shared" si="8"/>
        <v>0</v>
      </c>
      <c r="U25" s="211">
        <f t="shared" si="8"/>
        <v>0</v>
      </c>
      <c r="V25" s="211">
        <f t="shared" si="8"/>
        <v>0</v>
      </c>
      <c r="W25" s="211">
        <f t="shared" si="8"/>
        <v>0</v>
      </c>
      <c r="X25" s="211">
        <f t="shared" si="8"/>
        <v>0</v>
      </c>
      <c r="Y25" s="211">
        <f t="shared" si="8"/>
        <v>0</v>
      </c>
      <c r="Z25" s="284">
        <f>SUM(D25:Y25)</f>
        <v>0</v>
      </c>
    </row>
    <row r="26" spans="2:27" s="188" customFormat="1">
      <c r="B26" s="246" t="s">
        <v>205</v>
      </c>
      <c r="C26" s="244" t="s">
        <v>221</v>
      </c>
      <c r="D26" s="211">
        <f t="shared" si="8"/>
        <v>0</v>
      </c>
      <c r="E26" s="211">
        <f t="shared" si="8"/>
        <v>0</v>
      </c>
      <c r="F26" s="211">
        <f t="shared" si="8"/>
        <v>0</v>
      </c>
      <c r="G26" s="211">
        <f t="shared" si="8"/>
        <v>0</v>
      </c>
      <c r="H26" s="211">
        <f t="shared" si="8"/>
        <v>0</v>
      </c>
      <c r="I26" s="211">
        <f t="shared" si="8"/>
        <v>0</v>
      </c>
      <c r="J26" s="211">
        <f t="shared" si="8"/>
        <v>0</v>
      </c>
      <c r="K26" s="211">
        <f t="shared" si="8"/>
        <v>0</v>
      </c>
      <c r="L26" s="211">
        <f t="shared" si="8"/>
        <v>0</v>
      </c>
      <c r="M26" s="211">
        <f t="shared" si="8"/>
        <v>0</v>
      </c>
      <c r="N26" s="211">
        <f t="shared" si="8"/>
        <v>0</v>
      </c>
      <c r="O26" s="211">
        <f t="shared" si="8"/>
        <v>0</v>
      </c>
      <c r="P26" s="211">
        <f t="shared" si="8"/>
        <v>0</v>
      </c>
      <c r="Q26" s="211">
        <f t="shared" si="8"/>
        <v>0</v>
      </c>
      <c r="R26" s="211">
        <f t="shared" si="8"/>
        <v>0</v>
      </c>
      <c r="S26" s="211">
        <f t="shared" si="8"/>
        <v>0</v>
      </c>
      <c r="T26" s="211">
        <f t="shared" si="8"/>
        <v>0</v>
      </c>
      <c r="U26" s="211">
        <f t="shared" si="8"/>
        <v>0</v>
      </c>
      <c r="V26" s="211">
        <f t="shared" si="8"/>
        <v>0</v>
      </c>
      <c r="W26" s="211">
        <f t="shared" si="8"/>
        <v>0</v>
      </c>
      <c r="X26" s="211">
        <f t="shared" si="8"/>
        <v>0</v>
      </c>
      <c r="Y26" s="211">
        <f t="shared" si="8"/>
        <v>0</v>
      </c>
      <c r="Z26" s="284">
        <f>SUM(D26:Y26)</f>
        <v>0</v>
      </c>
    </row>
    <row r="28" spans="2:27">
      <c r="B28" s="125" t="s">
        <v>207</v>
      </c>
    </row>
    <row r="29" spans="2:27">
      <c r="B29" s="251" t="s">
        <v>202</v>
      </c>
      <c r="C29" s="252" t="s">
        <v>129</v>
      </c>
    </row>
  </sheetData>
  <phoneticPr fontId="0" type="noConversion"/>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dimension ref="A2:C17"/>
  <sheetViews>
    <sheetView workbookViewId="0">
      <selection activeCell="B18" sqref="B18"/>
    </sheetView>
  </sheetViews>
  <sheetFormatPr defaultRowHeight="12.75"/>
  <cols>
    <col min="1" max="1" width="5.5703125" customWidth="1"/>
    <col min="2" max="2" width="5.7109375" customWidth="1"/>
  </cols>
  <sheetData>
    <row r="2" spans="1:3">
      <c r="A2">
        <v>1</v>
      </c>
      <c r="B2" s="109" t="s">
        <v>92</v>
      </c>
    </row>
    <row r="3" spans="1:3">
      <c r="A3">
        <v>2</v>
      </c>
      <c r="B3" s="109" t="s">
        <v>93</v>
      </c>
    </row>
    <row r="4" spans="1:3">
      <c r="A4">
        <v>3</v>
      </c>
      <c r="B4" s="109" t="s">
        <v>94</v>
      </c>
    </row>
    <row r="6" spans="1:3">
      <c r="A6">
        <v>4</v>
      </c>
      <c r="B6" s="109" t="s">
        <v>95</v>
      </c>
    </row>
    <row r="8" spans="1:3">
      <c r="B8" s="109" t="s">
        <v>102</v>
      </c>
    </row>
    <row r="10" spans="1:3">
      <c r="B10" s="206" t="s">
        <v>100</v>
      </c>
    </row>
    <row r="11" spans="1:3">
      <c r="B11" s="109"/>
      <c r="C11" s="206" t="s">
        <v>98</v>
      </c>
    </row>
    <row r="12" spans="1:3">
      <c r="C12" s="206" t="s">
        <v>101</v>
      </c>
    </row>
    <row r="14" spans="1:3">
      <c r="B14" s="109"/>
      <c r="C14" s="207" t="s">
        <v>97</v>
      </c>
    </row>
    <row r="16" spans="1:3">
      <c r="B16" s="109" t="s">
        <v>99</v>
      </c>
    </row>
    <row r="17" spans="2:2">
      <c r="B17" s="109"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V34"/>
  <sheetViews>
    <sheetView showZeros="0" zoomScale="85" workbookViewId="0">
      <selection activeCell="N39" sqref="N39"/>
    </sheetView>
  </sheetViews>
  <sheetFormatPr defaultRowHeight="12.75"/>
  <cols>
    <col min="1" max="1" width="11" style="20" customWidth="1"/>
    <col min="2" max="2" width="10.140625" style="19" customWidth="1"/>
    <col min="3" max="3" width="11" style="21" customWidth="1"/>
    <col min="4" max="4" width="4.85546875" style="18" customWidth="1"/>
    <col min="5" max="5" width="11.85546875" style="20" customWidth="1"/>
    <col min="6" max="6" width="5.7109375" style="19" customWidth="1"/>
    <col min="7" max="7" width="9.7109375" style="20" customWidth="1"/>
    <col min="8" max="8" width="6.28515625" style="18" customWidth="1"/>
    <col min="9" max="9" width="10.7109375" style="20" customWidth="1"/>
    <col min="10" max="10" width="5.7109375" style="18" customWidth="1"/>
    <col min="11" max="11" width="10.7109375" style="20" customWidth="1"/>
    <col min="12" max="12" width="5.42578125" style="18" customWidth="1"/>
    <col min="13" max="13" width="10.85546875" style="20" customWidth="1"/>
    <col min="14" max="14" width="5.5703125" style="18" customWidth="1"/>
    <col min="15" max="15" width="12" style="20" customWidth="1"/>
    <col min="16" max="16" width="6" style="18" customWidth="1"/>
    <col min="17" max="17" width="12" style="20" customWidth="1"/>
    <col min="18" max="18" width="6" style="18" customWidth="1"/>
    <col min="19" max="19" width="10.42578125" style="20" customWidth="1"/>
    <col min="20" max="20" width="5.7109375" style="18" customWidth="1"/>
    <col min="21" max="21" width="10.42578125" style="20" customWidth="1"/>
    <col min="22" max="22" width="5.28515625" style="19" customWidth="1"/>
    <col min="23" max="16384" width="9.140625" style="19"/>
  </cols>
  <sheetData>
    <row r="1" spans="1:22">
      <c r="A1" s="19" t="str">
        <f>Lothar!C1</f>
        <v>Vorwärts Kinder des Vaterlandes!</v>
      </c>
      <c r="B1" s="29"/>
      <c r="C1" s="253" t="str">
        <f>SVU!C1</f>
        <v>Special Victims Unit</v>
      </c>
      <c r="D1" s="29"/>
      <c r="E1" s="19" t="str">
        <f>Tour!C1</f>
        <v>Tour de Kruiskamp</v>
      </c>
      <c r="F1" s="29"/>
      <c r="G1" s="19" t="str">
        <f>Tin!C1</f>
        <v>TinTopTeam</v>
      </c>
      <c r="H1" s="29"/>
      <c r="I1" s="19" t="str">
        <f>Selfkant!C1</f>
        <v>Am Selfkant</v>
      </c>
      <c r="J1" s="29"/>
      <c r="K1" s="19" t="str">
        <f>Lange!C1</f>
        <v>De Lange Man</v>
      </c>
      <c r="L1" s="29"/>
      <c r="M1" s="19" t="str">
        <f>Niet!C1</f>
        <v>Niet geschoten</v>
      </c>
      <c r="N1" s="29"/>
      <c r="O1" s="19" t="str">
        <f>Ami!C1</f>
        <v>Equipe l'Ami</v>
      </c>
      <c r="P1" s="29"/>
      <c r="Q1" s="19" t="str">
        <f>IJff!C1</f>
        <v>IJffjes Boys</v>
      </c>
      <c r="R1" s="29"/>
      <c r="S1" s="19" t="str">
        <f>Sale!C1</f>
        <v>For Sale</v>
      </c>
      <c r="T1" s="29"/>
      <c r="U1" s="19" t="str">
        <f>Gran!C1</f>
        <v>El Gran</v>
      </c>
      <c r="V1" s="29"/>
    </row>
    <row r="2" spans="1:22">
      <c r="A2" s="19">
        <f>Lothar!C2</f>
        <v>0</v>
      </c>
      <c r="C2" s="254">
        <f>SVU!C2</f>
        <v>0</v>
      </c>
      <c r="D2" s="19"/>
      <c r="E2" s="19">
        <f>Tour!C2</f>
        <v>0</v>
      </c>
      <c r="G2" s="66">
        <f>Tin!C2</f>
        <v>0</v>
      </c>
      <c r="H2" s="19"/>
      <c r="I2" s="19">
        <f>Selfkant!C2</f>
        <v>0</v>
      </c>
      <c r="J2" s="19"/>
      <c r="K2" s="66">
        <f>Lange!C2</f>
        <v>0</v>
      </c>
      <c r="L2" s="19"/>
      <c r="M2" s="19">
        <f>Niet!C2</f>
        <v>0</v>
      </c>
      <c r="N2" s="19"/>
      <c r="O2" s="19">
        <f>Ami!C2</f>
        <v>0</v>
      </c>
      <c r="P2" s="19"/>
      <c r="Q2" s="19">
        <f>IJff!C2</f>
        <v>0</v>
      </c>
      <c r="R2" s="19"/>
      <c r="S2" s="19">
        <f>Sale!C2</f>
        <v>0</v>
      </c>
      <c r="T2" s="19"/>
      <c r="U2" s="66">
        <f>Theo!C2</f>
        <v>0</v>
      </c>
    </row>
    <row r="3" spans="1:22" s="23" customFormat="1" ht="39.75" customHeight="1" thickBot="1">
      <c r="A3" s="95" t="str">
        <f>Lothar!C3</f>
        <v>Lothar Matthäus</v>
      </c>
      <c r="C3" s="95" t="str">
        <f>SVU!C3</f>
        <v>Kees</v>
      </c>
      <c r="E3" s="95" t="str">
        <f>Tour!C3</f>
        <v>Carin Kruiskamp</v>
      </c>
      <c r="G3" s="95" t="str">
        <f>Tin!C3</f>
        <v>Marjon Tinnemans</v>
      </c>
      <c r="I3" s="95" t="str">
        <f>Selfkant!C3</f>
        <v>Peter K.</v>
      </c>
      <c r="K3" s="95" t="str">
        <f>Lange!C3</f>
        <v>Gerard Brinksma</v>
      </c>
      <c r="M3" s="95" t="str">
        <f>Niet!C3</f>
        <v>Matthijs</v>
      </c>
      <c r="O3" s="95" t="str">
        <f>Ami!C3</f>
        <v>Willem</v>
      </c>
      <c r="Q3" s="95" t="str">
        <f>IJff!C3</f>
        <v>Annita IJff</v>
      </c>
      <c r="S3" s="95" t="str">
        <f>Sale!C3</f>
        <v>Bart en Jolanthe</v>
      </c>
      <c r="U3" s="95" t="str">
        <f>Gran!C3</f>
        <v>Leen Hoogeveen</v>
      </c>
    </row>
    <row r="4" spans="1:22" s="29" customFormat="1" ht="13.5" thickTop="1">
      <c r="A4" s="29" t="str">
        <f>Lothar!C4</f>
        <v>Contador</v>
      </c>
      <c r="B4" s="213">
        <f ca="1">VLOOKUP(A4,Score!$B$2:$X$71,23,0)</f>
        <v>246.03439923877079</v>
      </c>
      <c r="C4" s="255" t="str">
        <f>SVU!C4</f>
        <v>Cavendish</v>
      </c>
      <c r="D4" s="213">
        <f ca="1">VLOOKUP(C4,Score!$B$2:$X$71,23,0)</f>
        <v>235.05530299944562</v>
      </c>
      <c r="E4" s="217" t="str">
        <f>Tour!C4</f>
        <v>Froome</v>
      </c>
      <c r="F4" s="213">
        <f ca="1">VLOOKUP(E4,Score!$B$2:$X$71,23,0)</f>
        <v>426.12241934377164</v>
      </c>
      <c r="G4" s="217" t="str">
        <f>Tin!C4</f>
        <v>Van Garderen</v>
      </c>
      <c r="H4" s="213">
        <f ca="1">VLOOKUP(G4,Score!$B$2:$X$71,23,0)</f>
        <v>57.013560907379969</v>
      </c>
      <c r="I4" s="217" t="str">
        <f>Selfkant!C4</f>
        <v>Cavendish</v>
      </c>
      <c r="J4" s="213">
        <f ca="1">VLOOKUP(I4,Score!$B$2:$X$71,23,0)</f>
        <v>235.05530299944562</v>
      </c>
      <c r="K4" s="217" t="str">
        <f>Lange!C4</f>
        <v>Cavendish</v>
      </c>
      <c r="L4" s="213">
        <f ca="1">VLOOKUP(K4,Score!$B$2:$X$71,23,0)</f>
        <v>235.05530299944562</v>
      </c>
      <c r="M4" s="217" t="str">
        <f>Niet!C4</f>
        <v>Froome</v>
      </c>
      <c r="N4" s="213">
        <f ca="1">VLOOKUP(M4,Score!$B$2:$X$71,23,0)</f>
        <v>426.12241934377164</v>
      </c>
      <c r="O4" s="217" t="str">
        <f>Ami!C4</f>
        <v>Boasson Hagen</v>
      </c>
      <c r="P4" s="213">
        <f ca="1">VLOOKUP(O4,Score!$B$2:$X$71,23,0)</f>
        <v>140.0384494884392</v>
      </c>
      <c r="Q4" s="217" t="str">
        <f>IJff!C4</f>
        <v>Rodriguez</v>
      </c>
      <c r="R4" s="213">
        <f ca="1">VLOOKUP(Q4,Score!$B$2:$X$71,23,0)</f>
        <v>192.0566689427263</v>
      </c>
      <c r="S4" s="217" t="str">
        <f>Sale!C4</f>
        <v>Froome</v>
      </c>
      <c r="T4" s="213">
        <f ca="1">VLOOKUP(S4,Score!$B$2:$X$71,23,0)</f>
        <v>426.12241934377164</v>
      </c>
      <c r="U4" s="217" t="str">
        <f>Gran!C4</f>
        <v>Froome</v>
      </c>
      <c r="V4" s="213">
        <f ca="1">VLOOKUP(U4,Score!$B$2:$X$71,23,0)</f>
        <v>426.12241934377164</v>
      </c>
    </row>
    <row r="5" spans="1:22" s="29" customFormat="1">
      <c r="A5" s="29" t="str">
        <f>Lothar!C5</f>
        <v>Froome</v>
      </c>
      <c r="B5" s="213">
        <f ca="1">VLOOKUP(A5,Score!$B$2:$X$71,23,0)</f>
        <v>426.12241934377164</v>
      </c>
      <c r="C5" s="255" t="str">
        <f>SVU!C5</f>
        <v>Kittel</v>
      </c>
      <c r="D5" s="213">
        <f ca="1">VLOOKUP(C5,Score!$B$2:$X$71,23,0)</f>
        <v>215.03639114680371</v>
      </c>
      <c r="E5" s="217" t="str">
        <f>Tour!C5</f>
        <v>Boasson Hagen</v>
      </c>
      <c r="F5" s="213">
        <f ca="1">VLOOKUP(E5,Score!$B$2:$X$71,23,0)</f>
        <v>140.0384494884392</v>
      </c>
      <c r="G5" s="217" t="str">
        <f>Tin!C5</f>
        <v>Kristoff</v>
      </c>
      <c r="H5" s="213">
        <f ca="1">VLOOKUP(G5,Score!$B$2:$X$71,23,0)</f>
        <v>174.08804469639509</v>
      </c>
      <c r="I5" s="217" t="str">
        <f>Selfkant!C5</f>
        <v>Greipel</v>
      </c>
      <c r="J5" s="213">
        <f ca="1">VLOOKUP(I5,Score!$B$2:$X$71,23,0)</f>
        <v>182.06317957119913</v>
      </c>
      <c r="K5" s="217" t="str">
        <f>Lange!C5</f>
        <v>Greipel</v>
      </c>
      <c r="L5" s="213">
        <f ca="1">VLOOKUP(K5,Score!$B$2:$X$71,23,0)</f>
        <v>182.06317957119913</v>
      </c>
      <c r="M5" s="217" t="str">
        <f>Niet!C5</f>
        <v>Sagan</v>
      </c>
      <c r="N5" s="213">
        <f ca="1">VLOOKUP(M5,Score!$B$2:$X$71,23,0)</f>
        <v>358.0432292140211</v>
      </c>
      <c r="O5" s="217" t="str">
        <f>Ami!C5</f>
        <v>Froome</v>
      </c>
      <c r="P5" s="213">
        <f ca="1">VLOOKUP(O5,Score!$B$2:$X$71,23,0)</f>
        <v>426.12241934377164</v>
      </c>
      <c r="Q5" s="217" t="str">
        <f>IJff!C5</f>
        <v>Contador</v>
      </c>
      <c r="R5" s="213">
        <f ca="1">VLOOKUP(Q5,Score!$B$2:$X$71,23,0)</f>
        <v>246.03439923877079</v>
      </c>
      <c r="S5" s="217" t="str">
        <f>Sale!C5</f>
        <v>Porte</v>
      </c>
      <c r="T5" s="213">
        <f ca="1">VLOOKUP(S5,Score!$B$2:$X$71,23,0)</f>
        <v>153.00369780591399</v>
      </c>
      <c r="U5" s="217" t="str">
        <f>Gran!C5</f>
        <v>Sagan</v>
      </c>
      <c r="V5" s="213">
        <f ca="1">VLOOKUP(U5,Score!$B$2:$X$71,23,0)</f>
        <v>358.0432292140211</v>
      </c>
    </row>
    <row r="6" spans="1:22" s="29" customFormat="1">
      <c r="A6" s="29" t="str">
        <f>Lothar!C6</f>
        <v>Rolland</v>
      </c>
      <c r="B6" s="213">
        <f ca="1">VLOOKUP(A6,Score!$B$2:$X$71,23,0)</f>
        <v>86.073730340652403</v>
      </c>
      <c r="C6" s="255" t="str">
        <f>SVU!C6</f>
        <v>Degenkolb</v>
      </c>
      <c r="D6" s="213">
        <f ca="1">VLOOKUP(C6,Score!$B$2:$X$71,23,0)</f>
        <v>50.021827554188746</v>
      </c>
      <c r="E6" s="217" t="str">
        <f>Tour!C6</f>
        <v>Porte</v>
      </c>
      <c r="F6" s="213">
        <f ca="1">VLOOKUP(E6,Score!$B$2:$X$71,23,0)</f>
        <v>153.00369780591399</v>
      </c>
      <c r="G6" s="217" t="str">
        <f>Tin!C6</f>
        <v>Rodriguez</v>
      </c>
      <c r="H6" s="213">
        <f ca="1">VLOOKUP(G6,Score!$B$2:$X$71,23,0)</f>
        <v>192.0566689427263</v>
      </c>
      <c r="I6" s="217" t="str">
        <f>Selfkant!C6</f>
        <v>Kittel</v>
      </c>
      <c r="J6" s="213">
        <f ca="1">VLOOKUP(I6,Score!$B$2:$X$71,23,0)</f>
        <v>215.03639114680371</v>
      </c>
      <c r="K6" s="217" t="str">
        <f>Lange!C6</f>
        <v>Kittel</v>
      </c>
      <c r="L6" s="213">
        <f ca="1">VLOOKUP(K6,Score!$B$2:$X$71,23,0)</f>
        <v>215.03639114680371</v>
      </c>
      <c r="M6" s="217" t="str">
        <f>Niet!C6</f>
        <v>Contador</v>
      </c>
      <c r="N6" s="213">
        <f ca="1">VLOOKUP(M6,Score!$B$2:$X$71,23,0)</f>
        <v>246.03439923877079</v>
      </c>
      <c r="O6" s="217" t="str">
        <f>Ami!C6</f>
        <v>Valverde</v>
      </c>
      <c r="P6" s="213">
        <f ca="1">VLOOKUP(O6,Score!$B$2:$X$71,23,0)</f>
        <v>199.03813897272573</v>
      </c>
      <c r="Q6" s="217" t="str">
        <f>IJff!C6</f>
        <v>Froome</v>
      </c>
      <c r="R6" s="213">
        <f ca="1">VLOOKUP(Q6,Score!$B$2:$X$71,23,0)</f>
        <v>426.12241934377164</v>
      </c>
      <c r="S6" s="217" t="str">
        <f>Sale!C6</f>
        <v>Sagan</v>
      </c>
      <c r="T6" s="213">
        <f ca="1">VLOOKUP(S6,Score!$B$2:$X$71,23,0)</f>
        <v>358.0432292140211</v>
      </c>
      <c r="U6" s="217" t="str">
        <f>Gran!C6</f>
        <v>Cavendish</v>
      </c>
      <c r="V6" s="213">
        <f ca="1">VLOOKUP(U6,Score!$B$2:$X$71,23,0)</f>
        <v>235.05530299944562</v>
      </c>
    </row>
    <row r="7" spans="1:22" s="29" customFormat="1">
      <c r="A7" s="29" t="str">
        <f>Lothar!C7</f>
        <v>Costa</v>
      </c>
      <c r="B7" s="213">
        <f ca="1">VLOOKUP(A7,Score!$B$2:$X$71,23,0)</f>
        <v>96.08445220095895</v>
      </c>
      <c r="C7" s="255" t="str">
        <f>SVU!C7</f>
        <v>Sagan</v>
      </c>
      <c r="D7" s="213">
        <f ca="1">VLOOKUP(C7,Score!$B$2:$X$71,23,0)</f>
        <v>358.0432292140211</v>
      </c>
      <c r="E7" s="217" t="str">
        <f>Tour!C7</f>
        <v>Sagan</v>
      </c>
      <c r="F7" s="213">
        <f ca="1">VLOOKUP(E7,Score!$B$2:$X$71,23,0)</f>
        <v>358.0432292140211</v>
      </c>
      <c r="G7" s="217" t="str">
        <f>Tin!C7</f>
        <v>Quintana</v>
      </c>
      <c r="H7" s="213">
        <f ca="1">VLOOKUP(G7,Score!$B$2:$X$71,23,0)</f>
        <v>258.03872972464353</v>
      </c>
      <c r="I7" s="217" t="str">
        <f>Selfkant!C7</f>
        <v>Degenkolb</v>
      </c>
      <c r="J7" s="213">
        <f ca="1">VLOOKUP(I7,Score!$B$2:$X$71,23,0)</f>
        <v>50.021827554188746</v>
      </c>
      <c r="K7" s="217" t="str">
        <f>Lange!C7</f>
        <v>Sagan</v>
      </c>
      <c r="L7" s="213">
        <f ca="1">VLOOKUP(K7,Score!$B$2:$X$71,23,0)</f>
        <v>358.0432292140211</v>
      </c>
      <c r="M7" s="217" t="str">
        <f>Niet!C7</f>
        <v>Valverde</v>
      </c>
      <c r="N7" s="213">
        <f ca="1">VLOOKUP(M7,Score!$B$2:$X$71,23,0)</f>
        <v>199.03813897272573</v>
      </c>
      <c r="O7" s="217" t="str">
        <f>Ami!C7</f>
        <v>van Garderen</v>
      </c>
      <c r="P7" s="213">
        <f ca="1">VLOOKUP(O7,Score!$B$2:$X$71,23,0)</f>
        <v>57.013560907379969</v>
      </c>
      <c r="Q7" s="217" t="str">
        <f>IJff!C7</f>
        <v>van Garderen</v>
      </c>
      <c r="R7" s="213">
        <f ca="1">VLOOKUP(Q7,Score!$B$2:$X$71,23,0)</f>
        <v>57.013560907379969</v>
      </c>
      <c r="S7" s="217" t="str">
        <f>Sale!C7</f>
        <v>van den Broeck</v>
      </c>
      <c r="T7" s="213">
        <f ca="1">VLOOKUP(S7,Score!$B$2:$X$71,23,0)</f>
        <v>7.1757033581430194E-2</v>
      </c>
      <c r="U7" s="217" t="str">
        <f>Gran!C7</f>
        <v>Contador</v>
      </c>
      <c r="V7" s="213">
        <f ca="1">VLOOKUP(U7,Score!$B$2:$X$71,23,0)</f>
        <v>246.03439923877079</v>
      </c>
    </row>
    <row r="8" spans="1:22" s="29" customFormat="1">
      <c r="A8" s="29" t="str">
        <f>Lothar!C8</f>
        <v>Pinot</v>
      </c>
      <c r="B8" s="213">
        <f ca="1">VLOOKUP(A8,Score!$B$2:$X$71,23,0)</f>
        <v>4.3302010906342864E-2</v>
      </c>
      <c r="C8" s="255" t="str">
        <f>SVU!C8</f>
        <v>Goss</v>
      </c>
      <c r="D8" s="213">
        <f ca="1">VLOOKUP(C8,Score!$B$2:$X$71,23,0)</f>
        <v>40.082059832191149</v>
      </c>
      <c r="E8" s="217" t="str">
        <f>Tour!C8</f>
        <v>Greipel</v>
      </c>
      <c r="F8" s="213">
        <f ca="1">VLOOKUP(E8,Score!$B$2:$X$71,23,0)</f>
        <v>182.06317957119913</v>
      </c>
      <c r="G8" s="217" t="str">
        <f>Tin!C8</f>
        <v>Rojas</v>
      </c>
      <c r="H8" s="213">
        <f ca="1">VLOOKUP(G8,Score!$B$2:$X$71,23,0)</f>
        <v>146.03406911491356</v>
      </c>
      <c r="I8" s="217" t="str">
        <f>Selfkant!C8</f>
        <v>Bouhanni</v>
      </c>
      <c r="J8" s="213">
        <f ca="1">VLOOKUP(I8,Score!$B$2:$X$71,23,0)</f>
        <v>5.9640381353343132E-2</v>
      </c>
      <c r="K8" s="217" t="str">
        <f>Lange!C8</f>
        <v>Goss</v>
      </c>
      <c r="L8" s="213">
        <f ca="1">VLOOKUP(K8,Score!$B$2:$X$71,23,0)</f>
        <v>40.082059832191149</v>
      </c>
      <c r="M8" s="217" t="str">
        <f>Niet!C8</f>
        <v>Gilbert</v>
      </c>
      <c r="N8" s="213">
        <f ca="1">VLOOKUP(M8,Score!$B$2:$X$71,23,0)</f>
        <v>57.057713477853518</v>
      </c>
      <c r="O8" s="217" t="str">
        <f>Ami!C8</f>
        <v>Van den Broeck</v>
      </c>
      <c r="P8" s="213">
        <f ca="1">VLOOKUP(O8,Score!$B$2:$X$71,23,0)</f>
        <v>7.1757033581430194E-2</v>
      </c>
      <c r="Q8" s="217" t="str">
        <f>IJff!C8</f>
        <v>Evans</v>
      </c>
      <c r="R8" s="213">
        <f ca="1">VLOOKUP(Q8,Score!$B$2:$X$71,23,0)</f>
        <v>51.021169213014936</v>
      </c>
      <c r="S8" s="217" t="str">
        <f>Sale!C8</f>
        <v>Greipel</v>
      </c>
      <c r="T8" s="213">
        <f ca="1">VLOOKUP(S8,Score!$B$2:$X$71,23,0)</f>
        <v>182.06317957119913</v>
      </c>
      <c r="U8" s="217" t="str">
        <f>Gran!C8</f>
        <v>Boasson Hagen</v>
      </c>
      <c r="V8" s="213">
        <f ca="1">VLOOKUP(U8,Score!$B$2:$X$71,23,0)</f>
        <v>140.0384494884392</v>
      </c>
    </row>
    <row r="9" spans="1:22" s="29" customFormat="1">
      <c r="A9" s="29" t="str">
        <f>Lothar!C9</f>
        <v>Van den Broeck</v>
      </c>
      <c r="B9" s="213">
        <f ca="1">VLOOKUP(A9,Score!$B$2:$X$71,23,0)</f>
        <v>7.1757033581430194E-2</v>
      </c>
      <c r="C9" s="255" t="str">
        <f>SVU!C9</f>
        <v>Contador</v>
      </c>
      <c r="D9" s="213">
        <f ca="1">VLOOKUP(C9,Score!$B$2:$X$71,23,0)</f>
        <v>246.03439923877079</v>
      </c>
      <c r="E9" s="217" t="str">
        <f>Tour!C9</f>
        <v>Evans</v>
      </c>
      <c r="F9" s="213">
        <f ca="1">VLOOKUP(E9,Score!$B$2:$X$71,23,0)</f>
        <v>51.021169213014936</v>
      </c>
      <c r="G9" s="217" t="str">
        <f>Tin!C9</f>
        <v>Schleck</v>
      </c>
      <c r="H9" s="213">
        <f ca="1">VLOOKUP(G9,Score!$B$2:$X$71,23,0)</f>
        <v>25.033760710343135</v>
      </c>
      <c r="I9" s="217" t="str">
        <f>Selfkant!C9</f>
        <v>Goss</v>
      </c>
      <c r="J9" s="213">
        <f ca="1">VLOOKUP(I9,Score!$B$2:$X$71,23,0)</f>
        <v>40.082059832191149</v>
      </c>
      <c r="K9" s="217" t="str">
        <f>Lange!C9</f>
        <v>Boasson Hagen</v>
      </c>
      <c r="L9" s="213">
        <f ca="1">VLOOKUP(K9,Score!$B$2:$X$71,23,0)</f>
        <v>140.0384494884392</v>
      </c>
      <c r="M9" s="217" t="str">
        <f>Niet!C9</f>
        <v>Martin</v>
      </c>
      <c r="N9" s="213">
        <f ca="1">VLOOKUP(M9,Score!$B$2:$X$71,23,0)</f>
        <v>35.039478995895109</v>
      </c>
      <c r="O9" s="217" t="str">
        <f>Ami!C9</f>
        <v>Contador</v>
      </c>
      <c r="P9" s="213">
        <f ca="1">VLOOKUP(O9,Score!$B$2:$X$71,23,0)</f>
        <v>246.03439923877079</v>
      </c>
      <c r="Q9" s="217" t="str">
        <f>IJff!C9</f>
        <v>Mollema</v>
      </c>
      <c r="R9" s="213">
        <f ca="1">VLOOKUP(Q9,Score!$B$2:$X$71,23,0)</f>
        <v>228.02636749003295</v>
      </c>
      <c r="S9" s="217" t="str">
        <f>Sale!C9</f>
        <v>Evans</v>
      </c>
      <c r="T9" s="213">
        <f ca="1">VLOOKUP(S9,Score!$B$2:$X$71,23,0)</f>
        <v>51.021169213014936</v>
      </c>
      <c r="U9" s="217" t="str">
        <f>Gran!C9</f>
        <v>Kittel</v>
      </c>
      <c r="V9" s="213">
        <f ca="1">VLOOKUP(U9,Score!$B$2:$X$71,23,0)</f>
        <v>215.03639114680371</v>
      </c>
    </row>
    <row r="10" spans="1:22" s="29" customFormat="1">
      <c r="A10" s="29" t="str">
        <f>Lothar!C10</f>
        <v>Rodriguez</v>
      </c>
      <c r="B10" s="213">
        <f ca="1">VLOOKUP(A10,Score!$B$2:$X$71,23,0)</f>
        <v>192.0566689427263</v>
      </c>
      <c r="C10" s="255" t="str">
        <f>SVU!C10</f>
        <v>Froome</v>
      </c>
      <c r="D10" s="213">
        <f ca="1">VLOOKUP(C10,Score!$B$2:$X$71,23,0)</f>
        <v>426.12241934377164</v>
      </c>
      <c r="E10" s="217" t="str">
        <f>Tour!C10</f>
        <v>Contador</v>
      </c>
      <c r="F10" s="213">
        <f ca="1">VLOOKUP(E10,Score!$B$2:$X$71,23,0)</f>
        <v>246.03439923877079</v>
      </c>
      <c r="G10" s="217" t="str">
        <f>Tin!C10</f>
        <v>Degenkolb</v>
      </c>
      <c r="H10" s="213">
        <f ca="1">VLOOKUP(G10,Score!$B$2:$X$71,23,0)</f>
        <v>50.021827554188746</v>
      </c>
      <c r="I10" s="217" t="str">
        <f>Selfkant!C10</f>
        <v>Sagan</v>
      </c>
      <c r="J10" s="213">
        <f ca="1">VLOOKUP(I10,Score!$B$2:$X$71,23,0)</f>
        <v>358.0432292140211</v>
      </c>
      <c r="K10" s="217" t="str">
        <f>Lange!C10</f>
        <v>Bouhanni</v>
      </c>
      <c r="L10" s="213">
        <f ca="1">VLOOKUP(K10,Score!$B$2:$X$71,23,0)</f>
        <v>5.9640381353343132E-2</v>
      </c>
      <c r="M10" s="217" t="str">
        <f>Niet!C10</f>
        <v>Evans</v>
      </c>
      <c r="N10" s="213">
        <f ca="1">VLOOKUP(M10,Score!$B$2:$X$71,23,0)</f>
        <v>51.021169213014936</v>
      </c>
      <c r="O10" s="217" t="str">
        <f>Ami!C10</f>
        <v>Rodriguez</v>
      </c>
      <c r="P10" s="213">
        <f ca="1">VLOOKUP(O10,Score!$B$2:$X$71,23,0)</f>
        <v>192.0566689427263</v>
      </c>
      <c r="Q10" s="217" t="str">
        <f>IJff!C10</f>
        <v>van den Broeck</v>
      </c>
      <c r="R10" s="213">
        <f ca="1">VLOOKUP(Q10,Score!$B$2:$X$71,23,0)</f>
        <v>7.1757033581430194E-2</v>
      </c>
      <c r="S10" s="217" t="str">
        <f>Sale!C10</f>
        <v>Rolland</v>
      </c>
      <c r="T10" s="213">
        <f ca="1">VLOOKUP(S10,Score!$B$2:$X$71,23,0)</f>
        <v>86.073730340652403</v>
      </c>
      <c r="U10" s="217" t="str">
        <f>Gran!C10</f>
        <v>Pinot</v>
      </c>
      <c r="V10" s="213">
        <f ca="1">VLOOKUP(U10,Score!$B$2:$X$71,23,0)</f>
        <v>4.3302010906342864E-2</v>
      </c>
    </row>
    <row r="11" spans="1:22" s="29" customFormat="1">
      <c r="A11" s="29" t="str">
        <f>Lothar!C11</f>
        <v>Porte</v>
      </c>
      <c r="B11" s="213">
        <f ca="1">VLOOKUP(A11,Score!$B$2:$X$71,23,0)</f>
        <v>153.00369780591399</v>
      </c>
      <c r="C11" s="255" t="str">
        <f>SVU!C11</f>
        <v>Porte</v>
      </c>
      <c r="D11" s="213">
        <f ca="1">VLOOKUP(C11,Score!$B$2:$X$71,23,0)</f>
        <v>153.00369780591399</v>
      </c>
      <c r="E11" s="217" t="str">
        <f>Tour!C11</f>
        <v>Rodriguez</v>
      </c>
      <c r="F11" s="213">
        <f ca="1">VLOOKUP(E11,Score!$B$2:$X$71,23,0)</f>
        <v>192.0566689427263</v>
      </c>
      <c r="G11" s="217" t="str">
        <f>Tin!C11</f>
        <v>Kittel</v>
      </c>
      <c r="H11" s="213">
        <f ca="1">VLOOKUP(G11,Score!$B$2:$X$71,23,0)</f>
        <v>215.03639114680371</v>
      </c>
      <c r="I11" s="217" t="str">
        <f>Selfkant!C11</f>
        <v>Porte</v>
      </c>
      <c r="J11" s="213">
        <f ca="1">VLOOKUP(I11,Score!$B$2:$X$71,23,0)</f>
        <v>153.00369780591399</v>
      </c>
      <c r="K11" s="217" t="str">
        <f>Lange!C11</f>
        <v>Froome</v>
      </c>
      <c r="L11" s="213">
        <f ca="1">VLOOKUP(K11,Score!$B$2:$X$71,23,0)</f>
        <v>426.12241934377164</v>
      </c>
      <c r="M11" s="217" t="str">
        <f>Niet!C11</f>
        <v>Schleck</v>
      </c>
      <c r="N11" s="213">
        <f ca="1">VLOOKUP(M11,Score!$B$2:$X$71,23,0)</f>
        <v>25.033760710343135</v>
      </c>
      <c r="O11" s="217" t="str">
        <f>Ami!C11</f>
        <v>Cavendish</v>
      </c>
      <c r="P11" s="213">
        <f ca="1">VLOOKUP(O11,Score!$B$2:$X$71,23,0)</f>
        <v>235.05530299944562</v>
      </c>
      <c r="Q11" s="217" t="str">
        <f>IJff!C11</f>
        <v>de Gendt</v>
      </c>
      <c r="R11" s="213">
        <f ca="1">VLOOKUP(Q11,Score!$B$2:$X$71,23,0)</f>
        <v>50.020598049338275</v>
      </c>
      <c r="S11" s="217" t="str">
        <f>Sale!C11</f>
        <v>Pinot</v>
      </c>
      <c r="T11" s="213">
        <f ca="1">VLOOKUP(S11,Score!$B$2:$X$71,23,0)</f>
        <v>4.3302010906342864E-2</v>
      </c>
      <c r="U11" s="217" t="str">
        <f>Gran!C11</f>
        <v>Porte</v>
      </c>
      <c r="V11" s="213">
        <f ca="1">VLOOKUP(U11,Score!$B$2:$X$71,23,0)</f>
        <v>153.00369780591399</v>
      </c>
    </row>
    <row r="12" spans="1:22" s="29" customFormat="1">
      <c r="A12" s="29" t="str">
        <f>Lothar!C12</f>
        <v>Schleck</v>
      </c>
      <c r="B12" s="213">
        <f ca="1">VLOOKUP(A12,Score!$B$2:$X$71,23,0)</f>
        <v>25.033760710343135</v>
      </c>
      <c r="C12" s="255" t="str">
        <f>SVU!C12</f>
        <v>Boasson Hagen</v>
      </c>
      <c r="D12" s="213">
        <f ca="1">VLOOKUP(C12,Score!$B$2:$X$71,23,0)</f>
        <v>140.0384494884392</v>
      </c>
      <c r="E12" s="217" t="str">
        <f>Tour!C12</f>
        <v>Valverde</v>
      </c>
      <c r="F12" s="213">
        <f ca="1">VLOOKUP(E12,Score!$B$2:$X$71,23,0)</f>
        <v>199.03813897272573</v>
      </c>
      <c r="G12" s="217" t="str">
        <f>Tin!C12</f>
        <v>Contador</v>
      </c>
      <c r="H12" s="213">
        <f ca="1">VLOOKUP(G12,Score!$B$2:$X$71,23,0)</f>
        <v>246.03439923877079</v>
      </c>
      <c r="I12" s="217" t="str">
        <f>Selfkant!C12</f>
        <v>Pinot</v>
      </c>
      <c r="J12" s="213">
        <f ca="1">VLOOKUP(I12,Score!$B$2:$X$71,23,0)</f>
        <v>4.3302010906342864E-2</v>
      </c>
      <c r="K12" s="217" t="str">
        <f>Lange!C12</f>
        <v>Contador</v>
      </c>
      <c r="L12" s="213">
        <f ca="1">VLOOKUP(K12,Score!$B$2:$X$71,23,0)</f>
        <v>246.03439923877079</v>
      </c>
      <c r="M12" s="217" t="str">
        <f>Niet!C12</f>
        <v>Boasson Hagen</v>
      </c>
      <c r="N12" s="213">
        <f ca="1">VLOOKUP(M12,Score!$B$2:$X$71,23,0)</f>
        <v>140.0384494884392</v>
      </c>
      <c r="O12" s="217" t="str">
        <f>Ami!C12</f>
        <v>Sagan</v>
      </c>
      <c r="P12" s="213">
        <f ca="1">VLOOKUP(O12,Score!$B$2:$X$71,23,0)</f>
        <v>358.0432292140211</v>
      </c>
      <c r="Q12" s="217" t="str">
        <f>IJff!C12</f>
        <v>Cavendish</v>
      </c>
      <c r="R12" s="213">
        <f ca="1">VLOOKUP(Q12,Score!$B$2:$X$71,23,0)</f>
        <v>235.05530299944562</v>
      </c>
      <c r="S12" s="217" t="str">
        <f>Sale!C12</f>
        <v>Bouhanni</v>
      </c>
      <c r="T12" s="213">
        <f ca="1">VLOOKUP(S12,Score!$B$2:$X$71,23,0)</f>
        <v>5.9640381353343132E-2</v>
      </c>
      <c r="U12" s="217" t="str">
        <f>Gran!C12</f>
        <v>Rodriguez</v>
      </c>
      <c r="V12" s="213">
        <f ca="1">VLOOKUP(U12,Score!$B$2:$X$71,23,0)</f>
        <v>192.0566689427263</v>
      </c>
    </row>
    <row r="13" spans="1:22" s="29" customFormat="1">
      <c r="A13" s="29" t="str">
        <f>Lothar!C13</f>
        <v>Boasson Hagen</v>
      </c>
      <c r="B13" s="213">
        <f ca="1">VLOOKUP(A13,Score!$B$2:$X$71,23,0)</f>
        <v>140.0384494884392</v>
      </c>
      <c r="C13" s="255" t="str">
        <f>SVU!C13</f>
        <v>Van Den Broeck</v>
      </c>
      <c r="D13" s="213">
        <f ca="1">VLOOKUP(C13,Score!$B$2:$X$71,23,0)</f>
        <v>7.1757033581430194E-2</v>
      </c>
      <c r="E13" s="217" t="str">
        <f>Tour!C13</f>
        <v>Quintana</v>
      </c>
      <c r="F13" s="213">
        <f ca="1">VLOOKUP(E13,Score!$B$2:$X$71,23,0)</f>
        <v>258.03872972464353</v>
      </c>
      <c r="G13" s="217" t="str">
        <f>Tin!C13</f>
        <v>Sagan</v>
      </c>
      <c r="H13" s="213">
        <f ca="1">VLOOKUP(G13,Score!$B$2:$X$71,23,0)</f>
        <v>358.0432292140211</v>
      </c>
      <c r="I13" s="217" t="str">
        <f>Selfkant!C13</f>
        <v>Boasson Hagen</v>
      </c>
      <c r="J13" s="213">
        <f ca="1">VLOOKUP(I13,Score!$B$2:$X$71,23,0)</f>
        <v>140.0384494884392</v>
      </c>
      <c r="K13" s="217" t="str">
        <f>Lange!C13</f>
        <v>van Garderen</v>
      </c>
      <c r="L13" s="213">
        <f ca="1">VLOOKUP(K13,Score!$B$2:$X$71,23,0)</f>
        <v>57.013560907379969</v>
      </c>
      <c r="M13" s="275" t="str">
        <f>Niet!C13</f>
        <v>Thomas</v>
      </c>
      <c r="N13" s="213">
        <f ca="1">VLOOKUP(M13,Score!$B$2:$X$71,23,0)</f>
        <v>1.862319547159965E-2</v>
      </c>
      <c r="O13" s="217" t="str">
        <f>Ami!C13</f>
        <v>Greipel</v>
      </c>
      <c r="P13" s="213">
        <f ca="1">VLOOKUP(O13,Score!$B$2:$X$71,23,0)</f>
        <v>182.06317957119913</v>
      </c>
      <c r="Q13" s="217" t="str">
        <f>IJff!C13</f>
        <v>Greipel</v>
      </c>
      <c r="R13" s="213">
        <f ca="1">VLOOKUP(Q13,Score!$B$2:$X$71,23,0)</f>
        <v>182.06317957119913</v>
      </c>
      <c r="S13" s="217" t="str">
        <f>Sale!C13</f>
        <v>Contador</v>
      </c>
      <c r="T13" s="213">
        <f ca="1">VLOOKUP(S13,Score!$B$2:$X$71,23,0)</f>
        <v>246.03439923877079</v>
      </c>
      <c r="U13" s="217" t="str">
        <f>Gran!C13</f>
        <v>Fuglsang</v>
      </c>
      <c r="V13" s="213">
        <f ca="1">VLOOKUP(U13,Score!$B$2:$X$71,23,0)</f>
        <v>167.04814423751847</v>
      </c>
    </row>
    <row r="14" spans="1:22" s="29" customFormat="1">
      <c r="A14" s="29" t="str">
        <f>Lothar!C14</f>
        <v>Bouhanni</v>
      </c>
      <c r="B14" s="213">
        <f ca="1">VLOOKUP(A14,Score!$B$2:$X$71,23,0)</f>
        <v>5.9640381353343132E-2</v>
      </c>
      <c r="C14" s="255" t="str">
        <f>SVU!C14</f>
        <v>Greipel</v>
      </c>
      <c r="D14" s="213">
        <f ca="1">VLOOKUP(C14,Score!$B$2:$X$71,23,0)</f>
        <v>182.06317957119913</v>
      </c>
      <c r="E14" s="217" t="str">
        <f>Tour!C14</f>
        <v>Cavendish</v>
      </c>
      <c r="F14" s="213">
        <f ca="1">VLOOKUP(E14,Score!$B$2:$X$71,23,0)</f>
        <v>235.05530299944562</v>
      </c>
      <c r="G14" s="217" t="str">
        <f>Tin!C14</f>
        <v>Pinot</v>
      </c>
      <c r="H14" s="213">
        <f ca="1">VLOOKUP(G14,Score!$B$2:$X$71,23,0)</f>
        <v>4.3302010906342864E-2</v>
      </c>
      <c r="I14" s="217" t="str">
        <f>Selfkant!C14</f>
        <v>Kristoff</v>
      </c>
      <c r="J14" s="213">
        <f ca="1">VLOOKUP(I14,Score!$B$2:$X$71,23,0)</f>
        <v>174.08804469639509</v>
      </c>
      <c r="K14" s="217" t="str">
        <f>Lange!C14</f>
        <v>Mollema</v>
      </c>
      <c r="L14" s="213">
        <f ca="1">VLOOKUP(K14,Score!$B$2:$X$71,23,0)</f>
        <v>228.02636749003295</v>
      </c>
      <c r="M14" s="217" t="str">
        <f>Niet!C14</f>
        <v>Van den Broeck</v>
      </c>
      <c r="N14" s="213">
        <f ca="1">VLOOKUP(M14,Score!$B$2:$X$71,23,0)</f>
        <v>7.1757033581430194E-2</v>
      </c>
      <c r="O14" s="217" t="str">
        <f>Ami!C14</f>
        <v>Chavanel</v>
      </c>
      <c r="P14" s="213">
        <f ca="1">VLOOKUP(O14,Score!$B$2:$X$71,23,0)</f>
        <v>68.003529941298964</v>
      </c>
      <c r="Q14" s="217" t="str">
        <f>IJff!C14</f>
        <v>Kittel</v>
      </c>
      <c r="R14" s="213">
        <f ca="1">VLOOKUP(Q14,Score!$B$2:$X$71,23,0)</f>
        <v>215.03639114680371</v>
      </c>
      <c r="S14" s="217" t="str">
        <f>Sale!C14</f>
        <v>Rodriguez</v>
      </c>
      <c r="T14" s="213">
        <f ca="1">VLOOKUP(S14,Score!$B$2:$X$71,23,0)</f>
        <v>192.0566689427263</v>
      </c>
      <c r="U14" s="217" t="str">
        <f>Gran!C14</f>
        <v>Costa</v>
      </c>
      <c r="V14" s="213">
        <f ca="1">VLOOKUP(U14,Score!$B$2:$X$71,23,0)</f>
        <v>96.08445220095895</v>
      </c>
    </row>
    <row r="15" spans="1:22" s="29" customFormat="1">
      <c r="A15" s="29" t="str">
        <f>Lothar!C15</f>
        <v>Sagan</v>
      </c>
      <c r="B15" s="213">
        <f ca="1">VLOOKUP(A15,Score!$B$2:$X$71,23,0)</f>
        <v>358.0432292140211</v>
      </c>
      <c r="C15" s="255" t="str">
        <f>SVU!C15</f>
        <v>Rodriguez</v>
      </c>
      <c r="D15" s="213">
        <f ca="1">VLOOKUP(C15,Score!$B$2:$X$71,23,0)</f>
        <v>192.0566689427263</v>
      </c>
      <c r="E15" s="217" t="str">
        <f>Tour!C15</f>
        <v>Degenkolb</v>
      </c>
      <c r="F15" s="213">
        <f ca="1">VLOOKUP(E15,Score!$B$2:$X$71,23,0)</f>
        <v>50.021827554188746</v>
      </c>
      <c r="G15" s="217" t="str">
        <f>Tin!C15</f>
        <v>Cunego</v>
      </c>
      <c r="H15" s="213">
        <f ca="1">VLOOKUP(G15,Score!$B$2:$X$71,23,0)</f>
        <v>4.7162317516219555E-2</v>
      </c>
      <c r="I15" s="217" t="str">
        <f>Selfkant!C15</f>
        <v>Quintana</v>
      </c>
      <c r="J15" s="213">
        <f ca="1">VLOOKUP(I15,Score!$B$2:$X$71,23,0)</f>
        <v>258.03872972464353</v>
      </c>
      <c r="K15" s="217" t="str">
        <f>Lange!C15</f>
        <v>Quintana</v>
      </c>
      <c r="L15" s="213">
        <f ca="1">VLOOKUP(K15,Score!$B$2:$X$71,23,0)</f>
        <v>258.03872972464353</v>
      </c>
      <c r="M15" s="217" t="str">
        <f>Niet!C15</f>
        <v>Greipel</v>
      </c>
      <c r="N15" s="213">
        <f ca="1">VLOOKUP(M15,Score!$B$2:$X$71,23,0)</f>
        <v>182.06317957119913</v>
      </c>
      <c r="O15" s="217" t="str">
        <f>Ami!C15</f>
        <v>Kittel</v>
      </c>
      <c r="P15" s="213">
        <f ca="1">VLOOKUP(O15,Score!$B$2:$X$71,23,0)</f>
        <v>215.03639114680371</v>
      </c>
      <c r="Q15" s="217" t="str">
        <f>IJff!C15</f>
        <v>Sagan</v>
      </c>
      <c r="R15" s="213">
        <f ca="1">VLOOKUP(Q15,Score!$B$2:$X$71,23,0)</f>
        <v>358.0432292140211</v>
      </c>
      <c r="S15" s="217" t="str">
        <f>Sale!C15</f>
        <v>Kristoff</v>
      </c>
      <c r="T15" s="213">
        <f ca="1">VLOOKUP(S15,Score!$B$2:$X$71,23,0)</f>
        <v>174.08804469639509</v>
      </c>
      <c r="U15" s="217" t="str">
        <f>Gran!C15</f>
        <v>Rojas</v>
      </c>
      <c r="V15" s="213">
        <f ca="1">VLOOKUP(U15,Score!$B$2:$X$71,23,0)</f>
        <v>146.03406911491356</v>
      </c>
    </row>
    <row r="16" spans="1:22" s="29" customFormat="1">
      <c r="A16" s="29" t="str">
        <f>Lothar!C16</f>
        <v>Rojas</v>
      </c>
      <c r="B16" s="213">
        <f ca="1">VLOOKUP(A16,Score!$B$2:$X$71,23,0)</f>
        <v>146.03406911491356</v>
      </c>
      <c r="C16" s="255" t="str">
        <f>SVU!C16</f>
        <v>Evans</v>
      </c>
      <c r="D16" s="213">
        <f ca="1">VLOOKUP(C16,Score!$B$2:$X$71,23,0)</f>
        <v>51.021169213014936</v>
      </c>
      <c r="E16" s="217" t="str">
        <f>Tour!C16</f>
        <v>Kittel</v>
      </c>
      <c r="F16" s="213">
        <f ca="1">VLOOKUP(E16,Score!$B$2:$X$71,23,0)</f>
        <v>215.03639114680371</v>
      </c>
      <c r="G16" s="217" t="str">
        <f>Tin!C16</f>
        <v>Cavendish</v>
      </c>
      <c r="H16" s="213">
        <f ca="1">VLOOKUP(G16,Score!$B$2:$X$71,23,0)</f>
        <v>235.05530299944562</v>
      </c>
      <c r="I16" s="217" t="str">
        <f>Selfkant!C16</f>
        <v>Valverde</v>
      </c>
      <c r="J16" s="213">
        <f ca="1">VLOOKUP(I16,Score!$B$2:$X$71,23,0)</f>
        <v>199.03813897272573</v>
      </c>
      <c r="K16" s="217" t="str">
        <f>Lange!C16</f>
        <v>Rodriguez</v>
      </c>
      <c r="L16" s="213">
        <f ca="1">VLOOKUP(K16,Score!$B$2:$X$71,23,0)</f>
        <v>192.0566689427263</v>
      </c>
      <c r="M16" s="217" t="str">
        <f>Niet!C16</f>
        <v>Rojas</v>
      </c>
      <c r="N16" s="213">
        <f ca="1">VLOOKUP(M16,Score!$B$2:$X$71,23,0)</f>
        <v>146.03406911491356</v>
      </c>
      <c r="O16" s="217" t="str">
        <f>Ami!C16</f>
        <v>Pinot</v>
      </c>
      <c r="P16" s="213">
        <f ca="1">VLOOKUP(O16,Score!$B$2:$X$71,23,0)</f>
        <v>4.3302010906342864E-2</v>
      </c>
      <c r="Q16" s="217" t="str">
        <f>IJff!C16</f>
        <v>Degenkolb</v>
      </c>
      <c r="R16" s="213">
        <f ca="1">VLOOKUP(Q16,Score!$B$2:$X$71,23,0)</f>
        <v>50.021827554188746</v>
      </c>
      <c r="S16" s="217" t="str">
        <f>Sale!C16</f>
        <v>Valverde</v>
      </c>
      <c r="T16" s="213">
        <f ca="1">VLOOKUP(S16,Score!$B$2:$X$71,23,0)</f>
        <v>199.03813897272573</v>
      </c>
      <c r="U16" s="217" t="str">
        <f>Gran!C16</f>
        <v>Martin</v>
      </c>
      <c r="V16" s="213">
        <f ca="1">VLOOKUP(U16,Score!$B$2:$X$71,23,0)</f>
        <v>35.039478995895109</v>
      </c>
    </row>
    <row r="17" spans="1:22" s="29" customFormat="1">
      <c r="A17" s="29" t="str">
        <f>Lothar!C17</f>
        <v>Greipel</v>
      </c>
      <c r="B17" s="213">
        <f ca="1">VLOOKUP(A17,Score!$B$2:$X$71,23,0)</f>
        <v>182.06317957119913</v>
      </c>
      <c r="C17" s="255" t="str">
        <f>SVU!C17</f>
        <v>Van Garderen</v>
      </c>
      <c r="D17" s="213">
        <f ca="1">VLOOKUP(C17,Score!$B$2:$X$71,23,0)</f>
        <v>57.013560907379969</v>
      </c>
      <c r="E17" s="217" t="str">
        <f>Tour!C17</f>
        <v>Voeckler</v>
      </c>
      <c r="F17" s="213">
        <f ca="1">VLOOKUP(E17,Score!$B$2:$X$71,23,0)</f>
        <v>7.0938598347537409</v>
      </c>
      <c r="G17" s="217" t="str">
        <f>Tin!C17</f>
        <v>Froome</v>
      </c>
      <c r="H17" s="213">
        <f ca="1">VLOOKUP(G17,Score!$B$2:$X$71,23,0)</f>
        <v>426.12241934377164</v>
      </c>
      <c r="I17" s="217" t="str">
        <f>Selfkant!C17</f>
        <v>Talansky</v>
      </c>
      <c r="J17" s="213">
        <f ca="1">VLOOKUP(I17,Score!$B$2:$X$71,23,0)</f>
        <v>101.0868892430544</v>
      </c>
      <c r="K17" s="217" t="str">
        <f>Lange!C17</f>
        <v>Pinot</v>
      </c>
      <c r="L17" s="213">
        <f ca="1">VLOOKUP(K17,Score!$B$2:$X$71,23,0)</f>
        <v>4.3302010906342864E-2</v>
      </c>
      <c r="M17" s="217" t="str">
        <f>Niet!C17</f>
        <v>Cavendish</v>
      </c>
      <c r="N17" s="213">
        <f ca="1">VLOOKUP(M17,Score!$B$2:$X$71,23,0)</f>
        <v>235.05530299944562</v>
      </c>
      <c r="O17" s="217" t="str">
        <f>Ami!C17</f>
        <v>Brajkovic</v>
      </c>
      <c r="P17" s="213">
        <f ca="1">VLOOKUP(O17,Score!$B$2:$X$71,23,0)</f>
        <v>5.7564153415816575E-2</v>
      </c>
      <c r="Q17" s="217" t="str">
        <f>IJff!C17</f>
        <v>Bouhanni</v>
      </c>
      <c r="R17" s="213">
        <f ca="1">VLOOKUP(Q17,Score!$B$2:$X$71,23,0)</f>
        <v>5.9640381353343132E-2</v>
      </c>
      <c r="S17" s="217" t="str">
        <f>Sale!C17</f>
        <v>Cavendish</v>
      </c>
      <c r="T17" s="213">
        <f ca="1">VLOOKUP(S17,Score!$B$2:$X$71,23,0)</f>
        <v>235.05530299944562</v>
      </c>
      <c r="U17" s="217" t="str">
        <f>Gran!C17</f>
        <v>Goss</v>
      </c>
      <c r="V17" s="213">
        <f ca="1">VLOOKUP(U17,Score!$B$2:$X$71,23,0)</f>
        <v>40.082059832191149</v>
      </c>
    </row>
    <row r="18" spans="1:22" s="29" customFormat="1">
      <c r="A18" s="29" t="str">
        <f>Lothar!C18</f>
        <v>Goss</v>
      </c>
      <c r="B18" s="213">
        <f ca="1">VLOOKUP(A18,Score!$B$2:$X$71,23,0)</f>
        <v>40.082059832191149</v>
      </c>
      <c r="C18" s="255" t="str">
        <f>SVU!C18</f>
        <v>Valverde</v>
      </c>
      <c r="D18" s="213">
        <f ca="1">VLOOKUP(C18,Score!$B$2:$X$71,23,0)</f>
        <v>199.03813897272573</v>
      </c>
      <c r="E18" s="217" t="str">
        <f>Tour!C18</f>
        <v>van Garderen</v>
      </c>
      <c r="F18" s="213">
        <f ca="1">VLOOKUP(E18,Score!$B$2:$X$71,23,0)</f>
        <v>57.013560907379969</v>
      </c>
      <c r="G18" s="217" t="str">
        <f>Tin!C18</f>
        <v>Porte</v>
      </c>
      <c r="H18" s="213">
        <f ca="1">VLOOKUP(G18,Score!$B$2:$X$71,23,0)</f>
        <v>153.00369780591399</v>
      </c>
      <c r="I18" s="217" t="str">
        <f>Selfkant!C18</f>
        <v>Froome</v>
      </c>
      <c r="J18" s="213">
        <f ca="1">VLOOKUP(I18,Score!$B$2:$X$71,23,0)</f>
        <v>426.12241934377164</v>
      </c>
      <c r="K18" s="217" t="str">
        <f>Lange!C18</f>
        <v>Rolland</v>
      </c>
      <c r="L18" s="213">
        <f ca="1">VLOOKUP(K18,Score!$B$2:$X$71,23,0)</f>
        <v>86.073730340652403</v>
      </c>
      <c r="M18" s="217" t="str">
        <f>Niet!C18</f>
        <v>Degenkolb</v>
      </c>
      <c r="N18" s="213">
        <f ca="1">VLOOKUP(M18,Score!$B$2:$X$71,23,0)</f>
        <v>50.021827554188746</v>
      </c>
      <c r="O18" s="217" t="str">
        <f>Ami!C18</f>
        <v>Hesjedal</v>
      </c>
      <c r="P18" s="213">
        <f ca="1">VLOOKUP(O18,Score!$B$2:$X$71,23,0)</f>
        <v>5.6205229526326873E-2</v>
      </c>
      <c r="Q18" s="217" t="str">
        <f>IJff!C18</f>
        <v>Martin</v>
      </c>
      <c r="R18" s="213">
        <f ca="1">VLOOKUP(Q18,Score!$B$2:$X$71,23,0)</f>
        <v>35.039478995895109</v>
      </c>
      <c r="S18" s="217" t="str">
        <f>Sale!C18</f>
        <v>Goss</v>
      </c>
      <c r="T18" s="213">
        <f ca="1">VLOOKUP(S18,Score!$B$2:$X$71,23,0)</f>
        <v>40.082059832191149</v>
      </c>
      <c r="U18" s="217" t="str">
        <f>Gran!C18</f>
        <v>van Garderen</v>
      </c>
      <c r="V18" s="213">
        <f ca="1">VLOOKUP(U18,Score!$B$2:$X$71,23,0)</f>
        <v>57.013560907379969</v>
      </c>
    </row>
    <row r="19" spans="1:22" s="29" customFormat="1">
      <c r="A19" s="29" t="str">
        <f>Lothar!C19</f>
        <v>Kittel</v>
      </c>
      <c r="B19" s="213">
        <f ca="1">VLOOKUP(A19,Score!$B$2:$X$71,23,0)</f>
        <v>215.03639114680371</v>
      </c>
      <c r="C19" s="255" t="str">
        <f>SVU!C19</f>
        <v>Rolland</v>
      </c>
      <c r="D19" s="213">
        <f ca="1">VLOOKUP(C19,Score!$B$2:$X$71,23,0)</f>
        <v>86.073730340652403</v>
      </c>
      <c r="E19" s="217" t="str">
        <f>Tour!C19</f>
        <v>Goss</v>
      </c>
      <c r="F19" s="213">
        <f ca="1">VLOOKUP(E19,Score!$B$2:$X$71,23,0)</f>
        <v>40.082059832191149</v>
      </c>
      <c r="G19" s="217" t="str">
        <f>Tin!C19</f>
        <v>Greipel</v>
      </c>
      <c r="H19" s="213">
        <f ca="1">VLOOKUP(G19,Score!$B$2:$X$71,23,0)</f>
        <v>182.06317957119913</v>
      </c>
      <c r="I19" s="217" t="str">
        <f>Selfkant!C19</f>
        <v>Contador</v>
      </c>
      <c r="J19" s="213">
        <f ca="1">VLOOKUP(I19,Score!$B$2:$X$71,23,0)</f>
        <v>246.03439923877079</v>
      </c>
      <c r="K19" s="217" t="str">
        <f>Lange!C19</f>
        <v>Porte</v>
      </c>
      <c r="L19" s="213">
        <f ca="1">VLOOKUP(K19,Score!$B$2:$X$71,23,0)</f>
        <v>153.00369780591399</v>
      </c>
      <c r="M19" s="217" t="str">
        <f>Niet!C19</f>
        <v>Kittel</v>
      </c>
      <c r="N19" s="213">
        <f ca="1">VLOOKUP(M19,Score!$B$2:$X$71,23,0)</f>
        <v>215.03639114680371</v>
      </c>
      <c r="O19" s="217" t="str">
        <f>Ami!C19</f>
        <v>Evans</v>
      </c>
      <c r="P19" s="213">
        <f ca="1">VLOOKUP(O19,Score!$B$2:$X$71,23,0)</f>
        <v>51.021169213014936</v>
      </c>
      <c r="Q19" s="217" t="str">
        <f>IJff!C19</f>
        <v>Boasson Hagen</v>
      </c>
      <c r="R19" s="213">
        <f ca="1">VLOOKUP(Q19,Score!$B$2:$X$71,23,0)</f>
        <v>140.0384494884392</v>
      </c>
      <c r="S19" s="217" t="str">
        <f>Sale!C19</f>
        <v>Degenkolb</v>
      </c>
      <c r="T19" s="213">
        <f ca="1">VLOOKUP(S19,Score!$B$2:$X$71,23,0)</f>
        <v>50.021827554188746</v>
      </c>
      <c r="U19" s="217" t="str">
        <f>Gran!C19</f>
        <v>Greipel</v>
      </c>
      <c r="V19" s="213">
        <f ca="1">VLOOKUP(U19,Score!$B$2:$X$71,23,0)</f>
        <v>182.06317957119913</v>
      </c>
    </row>
    <row r="20" spans="1:22" s="29" customFormat="1">
      <c r="A20" s="29" t="str">
        <f>Lothar!C20</f>
        <v>Cavendish</v>
      </c>
      <c r="B20" s="213">
        <f ca="1">VLOOKUP(A20,Score!$B$2:$X$71,23,0)</f>
        <v>235.05530299944562</v>
      </c>
      <c r="C20" s="255" t="str">
        <f>SVU!C20</f>
        <v>Hesjedal</v>
      </c>
      <c r="D20" s="213">
        <f ca="1">VLOOKUP(C20,Score!$B$2:$X$71,23,0)</f>
        <v>5.6205229526326873E-2</v>
      </c>
      <c r="E20" s="217" t="str">
        <f>Tour!C20</f>
        <v>Pinot</v>
      </c>
      <c r="F20" s="213">
        <f ca="1">VLOOKUP(E20,Score!$B$2:$X$71,23,0)</f>
        <v>4.3302010906342864E-2</v>
      </c>
      <c r="G20" s="217" t="str">
        <f>Tin!C20</f>
        <v>Goss</v>
      </c>
      <c r="H20" s="213">
        <f ca="1">VLOOKUP(G20,Score!$B$2:$X$71,23,0)</f>
        <v>40.082059832191149</v>
      </c>
      <c r="I20" s="217" t="str">
        <f>Selfkant!C20</f>
        <v>Rodriguez</v>
      </c>
      <c r="J20" s="213">
        <f ca="1">VLOOKUP(I20,Score!$B$2:$X$71,23,0)</f>
        <v>192.0566689427263</v>
      </c>
      <c r="K20" s="217" t="str">
        <f>Lange!C20</f>
        <v>Moreno</v>
      </c>
      <c r="L20" s="213">
        <f ca="1">VLOOKUP(K20,Score!$B$2:$X$71,23,0)</f>
        <v>46.076161928295825</v>
      </c>
      <c r="M20" s="217" t="str">
        <f>Niet!C20</f>
        <v>Anton</v>
      </c>
      <c r="N20" s="213">
        <f ca="1">VLOOKUP(M20,Score!$B$2:$X$71,23,0)</f>
        <v>25.096160674108475</v>
      </c>
      <c r="O20" s="217" t="str">
        <f>Ami!C20</f>
        <v>Zubeldia</v>
      </c>
      <c r="P20" s="213">
        <f ca="1">VLOOKUP(O20,Score!$B$2:$X$71,23,0)</f>
        <v>7.0911024644804375</v>
      </c>
      <c r="Q20" s="217" t="str">
        <f>IJff!C20</f>
        <v>Porte</v>
      </c>
      <c r="R20" s="213">
        <f ca="1">VLOOKUP(Q20,Score!$B$2:$X$71,23,0)</f>
        <v>153.00369780591399</v>
      </c>
      <c r="S20" s="217" t="str">
        <f>Sale!C20</f>
        <v>Kittel</v>
      </c>
      <c r="T20" s="213">
        <f ca="1">VLOOKUP(S20,Score!$B$2:$X$71,23,0)</f>
        <v>215.03639114680371</v>
      </c>
      <c r="U20" s="217" t="str">
        <f>Gran!C20</f>
        <v>Quintana</v>
      </c>
      <c r="V20" s="213">
        <f ca="1">VLOOKUP(U20,Score!$B$2:$X$71,23,0)</f>
        <v>258.03872972464353</v>
      </c>
    </row>
    <row r="21" spans="1:22">
      <c r="A21" s="31">
        <f>Lothar!C21</f>
        <v>0</v>
      </c>
      <c r="B21" s="213"/>
      <c r="C21" s="255">
        <f>SVU!C21</f>
        <v>0</v>
      </c>
      <c r="D21" s="213"/>
      <c r="E21" s="218">
        <f>Tour!C21</f>
        <v>0</v>
      </c>
      <c r="F21" s="213"/>
      <c r="G21" s="217">
        <f>Tin!C21</f>
        <v>0</v>
      </c>
      <c r="H21" s="213"/>
      <c r="I21" s="218">
        <f>Selfkant!C21</f>
        <v>0</v>
      </c>
      <c r="J21" s="213"/>
      <c r="K21" s="217">
        <f>Lange!C21</f>
        <v>0</v>
      </c>
      <c r="L21" s="213"/>
      <c r="M21" s="218">
        <f>Niet!C21</f>
        <v>0</v>
      </c>
      <c r="N21" s="213"/>
      <c r="O21" s="218">
        <f>Ami!C21</f>
        <v>0</v>
      </c>
      <c r="P21" s="213"/>
      <c r="Q21" s="218">
        <f>IJff!C21</f>
        <v>0</v>
      </c>
      <c r="R21" s="213"/>
      <c r="S21" s="217">
        <f>Sale!C21</f>
        <v>0</v>
      </c>
      <c r="T21" s="213"/>
      <c r="U21" s="217">
        <f>Gran!C21</f>
        <v>0</v>
      </c>
      <c r="V21" s="213"/>
    </row>
    <row r="22" spans="1:22" s="66" customFormat="1">
      <c r="A22" s="212">
        <f>Lothar!C22</f>
        <v>0</v>
      </c>
      <c r="B22" s="214">
        <f ca="1">SUM(B4:B21)</f>
        <v>2540.936509375992</v>
      </c>
      <c r="C22" s="256">
        <f>SVU!C22</f>
        <v>0</v>
      </c>
      <c r="D22" s="214">
        <f ca="1">SUM(D4:D21)</f>
        <v>2630.8321868343523</v>
      </c>
      <c r="E22" s="219">
        <f>Tour!C22</f>
        <v>0</v>
      </c>
      <c r="F22" s="214">
        <f ca="1">SUM(F4:F21)</f>
        <v>2809.8063858008954</v>
      </c>
      <c r="G22" s="257">
        <f>Tin!C22</f>
        <v>0</v>
      </c>
      <c r="H22" s="214">
        <f ca="1">SUM(H4:H21)</f>
        <v>2757.8178051311297</v>
      </c>
      <c r="I22" s="219">
        <f>Selfkant!C22</f>
        <v>0</v>
      </c>
      <c r="J22" s="214">
        <f ca="1">SUM(J4:J21)</f>
        <v>2969.9123701665499</v>
      </c>
      <c r="K22" s="257">
        <f>Lange!C22</f>
        <v>0</v>
      </c>
      <c r="L22" s="214">
        <f ca="1">SUM(L4:L21)</f>
        <v>2862.8672903665465</v>
      </c>
      <c r="M22" s="219">
        <f>Niet!C22</f>
        <v>0</v>
      </c>
      <c r="N22" s="214">
        <f ca="1">SUM(N4:N21)</f>
        <v>2390.8260699445473</v>
      </c>
      <c r="O22" s="219">
        <f>Ami!C22</f>
        <v>0</v>
      </c>
      <c r="P22" s="214">
        <f ca="1">SUM(P4:P21)</f>
        <v>2376.8463698715077</v>
      </c>
      <c r="Q22" s="219">
        <f>IJff!C22</f>
        <v>0</v>
      </c>
      <c r="R22" s="214">
        <f ca="1">SUM(R4:R21)</f>
        <v>2618.728137375876</v>
      </c>
      <c r="S22" s="217">
        <f>Sale!C22</f>
        <v>0</v>
      </c>
      <c r="T22" s="214">
        <f ca="1">SUM(T4:T21)</f>
        <v>2607.9149582976615</v>
      </c>
      <c r="U22" s="217">
        <f>Gran!C22</f>
        <v>0</v>
      </c>
      <c r="V22" s="214">
        <f ca="1">SUM(V4:V21)</f>
        <v>2946.8375347754982</v>
      </c>
    </row>
    <row r="23" spans="1:22" s="22" customFormat="1">
      <c r="A23" s="31">
        <f>Lothar!C23</f>
        <v>0</v>
      </c>
      <c r="B23" s="215"/>
      <c r="C23" s="255">
        <f>SVU!C23</f>
        <v>0</v>
      </c>
      <c r="D23" s="215"/>
      <c r="E23" s="218">
        <f>Tour!C23</f>
        <v>0</v>
      </c>
      <c r="F23" s="215"/>
      <c r="G23" s="217">
        <f>Tin!C23</f>
        <v>0</v>
      </c>
      <c r="H23" s="215"/>
      <c r="I23" s="218">
        <f>Selfkant!C23</f>
        <v>0</v>
      </c>
      <c r="J23" s="215"/>
      <c r="K23" s="217">
        <f>Lange!C23</f>
        <v>0</v>
      </c>
      <c r="L23" s="215"/>
      <c r="M23" s="218">
        <f>Niet!C23</f>
        <v>0</v>
      </c>
      <c r="N23" s="215"/>
      <c r="O23" s="218">
        <f>Ami!C23</f>
        <v>0</v>
      </c>
      <c r="P23" s="215"/>
      <c r="Q23" s="218">
        <f>IJff!C23</f>
        <v>0</v>
      </c>
      <c r="R23" s="215"/>
      <c r="S23" s="217">
        <f>Sale!C23</f>
        <v>0</v>
      </c>
      <c r="T23" s="215"/>
      <c r="U23" s="217">
        <f>Gran!C23</f>
        <v>0</v>
      </c>
      <c r="V23" s="215"/>
    </row>
    <row r="24" spans="1:22" s="31" customFormat="1">
      <c r="A24" s="31" t="str">
        <f>Lothar!C24</f>
        <v>Martin</v>
      </c>
      <c r="B24" s="216">
        <f ca="1">VLOOKUP(A24,Score!$B$2:$X$71,23,0)</f>
        <v>35.039478995895109</v>
      </c>
      <c r="C24" s="258" t="str">
        <f>SVU!C24</f>
        <v>Kreuziger</v>
      </c>
      <c r="D24" s="216">
        <f ca="1">VLOOKUP(C24,Score!$B$2:$X$71,23,0)</f>
        <v>239.052571719024</v>
      </c>
      <c r="E24" s="218" t="str">
        <f>Tour!C24</f>
        <v>van den Broeck</v>
      </c>
      <c r="F24" s="216">
        <f ca="1">VLOOKUP(E24,Score!$B$2:$X$71,23,0)</f>
        <v>7.1757033581430194E-2</v>
      </c>
      <c r="G24" s="218" t="str">
        <f>Tin!C24</f>
        <v>Martin</v>
      </c>
      <c r="H24" s="216">
        <f ca="1">VLOOKUP(G24,Score!$B$2:$X$71,23,0)</f>
        <v>35.039478995895109</v>
      </c>
      <c r="I24" s="218" t="str">
        <f>Selfkant!C24</f>
        <v>Voeckler</v>
      </c>
      <c r="J24" s="216">
        <f ca="1">VLOOKUP(I24,Score!$B$2:$X$71,23,0)</f>
        <v>7.0938598347537409</v>
      </c>
      <c r="K24" s="218" t="str">
        <f>Lange!C24</f>
        <v>Degenkolb</v>
      </c>
      <c r="L24" s="216">
        <f ca="1">VLOOKUP(K24,Score!$B$2:$X$71,23,0)</f>
        <v>50.021827554188746</v>
      </c>
      <c r="M24" s="218" t="str">
        <f>Niet!C24</f>
        <v>Hesjedal</v>
      </c>
      <c r="N24" s="216">
        <f ca="1">VLOOKUP(M24,Score!$B$2:$X$71,23,0)</f>
        <v>5.6205229526326873E-2</v>
      </c>
      <c r="O24" s="218" t="str">
        <f>Ami!C24</f>
        <v>Mollema</v>
      </c>
      <c r="P24" s="216">
        <f ca="1">VLOOKUP(O24,Score!$B$2:$X$71,23,0)</f>
        <v>228.02636749003295</v>
      </c>
      <c r="Q24" s="218" t="str">
        <f>IJff!C24</f>
        <v>Gilbert</v>
      </c>
      <c r="R24" s="216">
        <f ca="1">VLOOKUP(Q24,Score!$B$2:$X$71,23,0)</f>
        <v>57.057713477853518</v>
      </c>
      <c r="S24" s="217" t="str">
        <f>Sale!C24</f>
        <v>Voeckler</v>
      </c>
      <c r="T24" s="216">
        <f ca="1">VLOOKUP(S24,Score!$B$2:$X$71,23,0)</f>
        <v>7.0938598347537409</v>
      </c>
      <c r="U24" s="217" t="str">
        <f>Gran!C24</f>
        <v>Farrar</v>
      </c>
      <c r="V24" s="216" t="e">
        <f>VLOOKUP(U24,Score!$B$2:$X$71,23,0)</f>
        <v>#N/A</v>
      </c>
    </row>
    <row r="25" spans="1:22" s="31" customFormat="1">
      <c r="A25" s="31" t="str">
        <f>Lothar!C25</f>
        <v>Degenkolb</v>
      </c>
      <c r="B25" s="216">
        <f ca="1">VLOOKUP(A25,Score!$B$2:$X$71,23,0)</f>
        <v>50.021827554188746</v>
      </c>
      <c r="C25" s="258" t="str">
        <f>SVU!C25</f>
        <v>Pinot</v>
      </c>
      <c r="D25" s="216">
        <f ca="1">VLOOKUP(C25,Score!$B$2:$X$71,23,0)</f>
        <v>4.3302010906342864E-2</v>
      </c>
      <c r="E25" s="218" t="str">
        <f>Tour!C25</f>
        <v>Rolland</v>
      </c>
      <c r="F25" s="216">
        <f ca="1">VLOOKUP(E25,Score!$B$2:$X$71,23,0)</f>
        <v>86.073730340652403</v>
      </c>
      <c r="G25" s="218" t="str">
        <f>Tin!C25</f>
        <v>Steegmans</v>
      </c>
      <c r="H25" s="216">
        <f ca="1">VLOOKUP(G25,Score!$B$2:$X$71,23,0)</f>
        <v>22.050107362184164</v>
      </c>
      <c r="I25" s="218" t="str">
        <f>Selfkant!C25</f>
        <v>Evans</v>
      </c>
      <c r="J25" s="216">
        <f ca="1">VLOOKUP(I25,Score!$B$2:$X$71,23,0)</f>
        <v>51.021169213014936</v>
      </c>
      <c r="K25" s="218" t="str">
        <f>Lange!C25</f>
        <v>Talansky</v>
      </c>
      <c r="L25" s="216">
        <f ca="1">VLOOKUP(K25,Score!$B$2:$X$71,23,0)</f>
        <v>101.0868892430544</v>
      </c>
      <c r="M25" s="218" t="str">
        <f>Niet!C25</f>
        <v>Danielson</v>
      </c>
      <c r="N25" s="216">
        <f ca="1">VLOOKUP(M25,Score!$B$2:$X$71,23,0)</f>
        <v>2.9578753040095673E-2</v>
      </c>
      <c r="O25" s="218" t="str">
        <f>Ami!C25</f>
        <v>Gilbert</v>
      </c>
      <c r="P25" s="216">
        <f ca="1">VLOOKUP(O25,Score!$B$2:$X$71,23,0)</f>
        <v>57.057713477853518</v>
      </c>
      <c r="Q25" s="218" t="str">
        <f>IJff!C25</f>
        <v>Valverde</v>
      </c>
      <c r="R25" s="216">
        <f ca="1">VLOOKUP(Q25,Score!$B$2:$X$71,23,0)</f>
        <v>199.03813897272573</v>
      </c>
      <c r="S25" s="217" t="str">
        <f>Sale!C25</f>
        <v>Mollema</v>
      </c>
      <c r="T25" s="216">
        <f ca="1">VLOOKUP(S25,Score!$B$2:$X$71,23,0)</f>
        <v>228.02636749003295</v>
      </c>
      <c r="U25" s="217" t="str">
        <f>Gran!C25</f>
        <v>Evans</v>
      </c>
      <c r="V25" s="216">
        <f ca="1">VLOOKUP(U25,Score!$B$2:$X$71,23,0)</f>
        <v>51.021169213014936</v>
      </c>
    </row>
    <row r="26" spans="1:22" s="31" customFormat="1">
      <c r="A26" s="31" t="str">
        <f>Lothar!C26</f>
        <v>Valverde</v>
      </c>
      <c r="B26" s="216">
        <f ca="1">VLOOKUP(A26,Score!$B$2:$X$71,23,0)</f>
        <v>199.03813897272573</v>
      </c>
      <c r="C26" s="258" t="str">
        <f>SVU!C26</f>
        <v>Moreno</v>
      </c>
      <c r="D26" s="216">
        <f ca="1">VLOOKUP(C26,Score!$B$2:$X$71,23,0)</f>
        <v>46.076161928295825</v>
      </c>
      <c r="E26" s="218" t="str">
        <f>Tour!C26</f>
        <v>Martin</v>
      </c>
      <c r="F26" s="216">
        <f ca="1">VLOOKUP(E26,Score!$B$2:$X$71,23,0)</f>
        <v>35.039478995895109</v>
      </c>
      <c r="G26" s="218" t="str">
        <f>Tin!C26</f>
        <v>Mollema</v>
      </c>
      <c r="H26" s="216">
        <f ca="1">VLOOKUP(G26,Score!$B$2:$X$71,23,0)</f>
        <v>228.02636749003295</v>
      </c>
      <c r="I26" s="218" t="str">
        <f>Selfkant!C26</f>
        <v>Martin</v>
      </c>
      <c r="J26" s="216">
        <f ca="1">VLOOKUP(I26,Score!$B$2:$X$71,23,0)</f>
        <v>35.039478995895109</v>
      </c>
      <c r="K26" s="218" t="str">
        <f>Lange!C26</f>
        <v>Martin</v>
      </c>
      <c r="L26" s="216">
        <f ca="1">VLOOKUP(K26,Score!$B$2:$X$71,23,0)</f>
        <v>35.039478995895109</v>
      </c>
      <c r="M26" s="218" t="str">
        <f>Niet!C26</f>
        <v>Vandevelde</v>
      </c>
      <c r="N26" s="216">
        <f ca="1">VLOOKUP(M26,Score!$B$2:$X$71,23,0)</f>
        <v>9.1393504493054861E-2</v>
      </c>
      <c r="O26" s="218" t="str">
        <f>Ami!C26</f>
        <v>Martin</v>
      </c>
      <c r="P26" s="216">
        <f ca="1">VLOOKUP(O26,Score!$B$2:$X$71,23,0)</f>
        <v>35.039478995895109</v>
      </c>
      <c r="Q26" s="218" t="str">
        <f>IJff!C26</f>
        <v>Schleck</v>
      </c>
      <c r="R26" s="216">
        <f ca="1">VLOOKUP(Q26,Score!$B$2:$X$71,23,0)</f>
        <v>25.033760710343135</v>
      </c>
      <c r="S26" s="217" t="str">
        <f>Sale!C26</f>
        <v>Martin</v>
      </c>
      <c r="T26" s="216">
        <f ca="1">VLOOKUP(S26,Score!$B$2:$X$71,23,0)</f>
        <v>35.039478995895109</v>
      </c>
      <c r="U26" s="217" t="str">
        <f>Gran!C26</f>
        <v>Velits</v>
      </c>
      <c r="V26" s="216">
        <f ca="1">VLOOKUP(U26,Score!$B$2:$X$71,23,0)</f>
        <v>21.054176849351435</v>
      </c>
    </row>
    <row r="27" spans="1:22" s="29" customFormat="1">
      <c r="A27" s="259"/>
      <c r="C27" s="260"/>
      <c r="D27" s="20"/>
      <c r="E27" s="259"/>
      <c r="G27" s="261"/>
      <c r="H27" s="20"/>
      <c r="I27" s="262"/>
      <c r="J27" s="20"/>
      <c r="K27" s="263"/>
      <c r="L27" s="20"/>
      <c r="M27" s="261"/>
      <c r="N27" s="20"/>
      <c r="O27" s="262"/>
      <c r="P27" s="20"/>
      <c r="Q27" s="262"/>
      <c r="R27" s="20"/>
      <c r="S27" s="261"/>
      <c r="T27" s="20"/>
      <c r="U27" s="264"/>
    </row>
    <row r="28" spans="1:22" s="73" customFormat="1">
      <c r="A28" s="265"/>
      <c r="C28" s="266"/>
      <c r="D28" s="72"/>
      <c r="E28" s="267"/>
      <c r="G28" s="265"/>
      <c r="H28" s="72"/>
      <c r="I28" s="265"/>
      <c r="J28" s="72"/>
      <c r="K28" s="267"/>
      <c r="L28" s="72"/>
      <c r="M28" s="268"/>
      <c r="N28" s="72"/>
      <c r="O28" s="267"/>
      <c r="P28" s="72"/>
      <c r="Q28" s="267"/>
      <c r="R28" s="72"/>
      <c r="S28" s="267"/>
      <c r="T28" s="72"/>
    </row>
    <row r="29" spans="1:22" s="29" customFormat="1" ht="13.5" thickBot="1">
      <c r="A29" s="259"/>
      <c r="C29" s="20"/>
      <c r="D29" s="20"/>
      <c r="E29" s="259"/>
      <c r="G29" s="261"/>
      <c r="H29" s="20"/>
      <c r="I29" s="259"/>
      <c r="J29" s="20"/>
      <c r="K29" s="262"/>
      <c r="L29" s="20"/>
      <c r="M29" s="269"/>
      <c r="N29" s="20"/>
      <c r="O29" s="259"/>
      <c r="P29" s="20"/>
      <c r="Q29" s="259"/>
      <c r="R29" s="20"/>
      <c r="S29" s="259"/>
      <c r="T29" s="20"/>
      <c r="U29" s="259"/>
    </row>
    <row r="30" spans="1:22">
      <c r="A30" s="80" t="s">
        <v>10</v>
      </c>
      <c r="B30" s="39"/>
      <c r="C30" s="24"/>
      <c r="E30" s="29"/>
      <c r="I30" s="259"/>
      <c r="J30" s="20"/>
      <c r="K30" s="262"/>
      <c r="L30" s="20"/>
      <c r="M30" s="269"/>
      <c r="N30" s="20"/>
      <c r="S30" s="261"/>
      <c r="U30" s="259"/>
    </row>
    <row r="31" spans="1:22">
      <c r="A31" s="25" t="s">
        <v>11</v>
      </c>
      <c r="B31" s="40"/>
      <c r="C31" s="25"/>
      <c r="E31" s="259"/>
      <c r="I31" s="262"/>
      <c r="J31" s="20"/>
      <c r="K31" s="29"/>
      <c r="L31" s="20"/>
      <c r="M31" s="270"/>
      <c r="N31" s="20"/>
      <c r="S31" s="261"/>
      <c r="U31" s="259"/>
    </row>
    <row r="32" spans="1:22">
      <c r="A32" s="26" t="s">
        <v>12</v>
      </c>
      <c r="B32" s="41"/>
      <c r="C32" s="26"/>
      <c r="E32" s="29"/>
      <c r="I32" s="271"/>
      <c r="J32" s="20"/>
      <c r="K32" s="272"/>
      <c r="L32" s="20"/>
      <c r="N32" s="20"/>
      <c r="S32" s="260"/>
      <c r="U32" s="29"/>
    </row>
    <row r="33" spans="1:21">
      <c r="A33" s="27" t="s">
        <v>13</v>
      </c>
      <c r="B33" s="42"/>
      <c r="C33" s="27"/>
      <c r="E33" s="29"/>
      <c r="I33" s="271"/>
      <c r="K33" s="273"/>
      <c r="L33" s="20"/>
      <c r="S33" s="260"/>
      <c r="U33" s="29"/>
    </row>
    <row r="34" spans="1:21" ht="13.5" thickBot="1">
      <c r="A34" s="28" t="s">
        <v>14</v>
      </c>
      <c r="B34" s="43"/>
      <c r="C34" s="28"/>
      <c r="E34" s="29"/>
      <c r="I34" s="271"/>
      <c r="K34" s="273"/>
      <c r="L34" s="20"/>
      <c r="S34" s="260"/>
      <c r="U34" s="29"/>
    </row>
  </sheetData>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enableFormatConditionsCalculation="0">
    <tabColor indexed="32"/>
  </sheetPr>
  <dimension ref="A1:CZ77"/>
  <sheetViews>
    <sheetView showGridLines="0" showZeros="0" zoomScale="90" zoomScaleNormal="90" workbookViewId="0">
      <pane xSplit="2" ySplit="1" topLeftCell="C6" activePane="bottomRight" state="frozen"/>
      <selection activeCell="B47" sqref="B47"/>
      <selection pane="topRight" activeCell="B47" sqref="B47"/>
      <selection pane="bottomLeft" activeCell="B47" sqref="B47"/>
      <selection pane="bottomRight" activeCell="Y35" sqref="Y35"/>
    </sheetView>
  </sheetViews>
  <sheetFormatPr defaultRowHeight="12.75"/>
  <cols>
    <col min="1" max="1" width="8" style="93" customWidth="1"/>
    <col min="2" max="2" width="13.85546875" style="36" customWidth="1"/>
    <col min="3" max="4" width="5.28515625" style="97" customWidth="1"/>
    <col min="5" max="5" width="5.28515625" style="100" customWidth="1"/>
    <col min="6" max="8" width="5.28515625" style="99" customWidth="1"/>
    <col min="9" max="17" width="5.28515625" style="97" customWidth="1"/>
    <col min="18" max="18" width="5.28515625" style="99" customWidth="1"/>
    <col min="19" max="20" width="5.28515625" style="97" customWidth="1"/>
    <col min="21" max="23" width="5.28515625" style="99" customWidth="1"/>
    <col min="24" max="24" width="5.28515625" style="167" customWidth="1"/>
    <col min="25" max="25" width="5.28515625" style="83" customWidth="1"/>
    <col min="26" max="26" width="5.7109375" style="37" customWidth="1"/>
    <col min="27" max="27" width="10.7109375" style="115" customWidth="1"/>
    <col min="28" max="28" width="5.85546875" style="115" customWidth="1"/>
    <col min="29" max="29" width="4.7109375" style="202" customWidth="1"/>
    <col min="30" max="30" width="17" style="84" customWidth="1"/>
    <col min="31" max="31" width="6.140625" style="84" customWidth="1"/>
    <col min="32" max="61" width="9.140625" style="84"/>
    <col min="62" max="104" width="9.140625" style="85"/>
    <col min="105" max="16384" width="9.140625" style="86"/>
  </cols>
  <sheetData>
    <row r="1" spans="1:104" ht="13.5" thickBot="1">
      <c r="A1" s="82"/>
      <c r="C1" s="128">
        <v>1</v>
      </c>
      <c r="D1" s="128">
        <v>2</v>
      </c>
      <c r="E1" s="128">
        <v>3</v>
      </c>
      <c r="F1" s="128">
        <v>4</v>
      </c>
      <c r="G1" s="128">
        <v>5</v>
      </c>
      <c r="H1" s="128">
        <v>6</v>
      </c>
      <c r="I1" s="128">
        <v>7</v>
      </c>
      <c r="J1" s="128">
        <v>8</v>
      </c>
      <c r="K1" s="128">
        <v>9</v>
      </c>
      <c r="L1" s="128">
        <v>10</v>
      </c>
      <c r="M1" s="128">
        <v>11</v>
      </c>
      <c r="N1" s="128">
        <v>12</v>
      </c>
      <c r="O1" s="128">
        <v>13</v>
      </c>
      <c r="P1" s="128">
        <v>14</v>
      </c>
      <c r="Q1" s="128">
        <v>15</v>
      </c>
      <c r="R1" s="128">
        <v>16</v>
      </c>
      <c r="S1" s="128">
        <v>17</v>
      </c>
      <c r="T1" s="128">
        <v>18</v>
      </c>
      <c r="U1" s="128">
        <v>19</v>
      </c>
      <c r="V1" s="128">
        <v>20</v>
      </c>
      <c r="W1" s="128">
        <v>21</v>
      </c>
      <c r="Y1" s="83" t="s">
        <v>1</v>
      </c>
      <c r="Z1" s="35"/>
      <c r="AA1" s="115" t="s">
        <v>77</v>
      </c>
      <c r="AB1" s="115" t="s">
        <v>96</v>
      </c>
    </row>
    <row r="2" spans="1:104" s="87" customFormat="1">
      <c r="A2" s="112"/>
      <c r="B2" s="113" t="s">
        <v>204</v>
      </c>
      <c r="C2" s="107"/>
      <c r="D2" s="107"/>
      <c r="E2" s="107"/>
      <c r="F2" s="107"/>
      <c r="G2" s="107"/>
      <c r="H2" s="107"/>
      <c r="I2" s="107"/>
      <c r="J2" s="107">
        <f>16</f>
        <v>16</v>
      </c>
      <c r="K2" s="107"/>
      <c r="L2" s="107"/>
      <c r="M2" s="107"/>
      <c r="N2" s="107"/>
      <c r="O2" s="107"/>
      <c r="P2" s="107"/>
      <c r="Q2" s="107"/>
      <c r="R2" s="107"/>
      <c r="S2" s="107"/>
      <c r="T2" s="107">
        <v>9</v>
      </c>
      <c r="U2" s="107"/>
      <c r="V2" s="107"/>
      <c r="W2" s="107"/>
      <c r="X2" s="168">
        <f ca="1">SUM(C2:W2)+RAND()/10</f>
        <v>25.096160674108475</v>
      </c>
      <c r="Y2" s="108"/>
      <c r="Z2" s="171">
        <f t="shared" ref="Z2:Z22" ca="1" si="0">SUM(X2:Y2)</f>
        <v>25.096160674108475</v>
      </c>
      <c r="AA2" s="115">
        <f ca="1">COUNTIF(Teams!$4:$20,B2)</f>
        <v>1</v>
      </c>
      <c r="AB2" s="115">
        <f t="shared" ref="AB2:AB15" ca="1" si="1">RANK(Z2,$Z$2:$Z$48)</f>
        <v>30</v>
      </c>
      <c r="AC2" s="202">
        <v>1</v>
      </c>
      <c r="AD2" s="203" t="str">
        <f ca="1">INDEX($B$2:$B$48,MATCH(AC2,$AB$2:$AB$48,0))</f>
        <v>Froome</v>
      </c>
      <c r="AE2" s="276">
        <f t="shared" ref="AE2:AE48" ca="1" si="2">INDEX($Z$2:$Z$48,MATCH(AC2,$AB$2:$AB$48,0))</f>
        <v>503.12241934377164</v>
      </c>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row>
    <row r="3" spans="1:104" s="87" customFormat="1">
      <c r="A3" s="116"/>
      <c r="B3" s="117" t="s">
        <v>72</v>
      </c>
      <c r="C3" s="118"/>
      <c r="D3" s="118">
        <f>22+6</f>
        <v>28</v>
      </c>
      <c r="E3" s="118">
        <f>15+6</f>
        <v>21</v>
      </c>
      <c r="F3" s="118"/>
      <c r="G3" s="118">
        <f>30+5+1</f>
        <v>36</v>
      </c>
      <c r="H3" s="118">
        <f>14+9</f>
        <v>23</v>
      </c>
      <c r="I3" s="118">
        <f>22+9</f>
        <v>31</v>
      </c>
      <c r="J3" s="118">
        <v>1</v>
      </c>
      <c r="K3" s="118"/>
      <c r="L3" s="118"/>
      <c r="M3" s="118"/>
      <c r="N3" s="118"/>
      <c r="O3" s="118"/>
      <c r="P3" s="118"/>
      <c r="Q3" s="118"/>
      <c r="R3" s="118"/>
      <c r="S3" s="118"/>
      <c r="T3" s="118"/>
      <c r="U3" s="118"/>
      <c r="V3" s="118"/>
      <c r="W3" s="118"/>
      <c r="X3" s="169">
        <f t="shared" ref="X3:X48" ca="1" si="3">SUM(C3:W3)+RAND()/10</f>
        <v>140.0384494884392</v>
      </c>
      <c r="Y3" s="119"/>
      <c r="Z3" s="172">
        <f t="shared" ca="1" si="0"/>
        <v>140.0384494884392</v>
      </c>
      <c r="AA3" s="115">
        <f ca="1">COUNTIF(Teams!$4:$20,B3)</f>
        <v>9</v>
      </c>
      <c r="AB3" s="115">
        <f t="shared" ca="1" si="1"/>
        <v>16</v>
      </c>
      <c r="AC3" s="202">
        <v>2</v>
      </c>
      <c r="AD3" s="203" t="str">
        <f t="shared" ref="AD3:AD18" ca="1" si="4">INDEX($B$2:$B$48,MATCH(AC3,$AB$2:$AB$48,0))</f>
        <v>Sagan</v>
      </c>
      <c r="AE3" s="276">
        <f t="shared" ca="1" si="2"/>
        <v>368.0432292140211</v>
      </c>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row>
    <row r="4" spans="1:104" s="87" customFormat="1">
      <c r="A4" s="112"/>
      <c r="B4" s="113" t="s">
        <v>169</v>
      </c>
      <c r="C4" s="107"/>
      <c r="D4" s="107"/>
      <c r="E4" s="107"/>
      <c r="F4" s="107"/>
      <c r="G4" s="107"/>
      <c r="H4" s="107"/>
      <c r="I4" s="107"/>
      <c r="J4" s="107"/>
      <c r="K4" s="107"/>
      <c r="L4" s="107"/>
      <c r="M4" s="107"/>
      <c r="N4" s="107"/>
      <c r="O4" s="107"/>
      <c r="P4" s="107"/>
      <c r="Q4" s="107"/>
      <c r="R4" s="107"/>
      <c r="S4" s="107"/>
      <c r="T4" s="107"/>
      <c r="U4" s="107"/>
      <c r="V4" s="107"/>
      <c r="W4" s="107"/>
      <c r="X4" s="168">
        <f t="shared" ca="1" si="3"/>
        <v>5.9640381353343132E-2</v>
      </c>
      <c r="Y4" s="108"/>
      <c r="Z4" s="171">
        <f t="shared" ca="1" si="0"/>
        <v>5.9640381353343132E-2</v>
      </c>
      <c r="AA4" s="115">
        <f ca="1">COUNTIF(Teams!$4:$20,B4)</f>
        <v>5</v>
      </c>
      <c r="AB4" s="115">
        <f t="shared" ca="1" si="1"/>
        <v>40</v>
      </c>
      <c r="AC4" s="202">
        <v>3</v>
      </c>
      <c r="AD4" s="203" t="str">
        <f t="shared" ca="1" si="4"/>
        <v>Quintana</v>
      </c>
      <c r="AE4" s="276">
        <f t="shared" ca="1" si="2"/>
        <v>328.03872972464353</v>
      </c>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row>
    <row r="5" spans="1:104" s="87" customFormat="1">
      <c r="A5" s="116"/>
      <c r="B5" s="117" t="s">
        <v>66</v>
      </c>
      <c r="C5" s="118"/>
      <c r="D5" s="118"/>
      <c r="E5" s="118"/>
      <c r="F5" s="118"/>
      <c r="G5" s="118"/>
      <c r="H5" s="118"/>
      <c r="I5" s="118"/>
      <c r="J5" s="118"/>
      <c r="K5" s="118"/>
      <c r="L5" s="118"/>
      <c r="M5" s="118"/>
      <c r="N5" s="118"/>
      <c r="O5" s="118"/>
      <c r="P5" s="118"/>
      <c r="Q5" s="118"/>
      <c r="R5" s="118"/>
      <c r="S5" s="118"/>
      <c r="T5" s="118"/>
      <c r="U5" s="118"/>
      <c r="V5" s="118"/>
      <c r="W5" s="118"/>
      <c r="X5" s="169">
        <f t="shared" ca="1" si="3"/>
        <v>5.7564153415816575E-2</v>
      </c>
      <c r="Y5" s="119"/>
      <c r="Z5" s="172">
        <f t="shared" ca="1" si="0"/>
        <v>5.7564153415816575E-2</v>
      </c>
      <c r="AA5" s="115">
        <f ca="1">COUNTIF(Teams!$4:$20,B5)</f>
        <v>1</v>
      </c>
      <c r="AB5" s="115">
        <f t="shared" ca="1" si="1"/>
        <v>41</v>
      </c>
      <c r="AC5" s="202">
        <v>4</v>
      </c>
      <c r="AD5" s="203" t="str">
        <f t="shared" ca="1" si="4"/>
        <v>Contador</v>
      </c>
      <c r="AE5" s="276">
        <f t="shared" ca="1" si="2"/>
        <v>294.03439923877079</v>
      </c>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row>
    <row r="6" spans="1:104" s="87" customFormat="1">
      <c r="A6" s="112"/>
      <c r="B6" s="113" t="s">
        <v>67</v>
      </c>
      <c r="C6" s="107"/>
      <c r="D6" s="107"/>
      <c r="E6" s="107"/>
      <c r="F6" s="107"/>
      <c r="G6" s="107">
        <f>35+4</f>
        <v>39</v>
      </c>
      <c r="H6" s="107">
        <f>24+3</f>
        <v>27</v>
      </c>
      <c r="I6" s="107"/>
      <c r="J6" s="107">
        <v>3</v>
      </c>
      <c r="K6" s="107">
        <v>3</v>
      </c>
      <c r="L6" s="107">
        <f>26+3</f>
        <v>29</v>
      </c>
      <c r="M6" s="107">
        <v>3</v>
      </c>
      <c r="N6" s="107">
        <f>30+4</f>
        <v>34</v>
      </c>
      <c r="O6" s="107">
        <f>35+4</f>
        <v>39</v>
      </c>
      <c r="P6" s="107">
        <v>4</v>
      </c>
      <c r="Q6" s="107">
        <v>4</v>
      </c>
      <c r="R6" s="107">
        <v>4</v>
      </c>
      <c r="S6" s="107">
        <v>4</v>
      </c>
      <c r="T6" s="107">
        <v>4</v>
      </c>
      <c r="U6" s="107">
        <v>4</v>
      </c>
      <c r="V6" s="107">
        <v>4</v>
      </c>
      <c r="W6" s="107">
        <f>26+4</f>
        <v>30</v>
      </c>
      <c r="X6" s="168">
        <f t="shared" ca="1" si="3"/>
        <v>235.05530299944562</v>
      </c>
      <c r="Y6" s="108">
        <v>7</v>
      </c>
      <c r="Z6" s="171">
        <f t="shared" ca="1" si="0"/>
        <v>242.05530299944562</v>
      </c>
      <c r="AA6" s="115">
        <f ca="1">COUNTIF(Teams!$4:$20,B6)</f>
        <v>11</v>
      </c>
      <c r="AB6" s="115">
        <f t="shared" ca="1" si="1"/>
        <v>8</v>
      </c>
      <c r="AC6" s="202">
        <v>5</v>
      </c>
      <c r="AD6" s="203" t="str">
        <f t="shared" ca="1" si="4"/>
        <v>Kreuziger</v>
      </c>
      <c r="AE6" s="276">
        <f t="shared" ca="1" si="2"/>
        <v>283.052571719024</v>
      </c>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row>
    <row r="7" spans="1:104" s="87" customFormat="1">
      <c r="A7" s="116"/>
      <c r="B7" s="117" t="s">
        <v>211</v>
      </c>
      <c r="C7" s="118"/>
      <c r="D7" s="118"/>
      <c r="E7" s="118"/>
      <c r="F7" s="118"/>
      <c r="G7" s="118">
        <v>6</v>
      </c>
      <c r="H7" s="118">
        <v>5</v>
      </c>
      <c r="I7" s="118">
        <f>16+5</f>
        <v>21</v>
      </c>
      <c r="J7" s="118"/>
      <c r="K7" s="118"/>
      <c r="L7" s="118"/>
      <c r="M7" s="118">
        <v>19</v>
      </c>
      <c r="N7" s="118"/>
      <c r="O7" s="118">
        <f>17</f>
        <v>17</v>
      </c>
      <c r="P7" s="118"/>
      <c r="Q7" s="118"/>
      <c r="R7" s="118"/>
      <c r="S7" s="118"/>
      <c r="T7" s="118"/>
      <c r="U7" s="118"/>
      <c r="V7" s="118"/>
      <c r="W7" s="118"/>
      <c r="X7" s="169">
        <f t="shared" ca="1" si="3"/>
        <v>68.003529941298964</v>
      </c>
      <c r="Y7" s="119"/>
      <c r="Z7" s="172">
        <f t="shared" ca="1" si="0"/>
        <v>68.003529941298964</v>
      </c>
      <c r="AA7" s="115">
        <f ca="1">COUNTIF(Teams!$4:$20,B7)</f>
        <v>1</v>
      </c>
      <c r="AB7" s="115">
        <f t="shared" ca="1" si="1"/>
        <v>20</v>
      </c>
      <c r="AC7" s="202">
        <v>6</v>
      </c>
      <c r="AD7" s="203" t="str">
        <f t="shared" ca="1" si="4"/>
        <v>Mollema</v>
      </c>
      <c r="AE7" s="276">
        <f t="shared" ca="1" si="2"/>
        <v>268.02636749003295</v>
      </c>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row>
    <row r="8" spans="1:104" s="87" customFormat="1">
      <c r="A8" s="112"/>
      <c r="B8" s="113" t="s">
        <v>146</v>
      </c>
      <c r="C8" s="107"/>
      <c r="D8" s="107"/>
      <c r="E8" s="107"/>
      <c r="F8" s="107"/>
      <c r="G8" s="107"/>
      <c r="H8" s="107"/>
      <c r="I8" s="107"/>
      <c r="J8" s="107">
        <f>18+4</f>
        <v>22</v>
      </c>
      <c r="K8" s="107">
        <f>13+5</f>
        <v>18</v>
      </c>
      <c r="L8" s="107">
        <v>5</v>
      </c>
      <c r="M8" s="107">
        <f>11+7</f>
        <v>18</v>
      </c>
      <c r="N8" s="107">
        <v>7</v>
      </c>
      <c r="O8" s="107">
        <f>19+8</f>
        <v>27</v>
      </c>
      <c r="P8" s="107">
        <f>8</f>
        <v>8</v>
      </c>
      <c r="Q8" s="107">
        <f>20+8</f>
        <v>28</v>
      </c>
      <c r="R8" s="107">
        <v>8</v>
      </c>
      <c r="S8" s="107">
        <f>30+9</f>
        <v>39</v>
      </c>
      <c r="T8" s="107">
        <f>15+9</f>
        <v>24</v>
      </c>
      <c r="U8" s="107">
        <v>9</v>
      </c>
      <c r="V8" s="107">
        <f>19+7</f>
        <v>26</v>
      </c>
      <c r="W8" s="107">
        <v>7</v>
      </c>
      <c r="X8" s="168">
        <f t="shared" ca="1" si="3"/>
        <v>246.03439923877079</v>
      </c>
      <c r="Y8" s="108">
        <v>48</v>
      </c>
      <c r="Z8" s="171">
        <f t="shared" ca="1" si="0"/>
        <v>294.03439923877079</v>
      </c>
      <c r="AA8" s="115">
        <f ca="1">COUNTIF(Teams!$4:$20,B8)</f>
        <v>11</v>
      </c>
      <c r="AB8" s="115">
        <f t="shared" ca="1" si="1"/>
        <v>4</v>
      </c>
      <c r="AC8" s="202">
        <v>7</v>
      </c>
      <c r="AD8" s="203" t="str">
        <f t="shared" ca="1" si="4"/>
        <v>Rodriguez</v>
      </c>
      <c r="AE8" s="276">
        <f t="shared" ca="1" si="2"/>
        <v>247.0566689427263</v>
      </c>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row>
    <row r="9" spans="1:104" s="87" customFormat="1">
      <c r="A9" s="116"/>
      <c r="B9" s="117" t="s">
        <v>155</v>
      </c>
      <c r="C9" s="118"/>
      <c r="D9" s="118"/>
      <c r="E9" s="118"/>
      <c r="F9" s="118"/>
      <c r="G9" s="118"/>
      <c r="H9" s="118"/>
      <c r="I9" s="118"/>
      <c r="J9" s="118">
        <v>14</v>
      </c>
      <c r="K9" s="118">
        <f>6+1</f>
        <v>7</v>
      </c>
      <c r="L9" s="118">
        <v>1</v>
      </c>
      <c r="M9" s="118">
        <v>2</v>
      </c>
      <c r="N9" s="118">
        <v>2</v>
      </c>
      <c r="O9" s="118"/>
      <c r="P9" s="118"/>
      <c r="Q9" s="118"/>
      <c r="R9" s="118">
        <f>35</f>
        <v>35</v>
      </c>
      <c r="S9" s="118"/>
      <c r="T9" s="118"/>
      <c r="U9" s="118">
        <v>35</v>
      </c>
      <c r="V9" s="118"/>
      <c r="W9" s="118"/>
      <c r="X9" s="169">
        <f t="shared" ca="1" si="3"/>
        <v>96.08445220095895</v>
      </c>
      <c r="Y9" s="119"/>
      <c r="Z9" s="172">
        <f t="shared" ca="1" si="0"/>
        <v>96.08445220095895</v>
      </c>
      <c r="AA9" s="115">
        <f ca="1">COUNTIF(Teams!$4:$20,B9)</f>
        <v>2</v>
      </c>
      <c r="AB9" s="115">
        <f t="shared" ca="1" si="1"/>
        <v>18</v>
      </c>
      <c r="AC9" s="202">
        <v>8</v>
      </c>
      <c r="AD9" s="203" t="str">
        <f t="shared" ca="1" si="4"/>
        <v>Cavendish</v>
      </c>
      <c r="AE9" s="276">
        <f t="shared" ca="1" si="2"/>
        <v>242.05530299944562</v>
      </c>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row>
    <row r="10" spans="1:104" s="87" customFormat="1">
      <c r="A10" s="112"/>
      <c r="B10" s="113" t="s">
        <v>197</v>
      </c>
      <c r="C10" s="107"/>
      <c r="D10" s="107"/>
      <c r="E10" s="107"/>
      <c r="F10" s="107"/>
      <c r="G10" s="107"/>
      <c r="H10" s="107"/>
      <c r="I10" s="107"/>
      <c r="J10" s="107"/>
      <c r="K10" s="107"/>
      <c r="L10" s="107"/>
      <c r="M10" s="107"/>
      <c r="N10" s="107"/>
      <c r="O10" s="107"/>
      <c r="P10" s="107"/>
      <c r="Q10" s="107"/>
      <c r="R10" s="107"/>
      <c r="S10" s="107"/>
      <c r="T10" s="107"/>
      <c r="U10" s="107"/>
      <c r="V10" s="107"/>
      <c r="W10" s="107"/>
      <c r="X10" s="168">
        <f t="shared" ca="1" si="3"/>
        <v>4.7162317516219555E-2</v>
      </c>
      <c r="Y10" s="108"/>
      <c r="Z10" s="171">
        <f t="shared" ca="1" si="0"/>
        <v>4.7162317516219555E-2</v>
      </c>
      <c r="AA10" s="115">
        <f ca="1">COUNTIF(Teams!$4:$20,B10)</f>
        <v>1</v>
      </c>
      <c r="AB10" s="115">
        <f t="shared" ca="1" si="1"/>
        <v>43</v>
      </c>
      <c r="AC10" s="202">
        <v>9</v>
      </c>
      <c r="AD10" s="203" t="str">
        <f t="shared" ca="1" si="4"/>
        <v>Valverde</v>
      </c>
      <c r="AE10" s="276">
        <f t="shared" ca="1" si="2"/>
        <v>235.03813897272573</v>
      </c>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row>
    <row r="11" spans="1:104" s="87" customFormat="1">
      <c r="A11" s="116"/>
      <c r="B11" s="117" t="s">
        <v>87</v>
      </c>
      <c r="C11" s="118"/>
      <c r="D11" s="118"/>
      <c r="E11" s="118"/>
      <c r="F11" s="118"/>
      <c r="G11" s="118"/>
      <c r="H11" s="118"/>
      <c r="I11" s="118"/>
      <c r="J11" s="118"/>
      <c r="K11" s="118"/>
      <c r="L11" s="118"/>
      <c r="M11" s="118"/>
      <c r="N11" s="118"/>
      <c r="O11" s="118"/>
      <c r="P11" s="118"/>
      <c r="Q11" s="118"/>
      <c r="R11" s="118"/>
      <c r="S11" s="118"/>
      <c r="T11" s="118"/>
      <c r="U11" s="118"/>
      <c r="V11" s="118"/>
      <c r="W11" s="118"/>
      <c r="X11" s="169">
        <f t="shared" ca="1" si="3"/>
        <v>2.9578753040095673E-2</v>
      </c>
      <c r="Y11" s="119"/>
      <c r="Z11" s="172">
        <f t="shared" ca="1" si="0"/>
        <v>2.9578753040095673E-2</v>
      </c>
      <c r="AA11" s="115">
        <f ca="1">COUNTIF(Teams!$4:$20,B11)</f>
        <v>0</v>
      </c>
      <c r="AB11" s="115">
        <f t="shared" ca="1" si="1"/>
        <v>46</v>
      </c>
      <c r="AC11" s="202">
        <v>10</v>
      </c>
      <c r="AD11" s="203" t="str">
        <f t="shared" ca="1" si="4"/>
        <v>Kittel</v>
      </c>
      <c r="AE11" s="276">
        <f t="shared" ca="1" si="2"/>
        <v>218.03639114680371</v>
      </c>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row>
    <row r="12" spans="1:104" s="87" customFormat="1">
      <c r="A12" s="112"/>
      <c r="B12" s="113" t="s">
        <v>164</v>
      </c>
      <c r="C12" s="107"/>
      <c r="D12" s="107"/>
      <c r="E12" s="107"/>
      <c r="F12" s="107"/>
      <c r="G12" s="107">
        <v>2</v>
      </c>
      <c r="H12" s="107">
        <v>2</v>
      </c>
      <c r="I12" s="107">
        <v>2</v>
      </c>
      <c r="J12" s="107"/>
      <c r="K12" s="107"/>
      <c r="L12" s="107"/>
      <c r="M12" s="107">
        <v>26</v>
      </c>
      <c r="N12" s="107"/>
      <c r="O12" s="107"/>
      <c r="P12" s="107"/>
      <c r="Q12" s="107"/>
      <c r="R12" s="107">
        <v>11</v>
      </c>
      <c r="S12" s="107">
        <v>7</v>
      </c>
      <c r="T12" s="107"/>
      <c r="U12" s="107"/>
      <c r="V12" s="107"/>
      <c r="W12" s="107"/>
      <c r="X12" s="168">
        <f t="shared" ca="1" si="3"/>
        <v>50.020598049338275</v>
      </c>
      <c r="Y12" s="108"/>
      <c r="Z12" s="171">
        <f t="shared" ca="1" si="0"/>
        <v>50.020598049338275</v>
      </c>
      <c r="AA12" s="115">
        <f ca="1">COUNTIF(Teams!$4:$20,B12)</f>
        <v>1</v>
      </c>
      <c r="AB12" s="115">
        <f t="shared" ca="1" si="1"/>
        <v>26</v>
      </c>
      <c r="AC12" s="202">
        <v>11</v>
      </c>
      <c r="AD12" s="203" t="str">
        <f t="shared" ca="1" si="4"/>
        <v>Fuglsang</v>
      </c>
      <c r="AE12" s="276">
        <f t="shared" ca="1" si="2"/>
        <v>205.04814423751847</v>
      </c>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row>
    <row r="13" spans="1:104" s="87" customFormat="1">
      <c r="A13" s="116"/>
      <c r="B13" s="117" t="s">
        <v>166</v>
      </c>
      <c r="C13" s="118"/>
      <c r="D13" s="118"/>
      <c r="E13" s="118"/>
      <c r="F13" s="118"/>
      <c r="G13" s="118">
        <v>14</v>
      </c>
      <c r="H13" s="118"/>
      <c r="I13" s="118">
        <f>30</f>
        <v>30</v>
      </c>
      <c r="J13" s="118"/>
      <c r="K13" s="118"/>
      <c r="L13" s="118"/>
      <c r="M13" s="118"/>
      <c r="N13" s="118"/>
      <c r="O13" s="118">
        <v>6</v>
      </c>
      <c r="P13" s="118"/>
      <c r="Q13" s="118"/>
      <c r="R13" s="118"/>
      <c r="S13" s="118"/>
      <c r="T13" s="118"/>
      <c r="U13" s="118"/>
      <c r="V13" s="118"/>
      <c r="W13" s="118"/>
      <c r="X13" s="169">
        <f t="shared" ca="1" si="3"/>
        <v>50.021827554188746</v>
      </c>
      <c r="Y13" s="119"/>
      <c r="Z13" s="172">
        <f t="shared" ca="1" si="0"/>
        <v>50.021827554188746</v>
      </c>
      <c r="AA13" s="115">
        <f ca="1">COUNTIF(Teams!$4:$20,B13)</f>
        <v>7</v>
      </c>
      <c r="AB13" s="115">
        <f t="shared" ca="1" si="1"/>
        <v>25</v>
      </c>
      <c r="AC13" s="202">
        <v>12</v>
      </c>
      <c r="AD13" s="203" t="str">
        <f t="shared" ca="1" si="4"/>
        <v>Greipel</v>
      </c>
      <c r="AE13" s="276">
        <f t="shared" ca="1" si="2"/>
        <v>187.06317957119913</v>
      </c>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row>
    <row r="14" spans="1:104" s="87" customFormat="1">
      <c r="A14" s="112"/>
      <c r="B14" s="113" t="s">
        <v>69</v>
      </c>
      <c r="C14" s="107"/>
      <c r="D14" s="107">
        <v>1</v>
      </c>
      <c r="E14" s="107">
        <f>13+2</f>
        <v>15</v>
      </c>
      <c r="F14" s="107"/>
      <c r="G14" s="107"/>
      <c r="H14" s="107">
        <v>9</v>
      </c>
      <c r="I14" s="107"/>
      <c r="J14" s="107"/>
      <c r="K14" s="107">
        <v>20</v>
      </c>
      <c r="L14" s="107"/>
      <c r="M14" s="107"/>
      <c r="N14" s="107">
        <v>6</v>
      </c>
      <c r="O14" s="107"/>
      <c r="P14" s="107"/>
      <c r="Q14" s="107"/>
      <c r="R14" s="107"/>
      <c r="S14" s="107"/>
      <c r="T14" s="107"/>
      <c r="U14" s="107"/>
      <c r="V14" s="107"/>
      <c r="W14" s="107"/>
      <c r="X14" s="168">
        <f t="shared" ca="1" si="3"/>
        <v>51.021169213014936</v>
      </c>
      <c r="Y14" s="108"/>
      <c r="Z14" s="171">
        <f t="shared" ca="1" si="0"/>
        <v>51.021169213014936</v>
      </c>
      <c r="AA14" s="115">
        <f ca="1">COUNTIF(Teams!$4:$20,B14)</f>
        <v>6</v>
      </c>
      <c r="AB14" s="115">
        <f t="shared" ca="1" si="1"/>
        <v>24</v>
      </c>
      <c r="AC14" s="202">
        <v>13</v>
      </c>
      <c r="AD14" s="203" t="str">
        <f t="shared" ca="1" si="4"/>
        <v>Kristoff</v>
      </c>
      <c r="AE14" s="276">
        <f t="shared" ca="1" si="2"/>
        <v>175.08804469639509</v>
      </c>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row>
    <row r="15" spans="1:104" s="87" customFormat="1">
      <c r="A15" s="116"/>
      <c r="B15" s="117" t="s">
        <v>114</v>
      </c>
      <c r="C15" s="118"/>
      <c r="D15" s="118"/>
      <c r="E15" s="118"/>
      <c r="F15" s="118">
        <v>0.1</v>
      </c>
      <c r="G15" s="118">
        <v>4</v>
      </c>
      <c r="H15" s="118">
        <f>8+4</f>
        <v>12</v>
      </c>
      <c r="I15" s="118">
        <v>4</v>
      </c>
      <c r="J15" s="118">
        <f>35+10+5</f>
        <v>50</v>
      </c>
      <c r="K15" s="118">
        <f>12+10+4</f>
        <v>26</v>
      </c>
      <c r="L15" s="118">
        <f>10+4</f>
        <v>14</v>
      </c>
      <c r="M15" s="118">
        <f>30+10+4</f>
        <v>44</v>
      </c>
      <c r="N15" s="118">
        <f>12+10+4</f>
        <v>26</v>
      </c>
      <c r="O15" s="118">
        <f>10+4</f>
        <v>14</v>
      </c>
      <c r="P15" s="118">
        <f>10+4</f>
        <v>14</v>
      </c>
      <c r="Q15" s="118">
        <f>35+10+5</f>
        <v>50</v>
      </c>
      <c r="R15" s="118">
        <f>10+5</f>
        <v>15</v>
      </c>
      <c r="S15" s="118">
        <f>35+10+5</f>
        <v>50</v>
      </c>
      <c r="T15" s="118">
        <f>19+10+5</f>
        <v>34</v>
      </c>
      <c r="U15" s="118">
        <f>10+5</f>
        <v>15</v>
      </c>
      <c r="V15" s="118">
        <f>26+10+4</f>
        <v>40</v>
      </c>
      <c r="W15" s="118">
        <f>10+4</f>
        <v>14</v>
      </c>
      <c r="X15" s="169">
        <f t="shared" ca="1" si="3"/>
        <v>426.12241934377164</v>
      </c>
      <c r="Y15" s="119">
        <f>7+70</f>
        <v>77</v>
      </c>
      <c r="Z15" s="172">
        <f t="shared" ca="1" si="0"/>
        <v>503.12241934377164</v>
      </c>
      <c r="AA15" s="115">
        <f ca="1">COUNTIF(Teams!$4:$20,B15)</f>
        <v>11</v>
      </c>
      <c r="AB15" s="115">
        <f t="shared" ca="1" si="1"/>
        <v>1</v>
      </c>
      <c r="AC15" s="202">
        <v>14</v>
      </c>
      <c r="AD15" s="203" t="str">
        <f t="shared" ca="1" si="4"/>
        <v>Porte</v>
      </c>
      <c r="AE15" s="276">
        <f t="shared" ca="1" si="2"/>
        <v>167.00369780591399</v>
      </c>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row>
    <row r="16" spans="1:104" s="87" customFormat="1">
      <c r="A16" s="112"/>
      <c r="B16" s="113" t="s">
        <v>153</v>
      </c>
      <c r="C16" s="107"/>
      <c r="D16" s="107"/>
      <c r="E16" s="107"/>
      <c r="F16" s="107"/>
      <c r="G16" s="107"/>
      <c r="H16" s="107"/>
      <c r="I16" s="107"/>
      <c r="J16" s="107">
        <v>9</v>
      </c>
      <c r="K16" s="107">
        <v>30</v>
      </c>
      <c r="L16" s="107"/>
      <c r="M16" s="107"/>
      <c r="N16" s="107"/>
      <c r="O16" s="107">
        <f>24+5</f>
        <v>29</v>
      </c>
      <c r="P16" s="107">
        <v>5</v>
      </c>
      <c r="Q16" s="107">
        <f>19+4</f>
        <v>23</v>
      </c>
      <c r="R16" s="107">
        <v>3</v>
      </c>
      <c r="S16" s="107">
        <f>18+3</f>
        <v>21</v>
      </c>
      <c r="T16" s="107">
        <f>16+4</f>
        <v>20</v>
      </c>
      <c r="U16" s="107">
        <f>6+4</f>
        <v>10</v>
      </c>
      <c r="V16" s="107">
        <f>9+4</f>
        <v>13</v>
      </c>
      <c r="W16" s="107">
        <v>4</v>
      </c>
      <c r="X16" s="168">
        <f t="shared" ca="1" si="3"/>
        <v>167.04814423751847</v>
      </c>
      <c r="Y16" s="108">
        <v>38</v>
      </c>
      <c r="Z16" s="171">
        <f t="shared" ca="1" si="0"/>
        <v>205.04814423751847</v>
      </c>
      <c r="AA16" s="115">
        <f ca="1">COUNTIF(Teams!$4:$20,B16)</f>
        <v>1</v>
      </c>
      <c r="AB16" s="115">
        <f ca="1">RANK(Z16,$Z$2:$Z$48)</f>
        <v>11</v>
      </c>
      <c r="AC16" s="202">
        <v>15</v>
      </c>
      <c r="AD16" s="203" t="str">
        <f t="shared" ca="1" si="4"/>
        <v>Rojas</v>
      </c>
      <c r="AE16" s="276">
        <f t="shared" ca="1" si="2"/>
        <v>146.03406911491356</v>
      </c>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row>
    <row r="17" spans="1:104" s="87" customFormat="1">
      <c r="A17" s="116"/>
      <c r="B17" s="117" t="s">
        <v>84</v>
      </c>
      <c r="C17" s="118"/>
      <c r="D17" s="118">
        <v>8</v>
      </c>
      <c r="E17" s="118">
        <v>22</v>
      </c>
      <c r="F17" s="118"/>
      <c r="G17" s="118"/>
      <c r="H17" s="118"/>
      <c r="I17" s="118">
        <v>9</v>
      </c>
      <c r="J17" s="118"/>
      <c r="K17" s="118"/>
      <c r="L17" s="118"/>
      <c r="M17" s="118"/>
      <c r="N17" s="118"/>
      <c r="O17" s="118"/>
      <c r="P17" s="118"/>
      <c r="Q17" s="118"/>
      <c r="R17" s="118">
        <v>18</v>
      </c>
      <c r="S17" s="118"/>
      <c r="T17" s="118"/>
      <c r="U17" s="118"/>
      <c r="V17" s="118"/>
      <c r="W17" s="118"/>
      <c r="X17" s="169">
        <f t="shared" ca="1" si="3"/>
        <v>57.057713477853518</v>
      </c>
      <c r="Y17" s="119"/>
      <c r="Z17" s="172">
        <f t="shared" ca="1" si="0"/>
        <v>57.057713477853518</v>
      </c>
      <c r="AA17" s="115">
        <f ca="1">COUNTIF(Teams!$4:$20,B17)</f>
        <v>1</v>
      </c>
      <c r="AB17" s="115">
        <f t="shared" ref="AB17:AB48" ca="1" si="5">RANK(Z17,$Z$2:$Z$48)</f>
        <v>22</v>
      </c>
      <c r="AC17" s="202">
        <v>16</v>
      </c>
      <c r="AD17" s="203" t="str">
        <f t="shared" ca="1" si="4"/>
        <v>Boasson Hagen</v>
      </c>
      <c r="AE17" s="276">
        <f t="shared" ca="1" si="2"/>
        <v>140.0384494884392</v>
      </c>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row>
    <row r="18" spans="1:104" s="114" customFormat="1">
      <c r="A18" s="112"/>
      <c r="B18" s="113" t="s">
        <v>86</v>
      </c>
      <c r="C18" s="107"/>
      <c r="D18" s="107"/>
      <c r="E18" s="107"/>
      <c r="F18" s="107"/>
      <c r="G18" s="107"/>
      <c r="H18" s="107">
        <v>11</v>
      </c>
      <c r="I18" s="107"/>
      <c r="J18" s="107"/>
      <c r="K18" s="107"/>
      <c r="L18" s="107">
        <v>15</v>
      </c>
      <c r="M18" s="107"/>
      <c r="N18" s="107"/>
      <c r="O18" s="107"/>
      <c r="P18" s="107"/>
      <c r="Q18" s="107"/>
      <c r="R18" s="107"/>
      <c r="S18" s="107"/>
      <c r="T18" s="107"/>
      <c r="U18" s="107"/>
      <c r="V18" s="107"/>
      <c r="W18" s="107">
        <f>14</f>
        <v>14</v>
      </c>
      <c r="X18" s="168">
        <f t="shared" ca="1" si="3"/>
        <v>40.082059832191149</v>
      </c>
      <c r="Y18" s="108"/>
      <c r="Z18" s="171">
        <f t="shared" ca="1" si="0"/>
        <v>40.082059832191149</v>
      </c>
      <c r="AA18" s="115">
        <f ca="1">COUNTIF(Teams!$4:$20,B18)</f>
        <v>8</v>
      </c>
      <c r="AB18" s="115">
        <f t="shared" ca="1" si="5"/>
        <v>27</v>
      </c>
      <c r="AC18" s="202">
        <v>17</v>
      </c>
      <c r="AD18" s="203" t="str">
        <f t="shared" ca="1" si="4"/>
        <v>Talansky</v>
      </c>
      <c r="AE18" s="277">
        <f t="shared" ca="1" si="2"/>
        <v>133.0868892430544</v>
      </c>
      <c r="AF18" s="210">
        <f ca="1">SUM($AE$2:$AE$18)</f>
        <v>4139.8666929493993</v>
      </c>
    </row>
    <row r="19" spans="1:104" s="87" customFormat="1">
      <c r="A19" s="116"/>
      <c r="B19" s="117" t="s">
        <v>85</v>
      </c>
      <c r="C19" s="118"/>
      <c r="D19" s="118"/>
      <c r="E19" s="118"/>
      <c r="F19" s="118"/>
      <c r="G19" s="118">
        <f>24+2</f>
        <v>26</v>
      </c>
      <c r="H19" s="118">
        <f>35+4</f>
        <v>39</v>
      </c>
      <c r="I19" s="118"/>
      <c r="J19" s="118">
        <v>4</v>
      </c>
      <c r="K19" s="118">
        <v>4</v>
      </c>
      <c r="L19" s="118">
        <f>30+4</f>
        <v>34</v>
      </c>
      <c r="M19" s="118">
        <v>4</v>
      </c>
      <c r="N19" s="118">
        <v>3</v>
      </c>
      <c r="O19" s="118">
        <f>11+3</f>
        <v>14</v>
      </c>
      <c r="P19" s="118">
        <v>3</v>
      </c>
      <c r="Q19" s="118">
        <v>3</v>
      </c>
      <c r="R19" s="118">
        <v>3</v>
      </c>
      <c r="S19" s="118">
        <v>3</v>
      </c>
      <c r="T19" s="118">
        <v>3</v>
      </c>
      <c r="U19" s="118">
        <v>3</v>
      </c>
      <c r="V19" s="118">
        <v>3</v>
      </c>
      <c r="W19" s="118">
        <f>30+3</f>
        <v>33</v>
      </c>
      <c r="X19" s="169">
        <f t="shared" ca="1" si="3"/>
        <v>182.06317957119913</v>
      </c>
      <c r="Y19" s="119">
        <v>5</v>
      </c>
      <c r="Z19" s="172">
        <f t="shared" ca="1" si="0"/>
        <v>187.06317957119913</v>
      </c>
      <c r="AA19" s="115">
        <f ca="1">COUNTIF(Teams!$4:$20,B19)</f>
        <v>11</v>
      </c>
      <c r="AB19" s="115">
        <f t="shared" ca="1" si="5"/>
        <v>12</v>
      </c>
      <c r="AC19" s="202">
        <v>18</v>
      </c>
      <c r="AD19" s="84" t="str">
        <f t="shared" ref="AD19:AD48" ca="1" si="6">INDEX($B$2:$B$48,MATCH(AC19,$AB$2:$AB$48,0))</f>
        <v>Costa</v>
      </c>
      <c r="AE19" s="209">
        <f t="shared" ca="1" si="2"/>
        <v>96.08445220095895</v>
      </c>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row>
    <row r="20" spans="1:104" s="88" customFormat="1">
      <c r="A20" s="112"/>
      <c r="B20" s="113" t="s">
        <v>79</v>
      </c>
      <c r="C20" s="107"/>
      <c r="D20" s="107"/>
      <c r="E20" s="107"/>
      <c r="F20" s="107"/>
      <c r="G20" s="107"/>
      <c r="H20" s="107"/>
      <c r="I20" s="107"/>
      <c r="J20" s="107"/>
      <c r="K20" s="107"/>
      <c r="L20" s="107"/>
      <c r="M20" s="107"/>
      <c r="N20" s="107"/>
      <c r="O20" s="107"/>
      <c r="P20" s="107"/>
      <c r="Q20" s="107"/>
      <c r="R20" s="107"/>
      <c r="S20" s="107"/>
      <c r="T20" s="107"/>
      <c r="U20" s="107"/>
      <c r="V20" s="107"/>
      <c r="W20" s="107"/>
      <c r="X20" s="168">
        <f t="shared" ca="1" si="3"/>
        <v>5.6205229526326873E-2</v>
      </c>
      <c r="Y20" s="108"/>
      <c r="Z20" s="171">
        <f t="shared" ca="1" si="0"/>
        <v>5.6205229526326873E-2</v>
      </c>
      <c r="AA20" s="115">
        <f ca="1">COUNTIF(Teams!$4:$20,B20)</f>
        <v>2</v>
      </c>
      <c r="AB20" s="115">
        <f t="shared" ca="1" si="5"/>
        <v>42</v>
      </c>
      <c r="AC20" s="202">
        <v>19</v>
      </c>
      <c r="AD20" s="84" t="str">
        <f t="shared" ca="1" si="6"/>
        <v>Rolland</v>
      </c>
      <c r="AE20" s="209">
        <f t="shared" ca="1" si="2"/>
        <v>91.073730340652403</v>
      </c>
    </row>
    <row r="21" spans="1:104" s="87" customFormat="1">
      <c r="A21" s="116"/>
      <c r="B21" s="117" t="s">
        <v>108</v>
      </c>
      <c r="C21" s="118">
        <f>35+10+5</f>
        <v>50</v>
      </c>
      <c r="D21" s="118">
        <v>5</v>
      </c>
      <c r="E21" s="118">
        <v>4</v>
      </c>
      <c r="F21" s="118"/>
      <c r="G21" s="118"/>
      <c r="H21" s="118">
        <f>26+1</f>
        <v>27</v>
      </c>
      <c r="I21" s="118"/>
      <c r="J21" s="118"/>
      <c r="K21" s="118"/>
      <c r="L21" s="118">
        <f>35+2</f>
        <v>37</v>
      </c>
      <c r="M21" s="118">
        <v>2</v>
      </c>
      <c r="N21" s="118">
        <f>35+2</f>
        <v>37</v>
      </c>
      <c r="O21" s="118">
        <v>2</v>
      </c>
      <c r="P21" s="118">
        <v>2</v>
      </c>
      <c r="Q21" s="118">
        <v>2</v>
      </c>
      <c r="R21" s="118">
        <v>2</v>
      </c>
      <c r="S21" s="118">
        <v>2</v>
      </c>
      <c r="T21" s="118">
        <v>2</v>
      </c>
      <c r="U21" s="118">
        <v>2</v>
      </c>
      <c r="V21" s="118">
        <v>2</v>
      </c>
      <c r="W21" s="118">
        <f>35+2</f>
        <v>37</v>
      </c>
      <c r="X21" s="169">
        <f t="shared" ca="1" si="3"/>
        <v>215.03639114680371</v>
      </c>
      <c r="Y21" s="119">
        <v>3</v>
      </c>
      <c r="Z21" s="172">
        <f t="shared" ca="1" si="0"/>
        <v>218.03639114680371</v>
      </c>
      <c r="AA21" s="115">
        <f ca="1">COUNTIF(Teams!$4:$20,B21)</f>
        <v>11</v>
      </c>
      <c r="AB21" s="115">
        <f t="shared" ca="1" si="5"/>
        <v>10</v>
      </c>
      <c r="AC21" s="202">
        <v>20</v>
      </c>
      <c r="AD21" s="84" t="str">
        <f t="shared" ca="1" si="6"/>
        <v>Chavanel</v>
      </c>
      <c r="AE21" s="209">
        <f t="shared" ca="1" si="2"/>
        <v>68.003529941298964</v>
      </c>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row>
    <row r="22" spans="1:104" s="88" customFormat="1">
      <c r="A22" s="112"/>
      <c r="B22" s="113" t="s">
        <v>172</v>
      </c>
      <c r="C22" s="107"/>
      <c r="D22" s="107"/>
      <c r="E22" s="107"/>
      <c r="F22" s="107"/>
      <c r="G22" s="107">
        <v>1</v>
      </c>
      <c r="H22" s="107">
        <v>1</v>
      </c>
      <c r="I22" s="107">
        <v>1</v>
      </c>
      <c r="J22" s="107">
        <f>19+5</f>
        <v>24</v>
      </c>
      <c r="K22" s="107">
        <f>11+6</f>
        <v>17</v>
      </c>
      <c r="L22" s="107">
        <v>6</v>
      </c>
      <c r="M22" s="107">
        <f>10+6</f>
        <v>16</v>
      </c>
      <c r="N22" s="107">
        <f>7+6</f>
        <v>13</v>
      </c>
      <c r="O22" s="107">
        <f>20+7</f>
        <v>27</v>
      </c>
      <c r="P22" s="107">
        <f>7</f>
        <v>7</v>
      </c>
      <c r="Q22" s="107">
        <f>22+7+1</f>
        <v>30</v>
      </c>
      <c r="R22" s="107">
        <f>7+1</f>
        <v>8</v>
      </c>
      <c r="S22" s="107">
        <f>24+8</f>
        <v>32</v>
      </c>
      <c r="T22" s="107">
        <f>14+7</f>
        <v>21</v>
      </c>
      <c r="U22" s="107">
        <f>7</f>
        <v>7</v>
      </c>
      <c r="V22" s="107">
        <f>16+6</f>
        <v>22</v>
      </c>
      <c r="W22" s="107">
        <v>6</v>
      </c>
      <c r="X22" s="168">
        <f t="shared" ca="1" si="3"/>
        <v>239.052571719024</v>
      </c>
      <c r="Y22" s="108">
        <v>44</v>
      </c>
      <c r="Z22" s="171">
        <f t="shared" ca="1" si="0"/>
        <v>283.052571719024</v>
      </c>
      <c r="AA22" s="115">
        <f ca="1">COUNTIF(Teams!$4:$20,B22)</f>
        <v>0</v>
      </c>
      <c r="AB22" s="115">
        <f t="shared" ca="1" si="5"/>
        <v>5</v>
      </c>
      <c r="AC22" s="202">
        <v>21</v>
      </c>
      <c r="AD22" s="84" t="str">
        <f t="shared" ca="1" si="6"/>
        <v>Moreno</v>
      </c>
      <c r="AE22" s="209">
        <f t="shared" ca="1" si="2"/>
        <v>64.076161928295818</v>
      </c>
    </row>
    <row r="23" spans="1:104" s="87" customFormat="1">
      <c r="A23" s="116"/>
      <c r="B23" s="117" t="s">
        <v>175</v>
      </c>
      <c r="C23" s="118">
        <f>30+9+4</f>
        <v>43</v>
      </c>
      <c r="D23" s="118">
        <v>3</v>
      </c>
      <c r="E23" s="118">
        <v>3</v>
      </c>
      <c r="F23" s="118"/>
      <c r="G23" s="118">
        <f>20+3</f>
        <v>23</v>
      </c>
      <c r="H23" s="118">
        <f>20+2</f>
        <v>22</v>
      </c>
      <c r="I23" s="118"/>
      <c r="J23" s="118">
        <v>2</v>
      </c>
      <c r="K23" s="118">
        <v>2</v>
      </c>
      <c r="L23" s="118">
        <f>20+1</f>
        <v>21</v>
      </c>
      <c r="M23" s="118">
        <v>1</v>
      </c>
      <c r="N23" s="118">
        <f>24+1</f>
        <v>25</v>
      </c>
      <c r="O23" s="118">
        <v>1</v>
      </c>
      <c r="P23" s="118">
        <v>1</v>
      </c>
      <c r="Q23" s="118">
        <v>1</v>
      </c>
      <c r="R23" s="118">
        <v>1</v>
      </c>
      <c r="S23" s="118">
        <v>1</v>
      </c>
      <c r="T23" s="118">
        <v>1</v>
      </c>
      <c r="U23" s="118">
        <v>1</v>
      </c>
      <c r="V23" s="118">
        <v>1</v>
      </c>
      <c r="W23" s="118">
        <f>20+1</f>
        <v>21</v>
      </c>
      <c r="X23" s="169">
        <f t="shared" ref="X23" ca="1" si="7">SUM(C23:W23)+RAND()/10</f>
        <v>174.08804469639509</v>
      </c>
      <c r="Y23" s="119">
        <v>1</v>
      </c>
      <c r="Z23" s="172">
        <f t="shared" ref="Z23" ca="1" si="8">SUM(X23:Y23)</f>
        <v>175.08804469639509</v>
      </c>
      <c r="AA23" s="115">
        <f ca="1">COUNTIF(Teams!$4:$20,B23)</f>
        <v>3</v>
      </c>
      <c r="AB23" s="115">
        <f t="shared" ca="1" si="5"/>
        <v>13</v>
      </c>
      <c r="AC23" s="202">
        <v>22</v>
      </c>
      <c r="AD23" s="84" t="str">
        <f t="shared" ca="1" si="6"/>
        <v>Gilbert</v>
      </c>
      <c r="AE23" s="209">
        <f t="shared" ca="1" si="2"/>
        <v>57.057713477853518</v>
      </c>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row>
    <row r="24" spans="1:104" s="88" customFormat="1">
      <c r="A24" s="112" t="s">
        <v>113</v>
      </c>
      <c r="B24" s="113" t="s">
        <v>70</v>
      </c>
      <c r="C24" s="107"/>
      <c r="D24" s="107"/>
      <c r="E24" s="107"/>
      <c r="F24" s="107"/>
      <c r="G24" s="107"/>
      <c r="H24" s="107"/>
      <c r="I24" s="107"/>
      <c r="J24" s="107"/>
      <c r="K24" s="107"/>
      <c r="L24" s="107"/>
      <c r="M24" s="107">
        <f>35</f>
        <v>35</v>
      </c>
      <c r="N24" s="107"/>
      <c r="O24" s="107"/>
      <c r="P24" s="107"/>
      <c r="Q24" s="107"/>
      <c r="R24" s="107"/>
      <c r="S24" s="107"/>
      <c r="T24" s="107"/>
      <c r="U24" s="107"/>
      <c r="V24" s="107"/>
      <c r="W24" s="107"/>
      <c r="X24" s="168">
        <f t="shared" ca="1" si="3"/>
        <v>35.039478995895109</v>
      </c>
      <c r="Y24" s="108"/>
      <c r="Z24" s="171">
        <f t="shared" ref="Z24:Z48" ca="1" si="9">SUM(X24:Y24)</f>
        <v>35.039478995895109</v>
      </c>
      <c r="AA24" s="115">
        <f ca="1">COUNTIF(Teams!$4:$20,B24)</f>
        <v>3</v>
      </c>
      <c r="AB24" s="115">
        <f t="shared" ca="1" si="5"/>
        <v>29</v>
      </c>
      <c r="AC24" s="202">
        <v>23</v>
      </c>
      <c r="AD24" s="84" t="str">
        <f t="shared" ca="1" si="6"/>
        <v>van Garderen</v>
      </c>
      <c r="AE24" s="209">
        <f t="shared" ca="1" si="2"/>
        <v>57.013560907379969</v>
      </c>
    </row>
    <row r="25" spans="1:104" s="87" customFormat="1">
      <c r="A25" s="116"/>
      <c r="B25" s="117" t="s">
        <v>83</v>
      </c>
      <c r="C25" s="118"/>
      <c r="D25" s="118"/>
      <c r="E25" s="118"/>
      <c r="F25" s="118"/>
      <c r="G25" s="118"/>
      <c r="H25" s="118"/>
      <c r="I25" s="118"/>
      <c r="J25" s="118">
        <f>24+7</f>
        <v>31</v>
      </c>
      <c r="K25" s="118">
        <f>18+8</f>
        <v>26</v>
      </c>
      <c r="L25" s="118">
        <v>8</v>
      </c>
      <c r="M25" s="118">
        <f>15+8</f>
        <v>23</v>
      </c>
      <c r="N25" s="118">
        <v>8</v>
      </c>
      <c r="O25" s="118">
        <f>26+9</f>
        <v>35</v>
      </c>
      <c r="P25" s="118">
        <f>9</f>
        <v>9</v>
      </c>
      <c r="Q25" s="118">
        <f>18+9</f>
        <v>27</v>
      </c>
      <c r="R25" s="118">
        <f>9</f>
        <v>9</v>
      </c>
      <c r="S25" s="118">
        <f>15+7</f>
        <v>22</v>
      </c>
      <c r="T25" s="118">
        <v>5</v>
      </c>
      <c r="U25" s="118">
        <v>5</v>
      </c>
      <c r="V25" s="118">
        <f>10+5</f>
        <v>15</v>
      </c>
      <c r="W25" s="118">
        <v>5</v>
      </c>
      <c r="X25" s="169">
        <f t="shared" ca="1" si="3"/>
        <v>228.02636749003295</v>
      </c>
      <c r="Y25" s="119">
        <v>40</v>
      </c>
      <c r="Z25" s="172">
        <f t="shared" ca="1" si="9"/>
        <v>268.02636749003295</v>
      </c>
      <c r="AA25" s="115">
        <f ca="1">COUNTIF(Teams!$4:$20,B25)</f>
        <v>2</v>
      </c>
      <c r="AB25" s="115">
        <f t="shared" ca="1" si="5"/>
        <v>6</v>
      </c>
      <c r="AC25" s="202">
        <v>24</v>
      </c>
      <c r="AD25" s="84" t="str">
        <f t="shared" ca="1" si="6"/>
        <v>Evans</v>
      </c>
      <c r="AE25" s="209">
        <f t="shared" ca="1" si="2"/>
        <v>51.021169213014936</v>
      </c>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row>
    <row r="26" spans="1:104" s="88" customFormat="1">
      <c r="A26" s="112"/>
      <c r="B26" s="113" t="s">
        <v>174</v>
      </c>
      <c r="C26" s="107"/>
      <c r="D26" s="107"/>
      <c r="E26" s="107"/>
      <c r="F26" s="107"/>
      <c r="G26" s="107"/>
      <c r="H26" s="107"/>
      <c r="I26" s="107"/>
      <c r="J26" s="107"/>
      <c r="K26" s="107">
        <v>24</v>
      </c>
      <c r="L26" s="107"/>
      <c r="M26" s="107"/>
      <c r="N26" s="107"/>
      <c r="O26" s="107"/>
      <c r="P26" s="107"/>
      <c r="Q26" s="107">
        <v>10</v>
      </c>
      <c r="R26" s="107"/>
      <c r="S26" s="107"/>
      <c r="T26" s="107"/>
      <c r="U26" s="107"/>
      <c r="V26" s="107">
        <v>12</v>
      </c>
      <c r="W26" s="107"/>
      <c r="X26" s="168">
        <f t="shared" ca="1" si="3"/>
        <v>46.076161928295825</v>
      </c>
      <c r="Y26" s="108">
        <v>18</v>
      </c>
      <c r="Z26" s="171">
        <f t="shared" ca="1" si="9"/>
        <v>64.076161928295818</v>
      </c>
      <c r="AA26" s="115">
        <f ca="1">COUNTIF(Teams!$4:$20,B26)</f>
        <v>1</v>
      </c>
      <c r="AB26" s="115">
        <f t="shared" ca="1" si="5"/>
        <v>21</v>
      </c>
      <c r="AC26" s="202">
        <v>25</v>
      </c>
      <c r="AD26" s="84" t="str">
        <f t="shared" ca="1" si="6"/>
        <v>Degenkolb</v>
      </c>
      <c r="AE26" s="209">
        <f t="shared" ca="1" si="2"/>
        <v>50.021827554188746</v>
      </c>
    </row>
    <row r="27" spans="1:104" s="87" customFormat="1">
      <c r="A27" s="116"/>
      <c r="B27" s="117" t="s">
        <v>148</v>
      </c>
      <c r="C27" s="118"/>
      <c r="D27" s="118"/>
      <c r="E27" s="118"/>
      <c r="F27" s="118"/>
      <c r="G27" s="118"/>
      <c r="H27" s="118"/>
      <c r="I27" s="118"/>
      <c r="J27" s="118"/>
      <c r="K27" s="118"/>
      <c r="L27" s="118"/>
      <c r="M27" s="118"/>
      <c r="N27" s="118"/>
      <c r="O27" s="118"/>
      <c r="P27" s="118"/>
      <c r="Q27" s="118"/>
      <c r="R27" s="118"/>
      <c r="S27" s="118"/>
      <c r="T27" s="118"/>
      <c r="U27" s="118"/>
      <c r="V27" s="118"/>
      <c r="W27" s="118"/>
      <c r="X27" s="169">
        <f t="shared" ca="1" si="3"/>
        <v>4.3302010906342864E-2</v>
      </c>
      <c r="Y27" s="119"/>
      <c r="Z27" s="172">
        <f t="shared" ca="1" si="9"/>
        <v>4.3302010906342864E-2</v>
      </c>
      <c r="AA27" s="115">
        <f ca="1">COUNTIF(Teams!$4:$20,B27)</f>
        <v>8</v>
      </c>
      <c r="AB27" s="115">
        <f t="shared" ca="1" si="5"/>
        <v>44</v>
      </c>
      <c r="AC27" s="202">
        <v>26</v>
      </c>
      <c r="AD27" s="84" t="str">
        <f t="shared" ca="1" si="6"/>
        <v>de Gendt</v>
      </c>
      <c r="AE27" s="209">
        <f t="shared" ca="1" si="2"/>
        <v>50.020598049338275</v>
      </c>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row>
    <row r="28" spans="1:104" s="88" customFormat="1">
      <c r="A28" s="112"/>
      <c r="B28" s="113" t="s">
        <v>150</v>
      </c>
      <c r="C28" s="107"/>
      <c r="D28" s="107"/>
      <c r="E28" s="107"/>
      <c r="F28" s="107"/>
      <c r="G28" s="107">
        <v>3</v>
      </c>
      <c r="H28" s="107">
        <f>7+3</f>
        <v>10</v>
      </c>
      <c r="I28" s="107">
        <v>3</v>
      </c>
      <c r="J28" s="107">
        <f>30+9+3</f>
        <v>42</v>
      </c>
      <c r="K28" s="107">
        <v>3</v>
      </c>
      <c r="L28" s="107">
        <v>3</v>
      </c>
      <c r="M28" s="107">
        <f>24+3</f>
        <v>27</v>
      </c>
      <c r="N28" s="107">
        <v>3</v>
      </c>
      <c r="O28" s="107">
        <v>3</v>
      </c>
      <c r="P28" s="107">
        <v>3</v>
      </c>
      <c r="Q28" s="107">
        <v>11</v>
      </c>
      <c r="R28" s="107"/>
      <c r="S28" s="107"/>
      <c r="T28" s="107">
        <v>20</v>
      </c>
      <c r="U28" s="107"/>
      <c r="V28" s="107">
        <v>22</v>
      </c>
      <c r="W28" s="107"/>
      <c r="X28" s="168">
        <f t="shared" ca="1" si="3"/>
        <v>153.00369780591399</v>
      </c>
      <c r="Y28" s="108">
        <v>14</v>
      </c>
      <c r="Z28" s="171">
        <f t="shared" ca="1" si="9"/>
        <v>167.00369780591399</v>
      </c>
      <c r="AA28" s="115">
        <f ca="1">COUNTIF(Teams!$4:$20,B28)</f>
        <v>9</v>
      </c>
      <c r="AB28" s="115">
        <f t="shared" ca="1" si="5"/>
        <v>14</v>
      </c>
      <c r="AC28" s="202">
        <v>27</v>
      </c>
      <c r="AD28" s="84" t="str">
        <f t="shared" ca="1" si="6"/>
        <v>Goss</v>
      </c>
      <c r="AE28" s="209">
        <f t="shared" ca="1" si="2"/>
        <v>40.082059832191149</v>
      </c>
    </row>
    <row r="29" spans="1:104" s="87" customFormat="1">
      <c r="A29" s="116"/>
      <c r="B29" s="117" t="s">
        <v>160</v>
      </c>
      <c r="C29" s="118"/>
      <c r="D29" s="118"/>
      <c r="E29" s="118"/>
      <c r="F29" s="118"/>
      <c r="G29" s="118"/>
      <c r="H29" s="118"/>
      <c r="I29" s="118"/>
      <c r="J29" s="118">
        <f>17+3+2</f>
        <v>22</v>
      </c>
      <c r="K29" s="118">
        <f>7+4+2</f>
        <v>13</v>
      </c>
      <c r="L29" s="118">
        <f>4+2</f>
        <v>6</v>
      </c>
      <c r="M29" s="118">
        <f>3+2</f>
        <v>5</v>
      </c>
      <c r="N29" s="118">
        <f>9+3+2</f>
        <v>14</v>
      </c>
      <c r="O29" s="118">
        <f>3+2</f>
        <v>5</v>
      </c>
      <c r="P29" s="118">
        <f>3+2</f>
        <v>5</v>
      </c>
      <c r="Q29" s="118">
        <f>30+5+4</f>
        <v>39</v>
      </c>
      <c r="R29" s="118">
        <f>6+4</f>
        <v>10</v>
      </c>
      <c r="S29" s="118">
        <f>20+6+4</f>
        <v>30</v>
      </c>
      <c r="T29" s="118">
        <f>24+8+4</f>
        <v>36</v>
      </c>
      <c r="U29" s="118">
        <f>8+2</f>
        <v>10</v>
      </c>
      <c r="V29" s="118">
        <f>35+9+5</f>
        <v>49</v>
      </c>
      <c r="W29" s="118">
        <f>9+5</f>
        <v>14</v>
      </c>
      <c r="X29" s="169">
        <f t="shared" ca="1" si="3"/>
        <v>258.03872972464353</v>
      </c>
      <c r="Y29" s="119">
        <f>10+60</f>
        <v>70</v>
      </c>
      <c r="Z29" s="172">
        <f t="shared" ca="1" si="9"/>
        <v>328.03872972464353</v>
      </c>
      <c r="AA29" s="115">
        <f ca="1">COUNTIF(Teams!$4:$20,B29)</f>
        <v>5</v>
      </c>
      <c r="AB29" s="115">
        <f t="shared" ca="1" si="5"/>
        <v>3</v>
      </c>
      <c r="AC29" s="202">
        <v>28</v>
      </c>
      <c r="AD29" s="84" t="str">
        <f t="shared" ca="1" si="6"/>
        <v>Schleck</v>
      </c>
      <c r="AE29" s="209">
        <f t="shared" ca="1" si="2"/>
        <v>37.033760710343131</v>
      </c>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row>
    <row r="30" spans="1:104" s="88" customFormat="1">
      <c r="A30" s="112"/>
      <c r="B30" s="113" t="s">
        <v>159</v>
      </c>
      <c r="C30" s="107"/>
      <c r="D30" s="107"/>
      <c r="E30" s="107"/>
      <c r="F30" s="107"/>
      <c r="G30" s="107"/>
      <c r="H30" s="107"/>
      <c r="I30" s="107"/>
      <c r="J30" s="107">
        <f>15+2</f>
        <v>17</v>
      </c>
      <c r="K30" s="107">
        <f>22+2</f>
        <v>24</v>
      </c>
      <c r="L30" s="107">
        <v>2</v>
      </c>
      <c r="M30" s="107"/>
      <c r="N30" s="107"/>
      <c r="O30" s="107">
        <v>1</v>
      </c>
      <c r="P30" s="107">
        <v>1</v>
      </c>
      <c r="Q30" s="107">
        <f>24+3</f>
        <v>27</v>
      </c>
      <c r="R30" s="107">
        <v>4</v>
      </c>
      <c r="S30" s="107">
        <f>26+5+1</f>
        <v>32</v>
      </c>
      <c r="T30" s="107">
        <f>22+6</f>
        <v>28</v>
      </c>
      <c r="U30" s="107">
        <v>6</v>
      </c>
      <c r="V30" s="107">
        <f>30+8+2</f>
        <v>40</v>
      </c>
      <c r="W30" s="107">
        <f>8+2</f>
        <v>10</v>
      </c>
      <c r="X30" s="168">
        <f t="shared" ca="1" si="3"/>
        <v>192.0566689427263</v>
      </c>
      <c r="Y30" s="108">
        <f>3+52</f>
        <v>55</v>
      </c>
      <c r="Z30" s="171">
        <f t="shared" ca="1" si="9"/>
        <v>247.0566689427263</v>
      </c>
      <c r="AA30" s="115">
        <f ca="1">COUNTIF(Teams!$4:$20,B30)</f>
        <v>10</v>
      </c>
      <c r="AB30" s="115">
        <f t="shared" ca="1" si="5"/>
        <v>7</v>
      </c>
      <c r="AC30" s="202">
        <v>29</v>
      </c>
      <c r="AD30" s="84" t="str">
        <f t="shared" ca="1" si="6"/>
        <v>Martin</v>
      </c>
      <c r="AE30" s="209">
        <f t="shared" ca="1" si="2"/>
        <v>35.039478995895109</v>
      </c>
    </row>
    <row r="31" spans="1:104" s="87" customFormat="1">
      <c r="A31" s="116"/>
      <c r="B31" s="117" t="s">
        <v>74</v>
      </c>
      <c r="C31" s="118">
        <f>17+2</f>
        <v>19</v>
      </c>
      <c r="D31" s="118"/>
      <c r="E31" s="118">
        <f>26</f>
        <v>26</v>
      </c>
      <c r="F31" s="118"/>
      <c r="G31" s="118">
        <v>16</v>
      </c>
      <c r="H31" s="118">
        <f>19</f>
        <v>19</v>
      </c>
      <c r="I31" s="118"/>
      <c r="J31" s="118"/>
      <c r="K31" s="118"/>
      <c r="L31" s="118">
        <v>16</v>
      </c>
      <c r="M31" s="118"/>
      <c r="N31" s="118">
        <v>19</v>
      </c>
      <c r="O31" s="118"/>
      <c r="P31" s="118">
        <v>24</v>
      </c>
      <c r="Q31" s="118"/>
      <c r="R31" s="118"/>
      <c r="S31" s="118"/>
      <c r="T31" s="118"/>
      <c r="U31" s="118"/>
      <c r="V31" s="118"/>
      <c r="W31" s="118">
        <v>7</v>
      </c>
      <c r="X31" s="169">
        <f t="shared" ca="1" si="3"/>
        <v>146.03406911491356</v>
      </c>
      <c r="Y31" s="119"/>
      <c r="Z31" s="172">
        <f t="shared" ca="1" si="9"/>
        <v>146.03406911491356</v>
      </c>
      <c r="AA31" s="115">
        <f ca="1">COUNTIF(Teams!$4:$20,B31)</f>
        <v>4</v>
      </c>
      <c r="AB31" s="115">
        <f t="shared" ca="1" si="5"/>
        <v>15</v>
      </c>
      <c r="AC31" s="202">
        <v>30</v>
      </c>
      <c r="AD31" s="84" t="str">
        <f t="shared" ca="1" si="6"/>
        <v>Anton</v>
      </c>
      <c r="AE31" s="209">
        <f t="shared" ca="1" si="2"/>
        <v>25.096160674108475</v>
      </c>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row>
    <row r="32" spans="1:104" s="88" customFormat="1">
      <c r="A32" s="112"/>
      <c r="B32" s="113" t="s">
        <v>132</v>
      </c>
      <c r="C32" s="107"/>
      <c r="D32" s="107">
        <v>5</v>
      </c>
      <c r="E32" s="107">
        <v>5</v>
      </c>
      <c r="F32" s="107"/>
      <c r="G32" s="107">
        <v>5</v>
      </c>
      <c r="H32" s="107">
        <v>5</v>
      </c>
      <c r="I32" s="107">
        <v>4</v>
      </c>
      <c r="J32" s="107">
        <v>4</v>
      </c>
      <c r="K32" s="107">
        <v>5</v>
      </c>
      <c r="L32" s="107">
        <v>5</v>
      </c>
      <c r="M32" s="107">
        <v>5</v>
      </c>
      <c r="N32" s="107">
        <v>5</v>
      </c>
      <c r="O32" s="107">
        <v>5</v>
      </c>
      <c r="P32" s="107">
        <v>5</v>
      </c>
      <c r="Q32" s="107">
        <v>2</v>
      </c>
      <c r="R32" s="107">
        <v>2</v>
      </c>
      <c r="S32" s="107">
        <v>2</v>
      </c>
      <c r="T32" s="107">
        <v>2</v>
      </c>
      <c r="U32" s="107">
        <f>10+4</f>
        <v>14</v>
      </c>
      <c r="V32" s="107">
        <v>3</v>
      </c>
      <c r="W32" s="107">
        <v>3</v>
      </c>
      <c r="X32" s="168">
        <f t="shared" ca="1" si="3"/>
        <v>86.073730340652403</v>
      </c>
      <c r="Y32" s="108">
        <v>5</v>
      </c>
      <c r="Z32" s="171">
        <f t="shared" ca="1" si="9"/>
        <v>91.073730340652403</v>
      </c>
      <c r="AA32" s="115">
        <f ca="1">COUNTIF(Teams!$4:$20,B32)</f>
        <v>4</v>
      </c>
      <c r="AB32" s="115">
        <f t="shared" ca="1" si="5"/>
        <v>19</v>
      </c>
      <c r="AC32" s="202">
        <v>31</v>
      </c>
      <c r="AD32" s="84" t="str">
        <f t="shared" ca="1" si="6"/>
        <v>Steegmans</v>
      </c>
      <c r="AE32" s="209">
        <f t="shared" ca="1" si="2"/>
        <v>22.050107362184164</v>
      </c>
    </row>
    <row r="33" spans="1:104" s="87" customFormat="1">
      <c r="A33" s="116"/>
      <c r="B33" s="117" t="s">
        <v>106</v>
      </c>
      <c r="C33" s="118"/>
      <c r="D33" s="118">
        <f>30+4</f>
        <v>34</v>
      </c>
      <c r="E33" s="118">
        <f>30+5</f>
        <v>35</v>
      </c>
      <c r="F33" s="118"/>
      <c r="G33" s="118">
        <f>26+5</f>
        <v>31</v>
      </c>
      <c r="H33" s="118">
        <f>30+5</f>
        <v>35</v>
      </c>
      <c r="I33" s="118">
        <f>35+5</f>
        <v>40</v>
      </c>
      <c r="J33" s="118">
        <v>5</v>
      </c>
      <c r="K33" s="118">
        <v>5</v>
      </c>
      <c r="L33" s="118">
        <f>24+5</f>
        <v>29</v>
      </c>
      <c r="M33" s="118">
        <f>9+5</f>
        <v>14</v>
      </c>
      <c r="N33" s="118">
        <f>26+5</f>
        <v>31</v>
      </c>
      <c r="O33" s="118">
        <f>30+5</f>
        <v>35</v>
      </c>
      <c r="P33" s="118">
        <v>5</v>
      </c>
      <c r="Q33" s="118">
        <v>5</v>
      </c>
      <c r="R33" s="118">
        <v>5</v>
      </c>
      <c r="S33" s="118">
        <v>5</v>
      </c>
      <c r="T33" s="118">
        <v>5</v>
      </c>
      <c r="U33" s="118">
        <v>5</v>
      </c>
      <c r="V33" s="118">
        <v>5</v>
      </c>
      <c r="W33" s="118">
        <f>24+5</f>
        <v>29</v>
      </c>
      <c r="X33" s="169">
        <f t="shared" ca="1" si="3"/>
        <v>358.0432292140211</v>
      </c>
      <c r="Y33" s="119">
        <v>10</v>
      </c>
      <c r="Z33" s="172">
        <f t="shared" ca="1" si="9"/>
        <v>368.0432292140211</v>
      </c>
      <c r="AA33" s="115">
        <f ca="1">COUNTIF(Teams!$4:$20,B33)</f>
        <v>11</v>
      </c>
      <c r="AB33" s="115">
        <f t="shared" ca="1" si="5"/>
        <v>2</v>
      </c>
      <c r="AC33" s="202">
        <v>32</v>
      </c>
      <c r="AD33" s="84" t="str">
        <f t="shared" ca="1" si="6"/>
        <v>Velits</v>
      </c>
      <c r="AE33" s="209">
        <f t="shared" ca="1" si="2"/>
        <v>21.054176849351435</v>
      </c>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row>
    <row r="34" spans="1:104" s="88" customFormat="1">
      <c r="A34" s="112"/>
      <c r="B34" s="113" t="s">
        <v>120</v>
      </c>
      <c r="C34" s="107"/>
      <c r="D34" s="107"/>
      <c r="E34" s="107"/>
      <c r="F34" s="107"/>
      <c r="G34" s="107"/>
      <c r="H34" s="107"/>
      <c r="I34" s="107"/>
      <c r="J34" s="107"/>
      <c r="K34" s="107">
        <f>14</f>
        <v>14</v>
      </c>
      <c r="L34" s="107"/>
      <c r="M34" s="107"/>
      <c r="N34" s="107"/>
      <c r="O34" s="107"/>
      <c r="P34" s="107"/>
      <c r="Q34" s="107"/>
      <c r="R34" s="107"/>
      <c r="S34" s="107">
        <v>11</v>
      </c>
      <c r="T34" s="107"/>
      <c r="U34" s="107"/>
      <c r="V34" s="107"/>
      <c r="W34" s="107"/>
      <c r="X34" s="168">
        <f t="shared" ca="1" si="3"/>
        <v>25.033760710343135</v>
      </c>
      <c r="Y34" s="108">
        <v>12</v>
      </c>
      <c r="Z34" s="171">
        <f t="shared" ca="1" si="9"/>
        <v>37.033760710343131</v>
      </c>
      <c r="AA34" s="115">
        <f ca="1">COUNTIF(Teams!$4:$20,B34)</f>
        <v>3</v>
      </c>
      <c r="AB34" s="115">
        <f t="shared" ca="1" si="5"/>
        <v>28</v>
      </c>
      <c r="AC34" s="202">
        <v>33</v>
      </c>
      <c r="AD34" s="84" t="str">
        <f t="shared" ca="1" si="6"/>
        <v>Taaramae</v>
      </c>
      <c r="AE34" s="209">
        <f t="shared" ca="1" si="2"/>
        <v>8.0733008796538623</v>
      </c>
    </row>
    <row r="35" spans="1:104" s="87" customFormat="1">
      <c r="A35" s="116"/>
      <c r="B35" s="117" t="s">
        <v>200</v>
      </c>
      <c r="C35" s="118"/>
      <c r="D35" s="118"/>
      <c r="E35" s="118"/>
      <c r="F35" s="118"/>
      <c r="G35" s="118">
        <v>8</v>
      </c>
      <c r="H35" s="118"/>
      <c r="I35" s="118"/>
      <c r="J35" s="118"/>
      <c r="K35" s="118"/>
      <c r="L35" s="118"/>
      <c r="M35" s="118"/>
      <c r="N35" s="118">
        <v>14</v>
      </c>
      <c r="O35" s="118"/>
      <c r="P35" s="118"/>
      <c r="Q35" s="118"/>
      <c r="R35" s="118"/>
      <c r="S35" s="118"/>
      <c r="T35" s="118"/>
      <c r="U35" s="118"/>
      <c r="V35" s="118"/>
      <c r="W35" s="118"/>
      <c r="X35" s="169">
        <f t="shared" ca="1" si="3"/>
        <v>22.050107362184164</v>
      </c>
      <c r="Y35" s="119"/>
      <c r="Z35" s="172">
        <f t="shared" ca="1" si="9"/>
        <v>22.050107362184164</v>
      </c>
      <c r="AA35" s="115">
        <f ca="1">COUNTIF(Teams!$4:$20,B35)</f>
        <v>0</v>
      </c>
      <c r="AB35" s="115">
        <f t="shared" ca="1" si="5"/>
        <v>31</v>
      </c>
      <c r="AC35" s="202">
        <v>34</v>
      </c>
      <c r="AD35" s="84" t="str">
        <f t="shared" ca="1" si="6"/>
        <v>Voeckler</v>
      </c>
      <c r="AE35" s="209">
        <f t="shared" ca="1" si="2"/>
        <v>7.0938598347537409</v>
      </c>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row>
    <row r="36" spans="1:104" s="88" customFormat="1">
      <c r="A36" s="112"/>
      <c r="B36" s="113" t="s">
        <v>75</v>
      </c>
      <c r="C36" s="107"/>
      <c r="D36" s="107"/>
      <c r="E36" s="107"/>
      <c r="F36" s="107"/>
      <c r="G36" s="107"/>
      <c r="H36" s="107"/>
      <c r="I36" s="107"/>
      <c r="J36" s="107"/>
      <c r="K36" s="107"/>
      <c r="L36" s="107"/>
      <c r="M36" s="107"/>
      <c r="N36" s="107"/>
      <c r="O36" s="107"/>
      <c r="P36" s="107"/>
      <c r="Q36" s="107"/>
      <c r="R36" s="107"/>
      <c r="S36" s="107">
        <v>8</v>
      </c>
      <c r="T36" s="107"/>
      <c r="U36" s="107"/>
      <c r="V36" s="107"/>
      <c r="W36" s="107"/>
      <c r="X36" s="168">
        <f t="shared" ca="1" si="3"/>
        <v>8.0733008796538623</v>
      </c>
      <c r="Y36" s="108"/>
      <c r="Z36" s="171">
        <f t="shared" ca="1" si="9"/>
        <v>8.0733008796538623</v>
      </c>
      <c r="AA36" s="115">
        <f ca="1">COUNTIF(Teams!$4:$20,B36)</f>
        <v>0</v>
      </c>
      <c r="AB36" s="115">
        <f t="shared" ca="1" si="5"/>
        <v>33</v>
      </c>
      <c r="AC36" s="202">
        <v>35</v>
      </c>
      <c r="AD36" s="84" t="str">
        <f t="shared" ca="1" si="6"/>
        <v>Zubeldia</v>
      </c>
      <c r="AE36" s="209">
        <f t="shared" ca="1" si="2"/>
        <v>7.0911024644804375</v>
      </c>
    </row>
    <row r="37" spans="1:104" s="87" customFormat="1">
      <c r="A37" s="116"/>
      <c r="B37" s="117" t="s">
        <v>176</v>
      </c>
      <c r="C37" s="118"/>
      <c r="D37" s="118"/>
      <c r="E37" s="118"/>
      <c r="F37" s="118"/>
      <c r="G37" s="118"/>
      <c r="H37" s="118"/>
      <c r="I37" s="118"/>
      <c r="J37" s="118">
        <v>10</v>
      </c>
      <c r="K37" s="118"/>
      <c r="L37" s="118"/>
      <c r="M37" s="118">
        <v>14</v>
      </c>
      <c r="N37" s="118"/>
      <c r="O37" s="118"/>
      <c r="P37" s="118">
        <v>26</v>
      </c>
      <c r="Q37" s="118"/>
      <c r="R37" s="118"/>
      <c r="S37" s="118">
        <v>17</v>
      </c>
      <c r="T37" s="118">
        <v>12</v>
      </c>
      <c r="U37" s="118"/>
      <c r="V37" s="118">
        <f>20+1</f>
        <v>21</v>
      </c>
      <c r="W37" s="118">
        <v>1</v>
      </c>
      <c r="X37" s="169">
        <f t="shared" ca="1" si="3"/>
        <v>101.0868892430544</v>
      </c>
      <c r="Y37" s="119">
        <v>32</v>
      </c>
      <c r="Z37" s="172">
        <f t="shared" ca="1" si="9"/>
        <v>133.0868892430544</v>
      </c>
      <c r="AA37" s="115">
        <f ca="1">COUNTIF(Teams!$4:$20,B37)</f>
        <v>1</v>
      </c>
      <c r="AB37" s="115">
        <f t="shared" ca="1" si="5"/>
        <v>17</v>
      </c>
      <c r="AC37" s="202">
        <v>36</v>
      </c>
      <c r="AD37" s="84" t="str">
        <f t="shared" ca="1" si="6"/>
        <v>Vandevelde</v>
      </c>
      <c r="AE37" s="209">
        <f t="shared" ca="1" si="2"/>
        <v>9.1393504493054861E-2</v>
      </c>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row>
    <row r="38" spans="1:104" s="88" customFormat="1">
      <c r="A38" s="112"/>
      <c r="B38" s="113" t="s">
        <v>112</v>
      </c>
      <c r="C38" s="107"/>
      <c r="D38" s="107"/>
      <c r="E38" s="107"/>
      <c r="F38" s="107"/>
      <c r="G38" s="107"/>
      <c r="H38" s="107"/>
      <c r="I38" s="107"/>
      <c r="J38" s="107">
        <f>26+8</f>
        <v>34</v>
      </c>
      <c r="K38" s="107">
        <f>15+9</f>
        <v>24</v>
      </c>
      <c r="L38" s="107">
        <v>9</v>
      </c>
      <c r="M38" s="107">
        <f>13+9</f>
        <v>22</v>
      </c>
      <c r="N38" s="107">
        <f>8+9</f>
        <v>17</v>
      </c>
      <c r="O38" s="107"/>
      <c r="P38" s="107"/>
      <c r="Q38" s="107">
        <f>13</f>
        <v>13</v>
      </c>
      <c r="R38" s="107"/>
      <c r="S38" s="107">
        <f>22</f>
        <v>22</v>
      </c>
      <c r="T38" s="107">
        <f>18</f>
        <v>18</v>
      </c>
      <c r="U38" s="107">
        <f>8+2</f>
        <v>10</v>
      </c>
      <c r="V38" s="107">
        <f>24+3</f>
        <v>27</v>
      </c>
      <c r="W38" s="107">
        <v>3</v>
      </c>
      <c r="X38" s="168">
        <f t="shared" ca="1" si="3"/>
        <v>199.03813897272573</v>
      </c>
      <c r="Y38" s="108">
        <v>36</v>
      </c>
      <c r="Z38" s="171">
        <f t="shared" ca="1" si="9"/>
        <v>235.03813897272573</v>
      </c>
      <c r="AA38" s="115">
        <f ca="1">COUNTIF(Teams!$4:$20,B38)</f>
        <v>6</v>
      </c>
      <c r="AB38" s="115">
        <f t="shared" ca="1" si="5"/>
        <v>9</v>
      </c>
      <c r="AC38" s="202">
        <v>37</v>
      </c>
      <c r="AD38" s="84" t="str">
        <f t="shared" ca="1" si="6"/>
        <v>van den Broeck</v>
      </c>
      <c r="AE38" s="209">
        <f t="shared" ca="1" si="2"/>
        <v>7.1757033581430194E-2</v>
      </c>
    </row>
    <row r="39" spans="1:104" s="87" customFormat="1">
      <c r="A39" s="116"/>
      <c r="B39" s="117" t="s">
        <v>134</v>
      </c>
      <c r="C39" s="118"/>
      <c r="D39" s="118"/>
      <c r="E39" s="118"/>
      <c r="F39" s="118"/>
      <c r="G39" s="118"/>
      <c r="H39" s="118"/>
      <c r="I39" s="118"/>
      <c r="J39" s="118"/>
      <c r="K39" s="118"/>
      <c r="L39" s="118"/>
      <c r="M39" s="118"/>
      <c r="N39" s="118"/>
      <c r="O39" s="118"/>
      <c r="P39" s="118"/>
      <c r="Q39" s="118"/>
      <c r="R39" s="118"/>
      <c r="S39" s="118"/>
      <c r="T39" s="118"/>
      <c r="U39" s="118"/>
      <c r="V39" s="118"/>
      <c r="W39" s="118"/>
      <c r="X39" s="169">
        <f t="shared" ca="1" si="3"/>
        <v>7.1757033581430194E-2</v>
      </c>
      <c r="Y39" s="119"/>
      <c r="Z39" s="172">
        <f t="shared" ca="1" si="9"/>
        <v>7.1757033581430194E-2</v>
      </c>
      <c r="AA39" s="115">
        <f ca="1">COUNTIF(Teams!$4:$20,B39)</f>
        <v>6</v>
      </c>
      <c r="AB39" s="115">
        <f t="shared" ca="1" si="5"/>
        <v>37</v>
      </c>
      <c r="AC39" s="202">
        <v>38</v>
      </c>
      <c r="AD39" s="84">
        <f t="shared" ca="1" si="6"/>
        <v>0</v>
      </c>
      <c r="AE39" s="209">
        <f t="shared" ca="1" si="2"/>
        <v>7.1719783550915836E-2</v>
      </c>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row>
    <row r="40" spans="1:104" s="88" customFormat="1">
      <c r="A40" s="112"/>
      <c r="B40" s="113" t="s">
        <v>161</v>
      </c>
      <c r="C40" s="107"/>
      <c r="D40" s="107"/>
      <c r="E40" s="107"/>
      <c r="F40" s="107"/>
      <c r="G40" s="107"/>
      <c r="H40" s="107"/>
      <c r="I40" s="107"/>
      <c r="J40" s="107"/>
      <c r="K40" s="107"/>
      <c r="L40" s="107"/>
      <c r="M40" s="107"/>
      <c r="N40" s="107"/>
      <c r="O40" s="107"/>
      <c r="P40" s="107">
        <v>10</v>
      </c>
      <c r="Q40" s="107"/>
      <c r="R40" s="107"/>
      <c r="S40" s="107">
        <v>16</v>
      </c>
      <c r="T40" s="107">
        <f>30+1</f>
        <v>31</v>
      </c>
      <c r="U40" s="107"/>
      <c r="V40" s="107"/>
      <c r="W40" s="107"/>
      <c r="X40" s="168">
        <f t="shared" ca="1" si="3"/>
        <v>57.013560907379969</v>
      </c>
      <c r="Y40" s="108"/>
      <c r="Z40" s="171">
        <f t="shared" ca="1" si="9"/>
        <v>57.013560907379969</v>
      </c>
      <c r="AA40" s="115">
        <f ca="1">COUNTIF(Teams!$4:$20,B40)</f>
        <v>7</v>
      </c>
      <c r="AB40" s="115">
        <f t="shared" ca="1" si="5"/>
        <v>23</v>
      </c>
      <c r="AC40" s="202">
        <v>39</v>
      </c>
      <c r="AD40" s="84">
        <f t="shared" ca="1" si="6"/>
        <v>0</v>
      </c>
      <c r="AE40" s="209">
        <f t="shared" ca="1" si="2"/>
        <v>6.445052849824115E-2</v>
      </c>
    </row>
    <row r="41" spans="1:104" s="87" customFormat="1">
      <c r="A41" s="116"/>
      <c r="B41" s="117" t="s">
        <v>221</v>
      </c>
      <c r="C41" s="118"/>
      <c r="D41" s="118"/>
      <c r="E41" s="118"/>
      <c r="F41" s="118"/>
      <c r="G41" s="118"/>
      <c r="H41" s="118"/>
      <c r="I41" s="118"/>
      <c r="J41" s="118"/>
      <c r="K41" s="118"/>
      <c r="L41" s="118"/>
      <c r="M41" s="118"/>
      <c r="N41" s="118"/>
      <c r="O41" s="118"/>
      <c r="P41" s="118"/>
      <c r="Q41" s="118"/>
      <c r="R41" s="118"/>
      <c r="S41" s="118"/>
      <c r="T41" s="118"/>
      <c r="U41" s="118"/>
      <c r="V41" s="118"/>
      <c r="W41" s="118"/>
      <c r="X41" s="169">
        <f t="shared" ca="1" si="3"/>
        <v>9.1393504493054861E-2</v>
      </c>
      <c r="Y41" s="119"/>
      <c r="Z41" s="172">
        <f t="shared" ca="1" si="9"/>
        <v>9.1393504493054861E-2</v>
      </c>
      <c r="AA41" s="115">
        <f ca="1">COUNTIF(Teams!$4:$20,B41)</f>
        <v>0</v>
      </c>
      <c r="AB41" s="115">
        <f t="shared" ca="1" si="5"/>
        <v>36</v>
      </c>
      <c r="AC41" s="202">
        <v>40</v>
      </c>
      <c r="AD41" s="84" t="str">
        <f t="shared" ca="1" si="6"/>
        <v>Bouhanni</v>
      </c>
      <c r="AE41" s="209">
        <f t="shared" ca="1" si="2"/>
        <v>5.9640381353343132E-2</v>
      </c>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row>
    <row r="42" spans="1:104" s="88" customFormat="1">
      <c r="A42" s="112"/>
      <c r="B42" s="113" t="s">
        <v>137</v>
      </c>
      <c r="C42" s="107"/>
      <c r="D42" s="107"/>
      <c r="E42" s="107">
        <v>6</v>
      </c>
      <c r="F42" s="107"/>
      <c r="G42" s="107"/>
      <c r="H42" s="107"/>
      <c r="I42" s="107"/>
      <c r="J42" s="107"/>
      <c r="K42" s="107"/>
      <c r="L42" s="107"/>
      <c r="M42" s="107"/>
      <c r="N42" s="107"/>
      <c r="O42" s="107"/>
      <c r="P42" s="107"/>
      <c r="Q42" s="107"/>
      <c r="R42" s="107">
        <v>15</v>
      </c>
      <c r="S42" s="107"/>
      <c r="T42" s="107"/>
      <c r="U42" s="107"/>
      <c r="V42" s="107"/>
      <c r="W42" s="107"/>
      <c r="X42" s="168">
        <f t="shared" ca="1" si="3"/>
        <v>21.054176849351435</v>
      </c>
      <c r="Y42" s="108"/>
      <c r="Z42" s="171">
        <f t="shared" ca="1" si="9"/>
        <v>21.054176849351435</v>
      </c>
      <c r="AA42" s="115">
        <f ca="1">COUNTIF(Teams!$4:$20,B42)</f>
        <v>0</v>
      </c>
      <c r="AB42" s="115">
        <f t="shared" ca="1" si="5"/>
        <v>32</v>
      </c>
      <c r="AC42" s="202">
        <v>41</v>
      </c>
      <c r="AD42" s="84" t="str">
        <f t="shared" ca="1" si="6"/>
        <v>Brajkovic</v>
      </c>
      <c r="AE42" s="209">
        <f t="shared" ca="1" si="2"/>
        <v>5.7564153415816575E-2</v>
      </c>
    </row>
    <row r="43" spans="1:104" s="87" customFormat="1">
      <c r="A43" s="116"/>
      <c r="B43" s="117" t="s">
        <v>76</v>
      </c>
      <c r="C43" s="118"/>
      <c r="D43" s="118"/>
      <c r="E43" s="118"/>
      <c r="F43" s="118"/>
      <c r="G43" s="118"/>
      <c r="H43" s="118"/>
      <c r="I43" s="118"/>
      <c r="J43" s="118"/>
      <c r="K43" s="118"/>
      <c r="L43" s="118"/>
      <c r="M43" s="118"/>
      <c r="N43" s="118"/>
      <c r="O43" s="118"/>
      <c r="P43" s="118"/>
      <c r="Q43" s="118"/>
      <c r="R43" s="118">
        <v>7</v>
      </c>
      <c r="S43" s="118"/>
      <c r="T43" s="118"/>
      <c r="U43" s="118"/>
      <c r="V43" s="118"/>
      <c r="W43" s="118"/>
      <c r="X43" s="169">
        <f t="shared" ca="1" si="3"/>
        <v>7.0938598347537409</v>
      </c>
      <c r="Y43" s="119"/>
      <c r="Z43" s="172">
        <f t="shared" ca="1" si="9"/>
        <v>7.0938598347537409</v>
      </c>
      <c r="AA43" s="115">
        <f ca="1">COUNTIF(Teams!$4:$20,B43)</f>
        <v>1</v>
      </c>
      <c r="AB43" s="115">
        <f t="shared" ca="1" si="5"/>
        <v>34</v>
      </c>
      <c r="AC43" s="202">
        <v>42</v>
      </c>
      <c r="AD43" s="84" t="str">
        <f t="shared" ca="1" si="6"/>
        <v>Hesjedal</v>
      </c>
      <c r="AE43" s="209">
        <f t="shared" ca="1" si="2"/>
        <v>5.6205229526326873E-2</v>
      </c>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row>
    <row r="44" spans="1:104" s="88" customFormat="1">
      <c r="A44" s="112"/>
      <c r="B44" s="113" t="s">
        <v>213</v>
      </c>
      <c r="C44" s="107"/>
      <c r="D44" s="107"/>
      <c r="E44" s="107"/>
      <c r="F44" s="107"/>
      <c r="G44" s="107"/>
      <c r="H44" s="107"/>
      <c r="I44" s="107"/>
      <c r="J44" s="107">
        <v>7</v>
      </c>
      <c r="K44" s="107"/>
      <c r="L44" s="107"/>
      <c r="M44" s="107"/>
      <c r="N44" s="107"/>
      <c r="O44" s="107"/>
      <c r="P44" s="107"/>
      <c r="Q44" s="107"/>
      <c r="R44" s="107"/>
      <c r="S44" s="107"/>
      <c r="T44" s="107"/>
      <c r="U44" s="107"/>
      <c r="V44" s="107"/>
      <c r="W44" s="107"/>
      <c r="X44" s="168">
        <f t="shared" ca="1" si="3"/>
        <v>7.0911024644804375</v>
      </c>
      <c r="Y44" s="108"/>
      <c r="Z44" s="171">
        <f t="shared" ca="1" si="9"/>
        <v>7.0911024644804375</v>
      </c>
      <c r="AA44" s="115">
        <f ca="1">COUNTIF(Teams!$4:$20,B44)</f>
        <v>1</v>
      </c>
      <c r="AB44" s="115">
        <f t="shared" ca="1" si="5"/>
        <v>35</v>
      </c>
      <c r="AC44" s="202">
        <v>43</v>
      </c>
      <c r="AD44" s="84" t="str">
        <f t="shared" ca="1" si="6"/>
        <v>Cunego</v>
      </c>
      <c r="AE44" s="209">
        <f t="shared" ca="1" si="2"/>
        <v>4.7162317516219555E-2</v>
      </c>
    </row>
    <row r="45" spans="1:104" s="87" customFormat="1">
      <c r="A45" s="116"/>
      <c r="B45" s="117" t="s">
        <v>129</v>
      </c>
      <c r="C45" s="118"/>
      <c r="D45" s="118"/>
      <c r="E45" s="118"/>
      <c r="F45" s="118"/>
      <c r="G45" s="118"/>
      <c r="H45" s="118"/>
      <c r="I45" s="118"/>
      <c r="J45" s="118"/>
      <c r="K45" s="118"/>
      <c r="L45" s="118"/>
      <c r="M45" s="118"/>
      <c r="N45" s="118"/>
      <c r="O45" s="118"/>
      <c r="P45" s="118"/>
      <c r="Q45" s="118"/>
      <c r="R45" s="118"/>
      <c r="S45" s="118"/>
      <c r="T45" s="118"/>
      <c r="U45" s="118"/>
      <c r="V45" s="118"/>
      <c r="W45" s="118"/>
      <c r="X45" s="169">
        <f t="shared" ca="1" si="3"/>
        <v>1.862319547159965E-2</v>
      </c>
      <c r="Y45" s="119"/>
      <c r="Z45" s="172">
        <f t="shared" ca="1" si="9"/>
        <v>1.862319547159965E-2</v>
      </c>
      <c r="AA45" s="115">
        <f ca="1">COUNTIF(Teams!$4:$20,B45)</f>
        <v>1</v>
      </c>
      <c r="AB45" s="115">
        <f t="shared" ca="1" si="5"/>
        <v>47</v>
      </c>
      <c r="AC45" s="202">
        <v>44</v>
      </c>
      <c r="AD45" s="84" t="str">
        <f t="shared" ca="1" si="6"/>
        <v>Pinot</v>
      </c>
      <c r="AE45" s="209">
        <f t="shared" ca="1" si="2"/>
        <v>4.3302010906342864E-2</v>
      </c>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row>
    <row r="46" spans="1:104" s="88" customFormat="1">
      <c r="A46" s="112"/>
      <c r="B46" s="113"/>
      <c r="C46" s="107"/>
      <c r="D46" s="107"/>
      <c r="E46" s="107"/>
      <c r="F46" s="107"/>
      <c r="G46" s="107"/>
      <c r="H46" s="107"/>
      <c r="I46" s="107"/>
      <c r="J46" s="107"/>
      <c r="K46" s="107"/>
      <c r="L46" s="107"/>
      <c r="M46" s="107"/>
      <c r="N46" s="107"/>
      <c r="O46" s="107"/>
      <c r="P46" s="107"/>
      <c r="Q46" s="107"/>
      <c r="R46" s="107"/>
      <c r="S46" s="107"/>
      <c r="T46" s="107"/>
      <c r="U46" s="107"/>
      <c r="V46" s="107"/>
      <c r="W46" s="107"/>
      <c r="X46" s="168">
        <f t="shared" ca="1" si="3"/>
        <v>6.445052849824115E-2</v>
      </c>
      <c r="Y46" s="108"/>
      <c r="Z46" s="171">
        <f t="shared" ca="1" si="9"/>
        <v>6.445052849824115E-2</v>
      </c>
      <c r="AA46" s="115">
        <f ca="1">COUNTIF(Teams!$4:$20,B46)</f>
        <v>0</v>
      </c>
      <c r="AB46" s="115">
        <f t="shared" ca="1" si="5"/>
        <v>39</v>
      </c>
      <c r="AC46" s="202">
        <v>45</v>
      </c>
      <c r="AD46" s="84">
        <f t="shared" ca="1" si="6"/>
        <v>0</v>
      </c>
      <c r="AE46" s="209">
        <f t="shared" ca="1" si="2"/>
        <v>3.5453213895095301E-2</v>
      </c>
    </row>
    <row r="47" spans="1:104" s="87" customFormat="1">
      <c r="A47" s="116"/>
      <c r="B47" s="117"/>
      <c r="C47" s="118"/>
      <c r="D47" s="118"/>
      <c r="E47" s="118"/>
      <c r="F47" s="118"/>
      <c r="G47" s="118"/>
      <c r="H47" s="118"/>
      <c r="I47" s="118"/>
      <c r="J47" s="118"/>
      <c r="K47" s="118"/>
      <c r="L47" s="118"/>
      <c r="M47" s="118"/>
      <c r="N47" s="118"/>
      <c r="O47" s="118"/>
      <c r="P47" s="118"/>
      <c r="Q47" s="118"/>
      <c r="R47" s="118"/>
      <c r="S47" s="118"/>
      <c r="T47" s="118"/>
      <c r="U47" s="118"/>
      <c r="V47" s="118"/>
      <c r="W47" s="118"/>
      <c r="X47" s="169">
        <f t="shared" ca="1" si="3"/>
        <v>3.5453213895095301E-2</v>
      </c>
      <c r="Y47" s="119"/>
      <c r="Z47" s="172">
        <f t="shared" ca="1" si="9"/>
        <v>3.5453213895095301E-2</v>
      </c>
      <c r="AA47" s="115">
        <f ca="1">COUNTIF(Teams!$4:$20,B47)</f>
        <v>0</v>
      </c>
      <c r="AB47" s="115">
        <f t="shared" ca="1" si="5"/>
        <v>45</v>
      </c>
      <c r="AC47" s="202">
        <v>46</v>
      </c>
      <c r="AD47" s="84" t="str">
        <f t="shared" ca="1" si="6"/>
        <v>Danielson</v>
      </c>
      <c r="AE47" s="209">
        <f t="shared" ca="1" si="2"/>
        <v>2.9578753040095673E-2</v>
      </c>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row>
    <row r="48" spans="1:104" s="88" customFormat="1">
      <c r="A48" s="112"/>
      <c r="B48" s="113"/>
      <c r="C48" s="107"/>
      <c r="D48" s="107"/>
      <c r="E48" s="107"/>
      <c r="F48" s="107"/>
      <c r="G48" s="107"/>
      <c r="H48" s="107"/>
      <c r="I48" s="107"/>
      <c r="J48" s="107"/>
      <c r="K48" s="107"/>
      <c r="L48" s="107"/>
      <c r="M48" s="107"/>
      <c r="N48" s="107"/>
      <c r="O48" s="107"/>
      <c r="P48" s="107"/>
      <c r="Q48" s="107"/>
      <c r="R48" s="107"/>
      <c r="S48" s="107"/>
      <c r="T48" s="107"/>
      <c r="U48" s="107"/>
      <c r="V48" s="107"/>
      <c r="W48" s="107"/>
      <c r="X48" s="168">
        <f t="shared" ca="1" si="3"/>
        <v>7.1719783550915836E-2</v>
      </c>
      <c r="Y48" s="108"/>
      <c r="Z48" s="171">
        <f t="shared" ca="1" si="9"/>
        <v>7.1719783550915836E-2</v>
      </c>
      <c r="AA48" s="115">
        <f ca="1">COUNTIF(Teams!$4:$20,B48)</f>
        <v>0</v>
      </c>
      <c r="AB48" s="115">
        <f t="shared" ca="1" si="5"/>
        <v>38</v>
      </c>
      <c r="AC48" s="202">
        <v>47</v>
      </c>
      <c r="AD48" s="84" t="str">
        <f t="shared" ca="1" si="6"/>
        <v>Thomas</v>
      </c>
      <c r="AE48" s="209">
        <f t="shared" ca="1" si="2"/>
        <v>1.862319547159965E-2</v>
      </c>
    </row>
    <row r="49" spans="1:104" s="87" customFormat="1">
      <c r="A49" s="121"/>
      <c r="B49" s="122"/>
      <c r="C49" s="123"/>
      <c r="D49" s="123"/>
      <c r="E49" s="123"/>
      <c r="F49" s="123"/>
      <c r="G49" s="123"/>
      <c r="H49" s="123"/>
      <c r="I49" s="123"/>
      <c r="J49" s="123"/>
      <c r="K49" s="123"/>
      <c r="L49" s="123"/>
      <c r="M49" s="123"/>
      <c r="N49" s="123"/>
      <c r="O49" s="123"/>
      <c r="P49" s="123"/>
      <c r="Q49" s="123"/>
      <c r="R49" s="123"/>
      <c r="S49" s="123"/>
      <c r="T49" s="123"/>
      <c r="U49" s="123"/>
      <c r="V49" s="123"/>
      <c r="W49" s="123"/>
      <c r="X49" s="170"/>
      <c r="Y49" s="120"/>
      <c r="Z49" s="170"/>
      <c r="AA49" s="115"/>
      <c r="AB49" s="115"/>
      <c r="AC49" s="202"/>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row>
    <row r="50" spans="1:104" s="85" customFormat="1">
      <c r="A50" s="121"/>
      <c r="B50" s="122"/>
      <c r="C50" s="123"/>
      <c r="D50" s="123"/>
      <c r="E50" s="123"/>
      <c r="F50" s="123"/>
      <c r="G50" s="123"/>
      <c r="H50" s="123"/>
      <c r="I50" s="123"/>
      <c r="J50" s="123"/>
      <c r="K50" s="123"/>
      <c r="L50" s="123"/>
      <c r="M50" s="123"/>
      <c r="N50" s="123"/>
      <c r="O50" s="123"/>
      <c r="P50" s="123"/>
      <c r="Q50" s="123"/>
      <c r="R50" s="123"/>
      <c r="S50" s="123"/>
      <c r="T50" s="123"/>
      <c r="U50" s="123"/>
      <c r="V50" s="123"/>
      <c r="W50" s="123"/>
      <c r="X50" s="170"/>
      <c r="Y50" s="120"/>
      <c r="Z50" s="170"/>
      <c r="AA50" s="115"/>
      <c r="AB50" s="115"/>
      <c r="AC50" s="202"/>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row>
    <row r="51" spans="1:104" s="87" customFormat="1">
      <c r="A51" s="121"/>
      <c r="B51" s="122"/>
      <c r="C51" s="123"/>
      <c r="D51" s="123"/>
      <c r="E51" s="123"/>
      <c r="F51" s="123"/>
      <c r="G51" s="123"/>
      <c r="H51" s="123"/>
      <c r="I51" s="123"/>
      <c r="J51" s="123"/>
      <c r="K51" s="123"/>
      <c r="L51" s="123"/>
      <c r="M51" s="123"/>
      <c r="N51" s="123"/>
      <c r="O51" s="123"/>
      <c r="P51" s="123"/>
      <c r="Q51" s="123"/>
      <c r="R51" s="123"/>
      <c r="S51" s="123"/>
      <c r="T51" s="123"/>
      <c r="U51" s="123"/>
      <c r="V51" s="123"/>
      <c r="W51" s="123"/>
      <c r="X51" s="170"/>
      <c r="Y51" s="120"/>
      <c r="Z51" s="170"/>
      <c r="AA51" s="115"/>
      <c r="AB51" s="115"/>
      <c r="AC51" s="202"/>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row>
    <row r="52" spans="1:104" s="85" customFormat="1">
      <c r="A52" s="121"/>
      <c r="B52" s="122"/>
      <c r="C52" s="123"/>
      <c r="D52" s="123"/>
      <c r="E52" s="123"/>
      <c r="F52" s="123"/>
      <c r="G52" s="123"/>
      <c r="H52" s="123"/>
      <c r="I52" s="123"/>
      <c r="J52" s="123"/>
      <c r="K52" s="124" t="s">
        <v>25</v>
      </c>
      <c r="L52" s="124"/>
      <c r="M52" s="123"/>
      <c r="N52" s="123"/>
      <c r="O52" s="123"/>
      <c r="P52" s="123"/>
      <c r="Q52" s="123"/>
      <c r="R52" s="123"/>
      <c r="S52" s="123"/>
      <c r="T52" s="123"/>
      <c r="U52" s="123"/>
      <c r="V52" s="123"/>
      <c r="W52" s="123"/>
      <c r="X52" s="170"/>
      <c r="Y52" s="120"/>
      <c r="Z52" s="170"/>
      <c r="AA52" s="115"/>
      <c r="AB52" s="115"/>
      <c r="AC52" s="202"/>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row>
    <row r="53" spans="1:104" s="87" customFormat="1" ht="63">
      <c r="A53" s="93"/>
      <c r="B53" s="36"/>
      <c r="C53" s="97"/>
      <c r="D53" s="97"/>
      <c r="E53" s="101" t="s">
        <v>21</v>
      </c>
      <c r="F53" s="102" t="s">
        <v>20</v>
      </c>
      <c r="G53" s="102" t="s">
        <v>22</v>
      </c>
      <c r="H53" s="105" t="s">
        <v>23</v>
      </c>
      <c r="I53" s="105" t="s">
        <v>24</v>
      </c>
      <c r="J53" s="97"/>
      <c r="K53" s="101"/>
      <c r="L53" s="101" t="s">
        <v>81</v>
      </c>
      <c r="M53" s="102" t="s">
        <v>24</v>
      </c>
      <c r="N53" s="105" t="s">
        <v>80</v>
      </c>
      <c r="O53" s="97"/>
      <c r="P53" s="97"/>
      <c r="Q53" s="97"/>
      <c r="R53" s="99"/>
      <c r="S53" s="111"/>
      <c r="T53" s="111"/>
      <c r="U53" s="110"/>
      <c r="V53" s="99"/>
      <c r="W53" s="99"/>
      <c r="X53" s="167"/>
      <c r="Y53" s="83"/>
      <c r="Z53" s="37"/>
      <c r="AA53" s="115"/>
      <c r="AB53" s="115"/>
      <c r="AC53" s="202"/>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row>
    <row r="54" spans="1:104" s="87" customFormat="1" ht="15.75">
      <c r="A54" s="93"/>
      <c r="B54" s="36"/>
      <c r="C54" s="97"/>
      <c r="D54" s="97"/>
      <c r="E54" s="101">
        <v>1</v>
      </c>
      <c r="F54" s="102">
        <v>35</v>
      </c>
      <c r="G54" s="102">
        <v>10</v>
      </c>
      <c r="H54" s="105">
        <v>5</v>
      </c>
      <c r="I54" s="105">
        <v>5</v>
      </c>
      <c r="J54" s="97"/>
      <c r="K54" s="101">
        <v>1</v>
      </c>
      <c r="L54" s="101">
        <v>70</v>
      </c>
      <c r="M54" s="102">
        <v>10</v>
      </c>
      <c r="N54" s="105">
        <v>10</v>
      </c>
      <c r="O54" s="97"/>
      <c r="P54" s="97"/>
      <c r="Q54" s="97"/>
      <c r="R54" s="99"/>
      <c r="S54" s="111"/>
      <c r="T54" s="111"/>
      <c r="U54" s="110"/>
      <c r="V54" s="99"/>
      <c r="W54" s="99"/>
      <c r="X54" s="167"/>
      <c r="Y54" s="83"/>
      <c r="Z54" s="37"/>
      <c r="AA54" s="115"/>
      <c r="AB54" s="115"/>
      <c r="AC54" s="202"/>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row>
    <row r="55" spans="1:104" s="87" customFormat="1" ht="15.75">
      <c r="A55" s="93"/>
      <c r="B55" s="36"/>
      <c r="C55" s="97"/>
      <c r="D55" s="97"/>
      <c r="E55" s="101">
        <v>2</v>
      </c>
      <c r="F55" s="102">
        <v>30</v>
      </c>
      <c r="G55" s="102">
        <v>9</v>
      </c>
      <c r="H55" s="105">
        <v>4</v>
      </c>
      <c r="I55" s="105">
        <v>4</v>
      </c>
      <c r="J55" s="97"/>
      <c r="K55" s="101">
        <v>2</v>
      </c>
      <c r="L55" s="101">
        <v>60</v>
      </c>
      <c r="M55" s="102">
        <v>7</v>
      </c>
      <c r="N55" s="105">
        <v>7</v>
      </c>
      <c r="O55" s="97"/>
      <c r="P55" s="97"/>
      <c r="Q55" s="97"/>
      <c r="R55" s="99"/>
      <c r="S55" s="111"/>
      <c r="T55" s="111"/>
      <c r="U55" s="110"/>
      <c r="V55" s="99"/>
      <c r="W55" s="99"/>
      <c r="X55" s="167"/>
      <c r="Y55" s="83"/>
      <c r="Z55" s="37"/>
      <c r="AA55" s="115"/>
      <c r="AB55" s="115"/>
      <c r="AC55" s="202"/>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row>
    <row r="56" spans="1:104" s="87" customFormat="1" ht="15.75">
      <c r="A56" s="93"/>
      <c r="B56" s="36"/>
      <c r="C56" s="97"/>
      <c r="D56" s="97"/>
      <c r="E56" s="101">
        <v>3</v>
      </c>
      <c r="F56" s="102">
        <v>26</v>
      </c>
      <c r="G56" s="102">
        <v>8</v>
      </c>
      <c r="H56" s="105">
        <v>3</v>
      </c>
      <c r="I56" s="105">
        <v>3</v>
      </c>
      <c r="J56" s="97"/>
      <c r="K56" s="101">
        <v>3</v>
      </c>
      <c r="L56" s="101">
        <v>52</v>
      </c>
      <c r="M56" s="102">
        <v>5</v>
      </c>
      <c r="N56" s="105">
        <v>5</v>
      </c>
      <c r="O56" s="97"/>
      <c r="P56" s="97"/>
      <c r="Q56" s="97"/>
      <c r="R56" s="99"/>
      <c r="S56" s="111"/>
      <c r="T56" s="111"/>
      <c r="U56" s="110"/>
      <c r="V56" s="99"/>
      <c r="W56" s="99"/>
      <c r="X56" s="167"/>
      <c r="Y56" s="83"/>
      <c r="Z56" s="37"/>
      <c r="AA56" s="115"/>
      <c r="AB56" s="115"/>
      <c r="AC56" s="202"/>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row>
    <row r="57" spans="1:104" s="87" customFormat="1" ht="15.75">
      <c r="A57" s="93"/>
      <c r="B57" s="36"/>
      <c r="C57" s="97"/>
      <c r="D57" s="97"/>
      <c r="E57" s="101">
        <v>4</v>
      </c>
      <c r="F57" s="102">
        <v>24</v>
      </c>
      <c r="G57" s="102">
        <v>7</v>
      </c>
      <c r="H57" s="105">
        <v>2</v>
      </c>
      <c r="I57" s="105">
        <v>2</v>
      </c>
      <c r="J57" s="97"/>
      <c r="K57" s="101">
        <v>4</v>
      </c>
      <c r="L57" s="101">
        <v>48</v>
      </c>
      <c r="M57" s="102">
        <v>3</v>
      </c>
      <c r="N57" s="105">
        <v>3</v>
      </c>
      <c r="O57" s="97"/>
      <c r="P57" s="97"/>
      <c r="Q57" s="97"/>
      <c r="R57" s="99"/>
      <c r="S57" s="111"/>
      <c r="T57" s="111"/>
      <c r="U57" s="110"/>
      <c r="V57" s="99"/>
      <c r="W57" s="99"/>
      <c r="X57" s="167"/>
      <c r="Y57" s="83"/>
      <c r="Z57" s="37"/>
      <c r="AA57" s="115"/>
      <c r="AB57" s="115"/>
      <c r="AC57" s="202"/>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row>
    <row r="58" spans="1:104" s="87" customFormat="1" ht="15.75">
      <c r="A58" s="93"/>
      <c r="B58" s="36"/>
      <c r="C58" s="97"/>
      <c r="D58" s="97"/>
      <c r="E58" s="101">
        <v>5</v>
      </c>
      <c r="F58" s="102">
        <v>22</v>
      </c>
      <c r="G58" s="102">
        <v>6</v>
      </c>
      <c r="H58" s="105">
        <v>1</v>
      </c>
      <c r="I58" s="105">
        <v>1</v>
      </c>
      <c r="J58" s="97"/>
      <c r="K58" s="101">
        <v>5</v>
      </c>
      <c r="L58" s="101">
        <v>44</v>
      </c>
      <c r="M58" s="102">
        <v>1</v>
      </c>
      <c r="N58" s="105">
        <v>1</v>
      </c>
      <c r="O58" s="97"/>
      <c r="P58" s="97"/>
      <c r="Q58" s="97"/>
      <c r="R58" s="99"/>
      <c r="S58" s="111"/>
      <c r="T58" s="111"/>
      <c r="U58" s="110"/>
      <c r="V58" s="99"/>
      <c r="W58" s="99"/>
      <c r="X58" s="167"/>
      <c r="Y58" s="83"/>
      <c r="Z58" s="37"/>
      <c r="AA58" s="115"/>
      <c r="AB58" s="115"/>
      <c r="AC58" s="202"/>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row>
    <row r="59" spans="1:104" s="87" customFormat="1" ht="15.75">
      <c r="A59" s="93"/>
      <c r="B59" s="36"/>
      <c r="C59" s="97"/>
      <c r="D59" s="97"/>
      <c r="E59" s="101">
        <v>6</v>
      </c>
      <c r="F59" s="102">
        <v>20</v>
      </c>
      <c r="G59" s="102">
        <v>5</v>
      </c>
      <c r="H59" s="105"/>
      <c r="I59" s="105"/>
      <c r="J59" s="97"/>
      <c r="K59" s="101">
        <v>6</v>
      </c>
      <c r="L59" s="101">
        <v>40</v>
      </c>
      <c r="M59" s="102"/>
      <c r="N59" s="105"/>
      <c r="O59" s="97"/>
      <c r="P59" s="97"/>
      <c r="Q59" s="97"/>
      <c r="R59" s="99"/>
      <c r="S59" s="111"/>
      <c r="T59" s="111"/>
      <c r="U59" s="110"/>
      <c r="V59" s="99"/>
      <c r="W59" s="99"/>
      <c r="X59" s="167"/>
      <c r="Y59" s="83"/>
      <c r="Z59" s="37"/>
      <c r="AA59" s="115"/>
      <c r="AB59" s="115"/>
      <c r="AC59" s="202"/>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row>
    <row r="60" spans="1:104" s="85" customFormat="1" ht="15.75">
      <c r="A60" s="93"/>
      <c r="B60" s="36"/>
      <c r="C60" s="97"/>
      <c r="D60" s="97"/>
      <c r="E60" s="101">
        <v>7</v>
      </c>
      <c r="F60" s="102">
        <v>19</v>
      </c>
      <c r="G60" s="102">
        <v>4</v>
      </c>
      <c r="H60" s="105"/>
      <c r="I60" s="105"/>
      <c r="J60" s="97"/>
      <c r="K60" s="101">
        <v>7</v>
      </c>
      <c r="L60" s="101">
        <v>38</v>
      </c>
      <c r="M60" s="102"/>
      <c r="N60" s="105"/>
      <c r="O60" s="97"/>
      <c r="P60" s="97"/>
      <c r="Q60" s="97"/>
      <c r="R60" s="99"/>
      <c r="S60" s="111"/>
      <c r="T60" s="111"/>
      <c r="U60" s="110"/>
      <c r="V60" s="99"/>
      <c r="W60" s="99"/>
      <c r="X60" s="167"/>
      <c r="Y60" s="83"/>
      <c r="Z60" s="37"/>
      <c r="AA60" s="115"/>
      <c r="AB60" s="115"/>
      <c r="AC60" s="202"/>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row>
    <row r="61" spans="1:104" s="91" customFormat="1" ht="15.75">
      <c r="A61" s="93"/>
      <c r="B61" s="36"/>
      <c r="C61" s="97"/>
      <c r="D61" s="97"/>
      <c r="E61" s="101">
        <v>8</v>
      </c>
      <c r="F61" s="102">
        <v>18</v>
      </c>
      <c r="G61" s="102">
        <v>3</v>
      </c>
      <c r="H61" s="105"/>
      <c r="I61" s="105"/>
      <c r="J61" s="97"/>
      <c r="K61" s="101">
        <v>8</v>
      </c>
      <c r="L61" s="101">
        <v>36</v>
      </c>
      <c r="M61" s="102"/>
      <c r="N61" s="105"/>
      <c r="O61" s="97"/>
      <c r="P61" s="97"/>
      <c r="Q61" s="97"/>
      <c r="R61" s="99"/>
      <c r="S61" s="111"/>
      <c r="T61" s="111"/>
      <c r="U61" s="110"/>
      <c r="V61" s="99"/>
      <c r="W61" s="99"/>
      <c r="X61" s="167"/>
      <c r="Y61" s="83"/>
      <c r="Z61" s="37"/>
      <c r="AA61" s="115"/>
      <c r="AB61" s="115"/>
      <c r="AC61" s="202"/>
      <c r="AD61" s="84"/>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row>
    <row r="62" spans="1:104" s="85" customFormat="1" ht="15.75">
      <c r="A62" s="93"/>
      <c r="B62" s="36"/>
      <c r="C62" s="97"/>
      <c r="D62" s="97"/>
      <c r="E62" s="103">
        <v>9</v>
      </c>
      <c r="F62" s="104">
        <v>17</v>
      </c>
      <c r="G62" s="104">
        <v>2</v>
      </c>
      <c r="H62" s="105"/>
      <c r="I62" s="105"/>
      <c r="J62" s="97"/>
      <c r="K62" s="103">
        <v>9</v>
      </c>
      <c r="L62" s="103">
        <v>34</v>
      </c>
      <c r="M62" s="102"/>
      <c r="N62" s="105"/>
      <c r="O62" s="97"/>
      <c r="P62" s="97"/>
      <c r="Q62" s="97"/>
      <c r="R62" s="99"/>
      <c r="S62" s="96"/>
      <c r="T62" s="96"/>
      <c r="U62" s="110"/>
      <c r="V62" s="99"/>
      <c r="W62" s="99"/>
      <c r="X62" s="167"/>
      <c r="Y62" s="83"/>
      <c r="Z62" s="37"/>
      <c r="AA62" s="115"/>
      <c r="AB62" s="115"/>
      <c r="AC62" s="202"/>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row>
    <row r="63" spans="1:104" s="87" customFormat="1" ht="15.75">
      <c r="A63" s="93"/>
      <c r="B63" s="36"/>
      <c r="C63" s="97"/>
      <c r="D63" s="97"/>
      <c r="E63" s="101">
        <v>10</v>
      </c>
      <c r="F63" s="102">
        <v>16</v>
      </c>
      <c r="G63" s="105">
        <v>1</v>
      </c>
      <c r="H63" s="105"/>
      <c r="I63" s="105"/>
      <c r="J63" s="97"/>
      <c r="K63" s="101">
        <v>10</v>
      </c>
      <c r="L63" s="101">
        <v>32</v>
      </c>
      <c r="M63" s="105"/>
      <c r="N63" s="105"/>
      <c r="O63" s="97"/>
      <c r="P63" s="97"/>
      <c r="Q63" s="97"/>
      <c r="R63" s="99"/>
      <c r="S63" s="97"/>
      <c r="T63" s="97"/>
      <c r="U63" s="110"/>
      <c r="V63" s="99"/>
      <c r="W63" s="99"/>
      <c r="X63" s="167"/>
      <c r="Y63" s="83"/>
      <c r="Z63" s="37"/>
      <c r="AA63" s="115"/>
      <c r="AB63" s="115"/>
      <c r="AC63" s="202"/>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row>
    <row r="64" spans="1:104" s="85" customFormat="1" ht="15.75">
      <c r="A64" s="93"/>
      <c r="B64" s="36"/>
      <c r="C64" s="97"/>
      <c r="D64" s="97"/>
      <c r="E64" s="101">
        <v>11</v>
      </c>
      <c r="F64" s="102">
        <v>15</v>
      </c>
      <c r="G64" s="105"/>
      <c r="H64" s="105"/>
      <c r="I64" s="105"/>
      <c r="J64" s="97"/>
      <c r="K64" s="101">
        <v>11</v>
      </c>
      <c r="L64" s="101">
        <v>30</v>
      </c>
      <c r="M64" s="105"/>
      <c r="N64" s="105"/>
      <c r="O64" s="97"/>
      <c r="P64" s="97"/>
      <c r="Q64" s="97"/>
      <c r="R64" s="99"/>
      <c r="S64" s="97"/>
      <c r="T64" s="97"/>
      <c r="U64" s="98"/>
      <c r="V64" s="99"/>
      <c r="W64" s="99"/>
      <c r="X64" s="167"/>
      <c r="Y64" s="83"/>
      <c r="Z64" s="37"/>
      <c r="AA64" s="115"/>
      <c r="AB64" s="115"/>
      <c r="AC64" s="202"/>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row>
    <row r="65" spans="1:104" s="87" customFormat="1" ht="15.75">
      <c r="A65" s="93"/>
      <c r="B65" s="36"/>
      <c r="C65" s="97"/>
      <c r="D65" s="97"/>
      <c r="E65" s="101">
        <v>12</v>
      </c>
      <c r="F65" s="102">
        <v>14</v>
      </c>
      <c r="G65" s="105"/>
      <c r="H65" s="105"/>
      <c r="I65" s="105"/>
      <c r="J65" s="97"/>
      <c r="K65" s="101">
        <v>12</v>
      </c>
      <c r="L65" s="101">
        <v>28</v>
      </c>
      <c r="M65" s="105"/>
      <c r="N65" s="105"/>
      <c r="O65" s="97"/>
      <c r="P65" s="97"/>
      <c r="Q65" s="97"/>
      <c r="R65" s="99"/>
      <c r="S65" s="97"/>
      <c r="T65" s="97"/>
      <c r="U65" s="99"/>
      <c r="V65" s="99"/>
      <c r="W65" s="99"/>
      <c r="X65" s="167"/>
      <c r="Y65" s="83"/>
      <c r="Z65" s="37"/>
      <c r="AA65" s="115"/>
      <c r="AB65" s="115"/>
      <c r="AC65" s="202"/>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row>
    <row r="66" spans="1:104" s="85" customFormat="1" ht="15.75">
      <c r="A66" s="93"/>
      <c r="B66" s="36"/>
      <c r="C66" s="97"/>
      <c r="D66" s="97"/>
      <c r="E66" s="101">
        <v>13</v>
      </c>
      <c r="F66" s="102">
        <v>13</v>
      </c>
      <c r="G66" s="105"/>
      <c r="H66" s="105"/>
      <c r="I66" s="105"/>
      <c r="J66" s="97"/>
      <c r="K66" s="101">
        <v>13</v>
      </c>
      <c r="L66" s="101">
        <v>26</v>
      </c>
      <c r="M66" s="105"/>
      <c r="N66" s="105"/>
      <c r="O66" s="97"/>
      <c r="P66" s="97"/>
      <c r="Q66" s="97"/>
      <c r="R66" s="99"/>
      <c r="S66" s="97"/>
      <c r="T66" s="97"/>
      <c r="U66" s="99"/>
      <c r="V66" s="99"/>
      <c r="W66" s="99"/>
      <c r="X66" s="167"/>
      <c r="Y66" s="83"/>
      <c r="Z66" s="37"/>
      <c r="AA66" s="115"/>
      <c r="AB66" s="115"/>
      <c r="AC66" s="202"/>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row>
    <row r="67" spans="1:104" s="87" customFormat="1" ht="15.75">
      <c r="A67" s="93"/>
      <c r="B67" s="36"/>
      <c r="C67" s="97"/>
      <c r="D67" s="97"/>
      <c r="E67" s="103">
        <v>14</v>
      </c>
      <c r="F67" s="104">
        <v>12</v>
      </c>
      <c r="G67" s="105"/>
      <c r="H67" s="105"/>
      <c r="I67" s="105"/>
      <c r="J67" s="97"/>
      <c r="K67" s="103">
        <v>14</v>
      </c>
      <c r="L67" s="103">
        <v>24</v>
      </c>
      <c r="M67" s="105"/>
      <c r="N67" s="105"/>
      <c r="O67" s="97"/>
      <c r="P67" s="97"/>
      <c r="Q67" s="97"/>
      <c r="R67" s="99"/>
      <c r="S67" s="97"/>
      <c r="T67" s="97"/>
      <c r="U67" s="99"/>
      <c r="V67" s="99"/>
      <c r="W67" s="99"/>
      <c r="X67" s="167"/>
      <c r="Y67" s="83"/>
      <c r="Z67" s="37"/>
      <c r="AA67" s="115"/>
      <c r="AB67" s="115"/>
      <c r="AC67" s="202"/>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row>
    <row r="68" spans="1:104" s="87" customFormat="1" ht="15.75">
      <c r="A68" s="93"/>
      <c r="B68" s="36"/>
      <c r="C68" s="97"/>
      <c r="D68" s="97"/>
      <c r="E68" s="101">
        <v>15</v>
      </c>
      <c r="F68" s="102">
        <v>11</v>
      </c>
      <c r="G68" s="105"/>
      <c r="H68" s="105"/>
      <c r="I68" s="105"/>
      <c r="J68" s="97"/>
      <c r="K68" s="101">
        <v>15</v>
      </c>
      <c r="L68" s="101">
        <v>22</v>
      </c>
      <c r="M68" s="105"/>
      <c r="N68" s="105"/>
      <c r="O68" s="97"/>
      <c r="P68" s="97"/>
      <c r="Q68" s="97"/>
      <c r="R68" s="99"/>
      <c r="S68" s="97"/>
      <c r="T68" s="97"/>
      <c r="U68" s="99"/>
      <c r="V68" s="99"/>
      <c r="W68" s="99"/>
      <c r="X68" s="167"/>
      <c r="Y68" s="83"/>
      <c r="Z68" s="37"/>
      <c r="AA68" s="115"/>
      <c r="AB68" s="115">
        <v>0</v>
      </c>
      <c r="AC68" s="202"/>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row>
    <row r="69" spans="1:104" s="87" customFormat="1" ht="15.75">
      <c r="A69" s="93"/>
      <c r="B69" s="36"/>
      <c r="C69" s="97"/>
      <c r="D69" s="97"/>
      <c r="E69" s="101">
        <v>16</v>
      </c>
      <c r="F69" s="102">
        <v>10</v>
      </c>
      <c r="G69" s="105"/>
      <c r="H69" s="105"/>
      <c r="I69" s="105"/>
      <c r="J69" s="97"/>
      <c r="K69" s="101">
        <v>16</v>
      </c>
      <c r="L69" s="101">
        <v>20</v>
      </c>
      <c r="M69" s="105"/>
      <c r="N69" s="105"/>
      <c r="O69" s="97"/>
      <c r="P69" s="97"/>
      <c r="Q69" s="97"/>
      <c r="R69" s="99"/>
      <c r="S69" s="97"/>
      <c r="T69" s="97"/>
      <c r="U69" s="99"/>
      <c r="V69" s="99"/>
      <c r="W69" s="99"/>
      <c r="X69" s="167"/>
      <c r="Y69" s="83"/>
      <c r="Z69" s="37"/>
      <c r="AA69" s="115"/>
      <c r="AB69" s="115">
        <v>0</v>
      </c>
      <c r="AC69" s="202"/>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row>
    <row r="70" spans="1:104" s="85" customFormat="1" ht="15.75">
      <c r="A70" s="93"/>
      <c r="B70" s="36"/>
      <c r="C70" s="97"/>
      <c r="D70" s="97"/>
      <c r="E70" s="101">
        <v>17</v>
      </c>
      <c r="F70" s="102">
        <v>9</v>
      </c>
      <c r="G70" s="105"/>
      <c r="H70" s="105"/>
      <c r="I70" s="105"/>
      <c r="J70" s="97"/>
      <c r="K70" s="101">
        <v>17</v>
      </c>
      <c r="L70" s="101">
        <v>18</v>
      </c>
      <c r="M70" s="105"/>
      <c r="N70" s="105"/>
      <c r="O70" s="97"/>
      <c r="P70" s="97"/>
      <c r="Q70" s="97"/>
      <c r="R70" s="99"/>
      <c r="S70" s="97"/>
      <c r="T70" s="97"/>
      <c r="U70" s="99"/>
      <c r="V70" s="99"/>
      <c r="W70" s="99"/>
      <c r="X70" s="167"/>
      <c r="Y70" s="83"/>
      <c r="Z70" s="37"/>
      <c r="AA70" s="115"/>
      <c r="AB70" s="115"/>
      <c r="AC70" s="202"/>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row>
    <row r="71" spans="1:104" s="87" customFormat="1" ht="15.75">
      <c r="A71" s="93"/>
      <c r="B71" s="36"/>
      <c r="C71" s="97"/>
      <c r="D71" s="97"/>
      <c r="E71" s="101">
        <v>18</v>
      </c>
      <c r="F71" s="102">
        <v>8</v>
      </c>
      <c r="G71" s="105"/>
      <c r="H71" s="105"/>
      <c r="I71" s="105"/>
      <c r="J71" s="97"/>
      <c r="K71" s="101">
        <v>18</v>
      </c>
      <c r="L71" s="101">
        <v>16</v>
      </c>
      <c r="M71" s="105"/>
      <c r="N71" s="105"/>
      <c r="O71" s="97"/>
      <c r="P71" s="97"/>
      <c r="Q71" s="97"/>
      <c r="R71" s="99"/>
      <c r="S71" s="97"/>
      <c r="T71" s="97"/>
      <c r="U71" s="99"/>
      <c r="V71" s="99"/>
      <c r="W71" s="99"/>
      <c r="X71" s="167"/>
      <c r="Y71" s="83"/>
      <c r="Z71" s="37"/>
      <c r="AA71" s="115"/>
      <c r="AB71" s="115"/>
      <c r="AC71" s="202"/>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row>
    <row r="72" spans="1:104" s="85" customFormat="1" ht="15.75">
      <c r="A72" s="93"/>
      <c r="B72" s="36"/>
      <c r="C72" s="97"/>
      <c r="D72" s="97"/>
      <c r="E72" s="101">
        <v>19</v>
      </c>
      <c r="F72" s="102">
        <v>7</v>
      </c>
      <c r="G72" s="105"/>
      <c r="H72" s="105"/>
      <c r="I72" s="105"/>
      <c r="J72" s="97"/>
      <c r="K72" s="101">
        <v>19</v>
      </c>
      <c r="L72" s="101">
        <v>14</v>
      </c>
      <c r="M72" s="105"/>
      <c r="N72" s="105"/>
      <c r="O72" s="97"/>
      <c r="P72" s="97"/>
      <c r="Q72" s="97"/>
      <c r="R72" s="99"/>
      <c r="S72" s="97"/>
      <c r="T72" s="97"/>
      <c r="U72" s="99"/>
      <c r="V72" s="99"/>
      <c r="W72" s="99"/>
      <c r="X72" s="167"/>
      <c r="Y72" s="83"/>
      <c r="Z72" s="37"/>
      <c r="AA72" s="115"/>
      <c r="AB72" s="115"/>
      <c r="AC72" s="202"/>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row>
    <row r="73" spans="1:104" s="92" customFormat="1">
      <c r="A73" s="93"/>
      <c r="B73" s="36"/>
      <c r="C73" s="97"/>
      <c r="D73" s="97"/>
      <c r="E73" s="100">
        <v>20</v>
      </c>
      <c r="F73" s="99">
        <v>6</v>
      </c>
      <c r="G73" s="99"/>
      <c r="H73" s="99"/>
      <c r="I73" s="97"/>
      <c r="J73" s="97"/>
      <c r="K73" s="97">
        <v>20</v>
      </c>
      <c r="L73" s="97">
        <v>12</v>
      </c>
      <c r="M73" s="97"/>
      <c r="N73" s="97"/>
      <c r="O73" s="97"/>
      <c r="P73" s="97"/>
      <c r="Q73" s="97"/>
      <c r="R73" s="99"/>
      <c r="S73" s="97"/>
      <c r="T73" s="97"/>
      <c r="U73" s="99"/>
      <c r="V73" s="99"/>
      <c r="W73" s="99"/>
      <c r="X73" s="167"/>
      <c r="Y73" s="83"/>
      <c r="Z73" s="37"/>
      <c r="AA73" s="115"/>
      <c r="AB73" s="115"/>
      <c r="AC73" s="202"/>
      <c r="AD73" s="85"/>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row>
    <row r="74" spans="1:104" s="85" customFormat="1">
      <c r="A74" s="93"/>
      <c r="B74" s="36"/>
      <c r="C74" s="97"/>
      <c r="D74" s="97"/>
      <c r="E74" s="100"/>
      <c r="F74" s="99"/>
      <c r="G74" s="99"/>
      <c r="H74" s="99"/>
      <c r="I74" s="97"/>
      <c r="J74" s="97"/>
      <c r="K74" s="97"/>
      <c r="L74" s="97"/>
      <c r="M74" s="97"/>
      <c r="N74" s="97"/>
      <c r="O74" s="97"/>
      <c r="P74" s="97"/>
      <c r="Q74" s="97"/>
      <c r="R74" s="99"/>
      <c r="S74" s="97"/>
      <c r="T74" s="97"/>
      <c r="U74" s="99"/>
      <c r="V74" s="99"/>
      <c r="W74" s="99"/>
      <c r="X74" s="167"/>
      <c r="Y74" s="83"/>
      <c r="Z74" s="37"/>
      <c r="AA74" s="115"/>
      <c r="AB74" s="115"/>
      <c r="AC74" s="202"/>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row>
    <row r="75" spans="1:104" s="87" customFormat="1">
      <c r="A75" s="93"/>
      <c r="B75" s="36"/>
      <c r="C75" s="97"/>
      <c r="D75" s="97"/>
      <c r="E75" s="100"/>
      <c r="F75" s="99"/>
      <c r="G75" s="99"/>
      <c r="H75" s="99"/>
      <c r="I75" s="97"/>
      <c r="J75" s="97"/>
      <c r="K75" s="97"/>
      <c r="L75" s="97"/>
      <c r="M75" s="97"/>
      <c r="N75" s="97"/>
      <c r="O75" s="97"/>
      <c r="P75" s="97"/>
      <c r="Q75" s="97"/>
      <c r="R75" s="99"/>
      <c r="S75" s="97"/>
      <c r="T75" s="97"/>
      <c r="U75" s="99"/>
      <c r="V75" s="99"/>
      <c r="W75" s="99"/>
      <c r="X75" s="167"/>
      <c r="Y75" s="83"/>
      <c r="Z75" s="37"/>
      <c r="AA75" s="115"/>
      <c r="AB75" s="115"/>
      <c r="AC75" s="202"/>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row>
    <row r="76" spans="1:104" s="85" customFormat="1">
      <c r="A76" s="93"/>
      <c r="B76" s="36"/>
      <c r="C76" s="97"/>
      <c r="D76" s="97"/>
      <c r="E76" s="100"/>
      <c r="F76" s="99"/>
      <c r="G76" s="99"/>
      <c r="H76" s="99"/>
      <c r="I76" s="97"/>
      <c r="J76" s="97"/>
      <c r="K76" s="97"/>
      <c r="L76" s="97"/>
      <c r="M76" s="97"/>
      <c r="N76" s="97"/>
      <c r="O76" s="97"/>
      <c r="P76" s="97"/>
      <c r="Q76" s="97"/>
      <c r="R76" s="99"/>
      <c r="S76" s="97"/>
      <c r="T76" s="97"/>
      <c r="U76" s="99"/>
      <c r="V76" s="99"/>
      <c r="W76" s="99"/>
      <c r="X76" s="167"/>
      <c r="Y76" s="83"/>
      <c r="Z76" s="37"/>
      <c r="AA76" s="115"/>
      <c r="AB76" s="115"/>
      <c r="AC76" s="202"/>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row>
    <row r="77" spans="1:104" s="88" customFormat="1">
      <c r="A77" s="93"/>
      <c r="B77" s="36"/>
      <c r="C77" s="97"/>
      <c r="D77" s="97"/>
      <c r="E77" s="100"/>
      <c r="F77" s="99"/>
      <c r="G77" s="99"/>
      <c r="H77" s="99"/>
      <c r="I77" s="97"/>
      <c r="J77" s="97"/>
      <c r="K77" s="97"/>
      <c r="L77" s="97"/>
      <c r="M77" s="97"/>
      <c r="N77" s="97"/>
      <c r="O77" s="97"/>
      <c r="P77" s="97"/>
      <c r="Q77" s="97"/>
      <c r="R77" s="99"/>
      <c r="S77" s="97"/>
      <c r="T77" s="97"/>
      <c r="U77" s="99"/>
      <c r="V77" s="99"/>
      <c r="W77" s="99"/>
      <c r="X77" s="167"/>
      <c r="Y77" s="83"/>
      <c r="Z77" s="37"/>
      <c r="AA77" s="115"/>
      <c r="AB77" s="115"/>
      <c r="AC77" s="202"/>
      <c r="AD77" s="85"/>
    </row>
  </sheetData>
  <sortState ref="A2:Z49">
    <sortCondition ref="B2:B49"/>
  </sortState>
  <phoneticPr fontId="0" type="noConversion"/>
  <pageMargins left="0.75" right="0.75" top="1" bottom="1" header="0.5" footer="0.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39"/>
  </sheetPr>
  <dimension ref="B1:AA26"/>
  <sheetViews>
    <sheetView showZeros="0" workbookViewId="0">
      <selection activeCell="U21" sqref="U21"/>
    </sheetView>
  </sheetViews>
  <sheetFormatPr defaultRowHeight="12.75"/>
  <cols>
    <col min="1" max="1" width="2.7109375" style="125" customWidth="1"/>
    <col min="2" max="2" width="8.85546875" style="125" customWidth="1"/>
    <col min="3" max="3" width="13" style="130"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C1" s="236" t="s">
        <v>130</v>
      </c>
    </row>
    <row r="2" spans="2:27">
      <c r="C2" s="237"/>
      <c r="G2" s="146"/>
    </row>
    <row r="3" spans="2:27" s="144" customFormat="1" ht="13.5" thickBot="1">
      <c r="C3" s="238" t="s">
        <v>71</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180" t="s">
        <v>116</v>
      </c>
      <c r="C4" s="239" t="s">
        <v>67</v>
      </c>
      <c r="D4" s="126">
        <f t="shared" ref="D4:M13" si="0">INDEX(scorematrix,MATCH($C4,renners,0),MATCH(D$3,etappes,0))</f>
        <v>0</v>
      </c>
      <c r="E4" s="126">
        <f t="shared" si="0"/>
        <v>0</v>
      </c>
      <c r="F4" s="126">
        <f t="shared" si="0"/>
        <v>0</v>
      </c>
      <c r="G4" s="126">
        <f t="shared" si="0"/>
        <v>0</v>
      </c>
      <c r="H4" s="126">
        <f t="shared" si="0"/>
        <v>39</v>
      </c>
      <c r="I4" s="126">
        <f t="shared" si="0"/>
        <v>27</v>
      </c>
      <c r="J4" s="126">
        <f t="shared" si="0"/>
        <v>0</v>
      </c>
      <c r="K4" s="126">
        <f t="shared" si="0"/>
        <v>3</v>
      </c>
      <c r="L4" s="126">
        <f t="shared" si="0"/>
        <v>3</v>
      </c>
      <c r="M4" s="126">
        <f t="shared" si="0"/>
        <v>29</v>
      </c>
      <c r="N4" s="126">
        <f t="shared" ref="N4:Y13" si="1">INDEX(scorematrix,MATCH($C4,renners,0),MATCH(N$3,etappes,0))</f>
        <v>3</v>
      </c>
      <c r="O4" s="126">
        <f t="shared" si="1"/>
        <v>34</v>
      </c>
      <c r="P4" s="126">
        <f t="shared" si="1"/>
        <v>39</v>
      </c>
      <c r="Q4" s="126">
        <f t="shared" si="1"/>
        <v>4</v>
      </c>
      <c r="R4" s="126">
        <f t="shared" si="1"/>
        <v>4</v>
      </c>
      <c r="S4" s="126">
        <f t="shared" si="1"/>
        <v>4</v>
      </c>
      <c r="T4" s="126">
        <f t="shared" si="1"/>
        <v>4</v>
      </c>
      <c r="U4" s="126">
        <f t="shared" si="1"/>
        <v>4</v>
      </c>
      <c r="V4" s="126">
        <f t="shared" si="1"/>
        <v>4</v>
      </c>
      <c r="W4" s="126">
        <f t="shared" si="1"/>
        <v>4</v>
      </c>
      <c r="X4" s="126">
        <f t="shared" si="1"/>
        <v>30</v>
      </c>
      <c r="Y4" s="126">
        <f t="shared" si="1"/>
        <v>7</v>
      </c>
      <c r="Z4" s="204">
        <f t="shared" ref="Z4:Z21" si="2">SUM(D4:Y4)</f>
        <v>242</v>
      </c>
      <c r="AA4" s="125" t="str">
        <f t="shared" ref="AA4:AA20" si="3">C4</f>
        <v>Cavendish</v>
      </c>
    </row>
    <row r="5" spans="2:27">
      <c r="B5" s="180" t="s">
        <v>118</v>
      </c>
      <c r="C5" s="240" t="s">
        <v>85</v>
      </c>
      <c r="D5" s="126">
        <f t="shared" si="0"/>
        <v>0</v>
      </c>
      <c r="E5" s="126">
        <f t="shared" si="0"/>
        <v>0</v>
      </c>
      <c r="F5" s="126">
        <f t="shared" si="0"/>
        <v>0</v>
      </c>
      <c r="G5" s="126">
        <f t="shared" si="0"/>
        <v>0</v>
      </c>
      <c r="H5" s="126">
        <f t="shared" si="0"/>
        <v>26</v>
      </c>
      <c r="I5" s="126">
        <f t="shared" si="0"/>
        <v>39</v>
      </c>
      <c r="J5" s="126">
        <f t="shared" si="0"/>
        <v>0</v>
      </c>
      <c r="K5" s="126">
        <f t="shared" si="0"/>
        <v>4</v>
      </c>
      <c r="L5" s="126">
        <f t="shared" si="0"/>
        <v>4</v>
      </c>
      <c r="M5" s="126">
        <f t="shared" si="0"/>
        <v>34</v>
      </c>
      <c r="N5" s="126">
        <f t="shared" si="1"/>
        <v>4</v>
      </c>
      <c r="O5" s="126">
        <f t="shared" si="1"/>
        <v>3</v>
      </c>
      <c r="P5" s="126">
        <f t="shared" si="1"/>
        <v>14</v>
      </c>
      <c r="Q5" s="126">
        <f t="shared" si="1"/>
        <v>3</v>
      </c>
      <c r="R5" s="126">
        <f t="shared" si="1"/>
        <v>3</v>
      </c>
      <c r="S5" s="126">
        <f t="shared" si="1"/>
        <v>3</v>
      </c>
      <c r="T5" s="126">
        <f t="shared" si="1"/>
        <v>3</v>
      </c>
      <c r="U5" s="126">
        <f t="shared" si="1"/>
        <v>3</v>
      </c>
      <c r="V5" s="126">
        <f t="shared" si="1"/>
        <v>3</v>
      </c>
      <c r="W5" s="126">
        <f t="shared" si="1"/>
        <v>3</v>
      </c>
      <c r="X5" s="126">
        <f t="shared" si="1"/>
        <v>33</v>
      </c>
      <c r="Y5" s="126">
        <f t="shared" si="1"/>
        <v>5</v>
      </c>
      <c r="Z5" s="204">
        <f t="shared" si="2"/>
        <v>187</v>
      </c>
      <c r="AA5" s="125" t="str">
        <f t="shared" si="3"/>
        <v>Greipel</v>
      </c>
    </row>
    <row r="6" spans="2:27">
      <c r="B6" s="180" t="s">
        <v>107</v>
      </c>
      <c r="C6" s="240" t="s">
        <v>108</v>
      </c>
      <c r="D6" s="126">
        <f t="shared" si="0"/>
        <v>50</v>
      </c>
      <c r="E6" s="126">
        <f t="shared" si="0"/>
        <v>5</v>
      </c>
      <c r="F6" s="126">
        <f t="shared" si="0"/>
        <v>4</v>
      </c>
      <c r="G6" s="126">
        <f t="shared" si="0"/>
        <v>0</v>
      </c>
      <c r="H6" s="126">
        <f t="shared" si="0"/>
        <v>0</v>
      </c>
      <c r="I6" s="126">
        <f t="shared" si="0"/>
        <v>27</v>
      </c>
      <c r="J6" s="126">
        <f t="shared" si="0"/>
        <v>0</v>
      </c>
      <c r="K6" s="126">
        <f t="shared" si="0"/>
        <v>0</v>
      </c>
      <c r="L6" s="126">
        <f t="shared" si="0"/>
        <v>0</v>
      </c>
      <c r="M6" s="126">
        <f t="shared" si="0"/>
        <v>37</v>
      </c>
      <c r="N6" s="126">
        <f t="shared" si="1"/>
        <v>2</v>
      </c>
      <c r="O6" s="126">
        <f t="shared" si="1"/>
        <v>37</v>
      </c>
      <c r="P6" s="126">
        <f t="shared" si="1"/>
        <v>2</v>
      </c>
      <c r="Q6" s="126">
        <f t="shared" si="1"/>
        <v>2</v>
      </c>
      <c r="R6" s="126">
        <f t="shared" si="1"/>
        <v>2</v>
      </c>
      <c r="S6" s="126">
        <f t="shared" si="1"/>
        <v>2</v>
      </c>
      <c r="T6" s="126">
        <f t="shared" si="1"/>
        <v>2</v>
      </c>
      <c r="U6" s="126">
        <f t="shared" si="1"/>
        <v>2</v>
      </c>
      <c r="V6" s="126">
        <f t="shared" si="1"/>
        <v>2</v>
      </c>
      <c r="W6" s="126">
        <f t="shared" si="1"/>
        <v>2</v>
      </c>
      <c r="X6" s="126">
        <f t="shared" si="1"/>
        <v>37</v>
      </c>
      <c r="Y6" s="126">
        <f t="shared" si="1"/>
        <v>3</v>
      </c>
      <c r="Z6" s="204">
        <f t="shared" si="2"/>
        <v>218</v>
      </c>
      <c r="AA6" s="125" t="str">
        <f t="shared" si="3"/>
        <v>Kittel</v>
      </c>
    </row>
    <row r="7" spans="2:27">
      <c r="B7" s="180" t="s">
        <v>170</v>
      </c>
      <c r="C7" s="240" t="s">
        <v>166</v>
      </c>
      <c r="D7" s="126">
        <f t="shared" si="0"/>
        <v>0</v>
      </c>
      <c r="E7" s="126">
        <f t="shared" si="0"/>
        <v>0</v>
      </c>
      <c r="F7" s="126">
        <f t="shared" si="0"/>
        <v>0</v>
      </c>
      <c r="G7" s="126">
        <f t="shared" si="0"/>
        <v>0</v>
      </c>
      <c r="H7" s="126">
        <f t="shared" si="0"/>
        <v>14</v>
      </c>
      <c r="I7" s="126">
        <f t="shared" si="0"/>
        <v>0</v>
      </c>
      <c r="J7" s="126">
        <f t="shared" si="0"/>
        <v>30</v>
      </c>
      <c r="K7" s="126">
        <f t="shared" si="0"/>
        <v>0</v>
      </c>
      <c r="L7" s="126">
        <f t="shared" si="0"/>
        <v>0</v>
      </c>
      <c r="M7" s="126">
        <f t="shared" si="0"/>
        <v>0</v>
      </c>
      <c r="N7" s="126">
        <f t="shared" si="1"/>
        <v>0</v>
      </c>
      <c r="O7" s="126">
        <f t="shared" si="1"/>
        <v>0</v>
      </c>
      <c r="P7" s="126">
        <f t="shared" si="1"/>
        <v>6</v>
      </c>
      <c r="Q7" s="126">
        <f t="shared" si="1"/>
        <v>0</v>
      </c>
      <c r="R7" s="126">
        <f t="shared" si="1"/>
        <v>0</v>
      </c>
      <c r="S7" s="126">
        <f t="shared" si="1"/>
        <v>0</v>
      </c>
      <c r="T7" s="126">
        <f t="shared" si="1"/>
        <v>0</v>
      </c>
      <c r="U7" s="126">
        <f t="shared" si="1"/>
        <v>0</v>
      </c>
      <c r="V7" s="126">
        <f t="shared" si="1"/>
        <v>0</v>
      </c>
      <c r="W7" s="126">
        <f t="shared" si="1"/>
        <v>0</v>
      </c>
      <c r="X7" s="126">
        <f t="shared" si="1"/>
        <v>0</v>
      </c>
      <c r="Y7" s="126">
        <f t="shared" si="1"/>
        <v>0</v>
      </c>
      <c r="Z7" s="204">
        <f t="shared" si="2"/>
        <v>50</v>
      </c>
      <c r="AA7" s="125" t="str">
        <f t="shared" si="3"/>
        <v>Degenkolb</v>
      </c>
    </row>
    <row r="8" spans="2:27">
      <c r="B8" s="180" t="s">
        <v>167</v>
      </c>
      <c r="C8" s="240" t="s">
        <v>169</v>
      </c>
      <c r="D8" s="126">
        <f t="shared" si="0"/>
        <v>0</v>
      </c>
      <c r="E8" s="126">
        <f t="shared" si="0"/>
        <v>0</v>
      </c>
      <c r="F8" s="126">
        <f t="shared" si="0"/>
        <v>0</v>
      </c>
      <c r="G8" s="126">
        <f t="shared" si="0"/>
        <v>0</v>
      </c>
      <c r="H8" s="126">
        <f t="shared" si="0"/>
        <v>0</v>
      </c>
      <c r="I8" s="126">
        <f t="shared" si="0"/>
        <v>0</v>
      </c>
      <c r="J8" s="126">
        <f t="shared" si="0"/>
        <v>0</v>
      </c>
      <c r="K8" s="126">
        <f t="shared" si="0"/>
        <v>0</v>
      </c>
      <c r="L8" s="126">
        <f t="shared" si="0"/>
        <v>0</v>
      </c>
      <c r="M8" s="126">
        <f t="shared" si="0"/>
        <v>0</v>
      </c>
      <c r="N8" s="126">
        <f t="shared" si="1"/>
        <v>0</v>
      </c>
      <c r="O8" s="126">
        <f t="shared" si="1"/>
        <v>0</v>
      </c>
      <c r="P8" s="126">
        <f t="shared" si="1"/>
        <v>0</v>
      </c>
      <c r="Q8" s="126">
        <f t="shared" si="1"/>
        <v>0</v>
      </c>
      <c r="R8" s="126">
        <f t="shared" si="1"/>
        <v>0</v>
      </c>
      <c r="S8" s="126">
        <f t="shared" si="1"/>
        <v>0</v>
      </c>
      <c r="T8" s="126">
        <f t="shared" si="1"/>
        <v>0</v>
      </c>
      <c r="U8" s="126">
        <f t="shared" si="1"/>
        <v>0</v>
      </c>
      <c r="V8" s="126">
        <f t="shared" si="1"/>
        <v>0</v>
      </c>
      <c r="W8" s="126">
        <f t="shared" si="1"/>
        <v>0</v>
      </c>
      <c r="X8" s="126">
        <f t="shared" si="1"/>
        <v>0</v>
      </c>
      <c r="Y8" s="126">
        <f t="shared" si="1"/>
        <v>0</v>
      </c>
      <c r="Z8" s="204">
        <f t="shared" si="2"/>
        <v>0</v>
      </c>
      <c r="AA8" s="125" t="str">
        <f t="shared" si="3"/>
        <v>Bouhanni</v>
      </c>
    </row>
    <row r="9" spans="2:27">
      <c r="B9" s="180" t="s">
        <v>110</v>
      </c>
      <c r="C9" s="240" t="s">
        <v>86</v>
      </c>
      <c r="D9" s="126">
        <f t="shared" si="0"/>
        <v>0</v>
      </c>
      <c r="E9" s="126">
        <f t="shared" si="0"/>
        <v>0</v>
      </c>
      <c r="F9" s="126">
        <f t="shared" si="0"/>
        <v>0</v>
      </c>
      <c r="G9" s="126">
        <f t="shared" si="0"/>
        <v>0</v>
      </c>
      <c r="H9" s="126">
        <f t="shared" si="0"/>
        <v>0</v>
      </c>
      <c r="I9" s="126">
        <f t="shared" si="0"/>
        <v>11</v>
      </c>
      <c r="J9" s="126">
        <f t="shared" si="0"/>
        <v>0</v>
      </c>
      <c r="K9" s="126">
        <f t="shared" si="0"/>
        <v>0</v>
      </c>
      <c r="L9" s="126">
        <f t="shared" si="0"/>
        <v>0</v>
      </c>
      <c r="M9" s="126">
        <f t="shared" si="0"/>
        <v>15</v>
      </c>
      <c r="N9" s="126">
        <f t="shared" si="1"/>
        <v>0</v>
      </c>
      <c r="O9" s="126">
        <f t="shared" si="1"/>
        <v>0</v>
      </c>
      <c r="P9" s="126">
        <f t="shared" si="1"/>
        <v>0</v>
      </c>
      <c r="Q9" s="126">
        <f t="shared" si="1"/>
        <v>0</v>
      </c>
      <c r="R9" s="126">
        <f t="shared" si="1"/>
        <v>0</v>
      </c>
      <c r="S9" s="126">
        <f t="shared" si="1"/>
        <v>0</v>
      </c>
      <c r="T9" s="126">
        <f t="shared" si="1"/>
        <v>0</v>
      </c>
      <c r="U9" s="126">
        <f t="shared" si="1"/>
        <v>0</v>
      </c>
      <c r="V9" s="126">
        <f t="shared" si="1"/>
        <v>0</v>
      </c>
      <c r="W9" s="126">
        <f t="shared" si="1"/>
        <v>0</v>
      </c>
      <c r="X9" s="126">
        <f t="shared" si="1"/>
        <v>14</v>
      </c>
      <c r="Y9" s="126">
        <f t="shared" si="1"/>
        <v>0</v>
      </c>
      <c r="Z9" s="204">
        <f t="shared" si="2"/>
        <v>40</v>
      </c>
      <c r="AA9" s="125" t="str">
        <f t="shared" si="3"/>
        <v>Goss</v>
      </c>
    </row>
    <row r="10" spans="2:27">
      <c r="B10" s="180" t="s">
        <v>105</v>
      </c>
      <c r="C10" s="240" t="s">
        <v>106</v>
      </c>
      <c r="D10" s="126">
        <f t="shared" si="0"/>
        <v>0</v>
      </c>
      <c r="E10" s="126">
        <f t="shared" si="0"/>
        <v>34</v>
      </c>
      <c r="F10" s="126">
        <f t="shared" si="0"/>
        <v>35</v>
      </c>
      <c r="G10" s="126">
        <f t="shared" si="0"/>
        <v>0</v>
      </c>
      <c r="H10" s="126">
        <f t="shared" si="0"/>
        <v>31</v>
      </c>
      <c r="I10" s="126">
        <f t="shared" si="0"/>
        <v>35</v>
      </c>
      <c r="J10" s="126">
        <f t="shared" si="0"/>
        <v>40</v>
      </c>
      <c r="K10" s="126">
        <f t="shared" si="0"/>
        <v>5</v>
      </c>
      <c r="L10" s="126">
        <f t="shared" si="0"/>
        <v>5</v>
      </c>
      <c r="M10" s="126">
        <f t="shared" si="0"/>
        <v>29</v>
      </c>
      <c r="N10" s="126">
        <f t="shared" si="1"/>
        <v>14</v>
      </c>
      <c r="O10" s="126">
        <f t="shared" si="1"/>
        <v>31</v>
      </c>
      <c r="P10" s="126">
        <f t="shared" si="1"/>
        <v>35</v>
      </c>
      <c r="Q10" s="126">
        <f t="shared" si="1"/>
        <v>5</v>
      </c>
      <c r="R10" s="126">
        <f t="shared" si="1"/>
        <v>5</v>
      </c>
      <c r="S10" s="126">
        <f t="shared" si="1"/>
        <v>5</v>
      </c>
      <c r="T10" s="126">
        <f t="shared" si="1"/>
        <v>5</v>
      </c>
      <c r="U10" s="126">
        <f t="shared" si="1"/>
        <v>5</v>
      </c>
      <c r="V10" s="126">
        <f t="shared" si="1"/>
        <v>5</v>
      </c>
      <c r="W10" s="126">
        <f t="shared" si="1"/>
        <v>5</v>
      </c>
      <c r="X10" s="126">
        <f t="shared" si="1"/>
        <v>29</v>
      </c>
      <c r="Y10" s="126">
        <f t="shared" si="1"/>
        <v>10</v>
      </c>
      <c r="Z10" s="204">
        <f t="shared" si="2"/>
        <v>368</v>
      </c>
      <c r="AA10" s="125" t="str">
        <f t="shared" si="3"/>
        <v>Sagan</v>
      </c>
    </row>
    <row r="11" spans="2:27">
      <c r="B11" s="180" t="s">
        <v>149</v>
      </c>
      <c r="C11" s="240" t="s">
        <v>150</v>
      </c>
      <c r="D11" s="126">
        <f t="shared" si="0"/>
        <v>0</v>
      </c>
      <c r="E11" s="126">
        <f t="shared" si="0"/>
        <v>0</v>
      </c>
      <c r="F11" s="126">
        <f t="shared" si="0"/>
        <v>0</v>
      </c>
      <c r="G11" s="126">
        <f t="shared" si="0"/>
        <v>0</v>
      </c>
      <c r="H11" s="126">
        <f t="shared" si="0"/>
        <v>3</v>
      </c>
      <c r="I11" s="126">
        <f t="shared" si="0"/>
        <v>10</v>
      </c>
      <c r="J11" s="126">
        <f t="shared" si="0"/>
        <v>3</v>
      </c>
      <c r="K11" s="126">
        <f t="shared" si="0"/>
        <v>42</v>
      </c>
      <c r="L11" s="126">
        <f t="shared" si="0"/>
        <v>3</v>
      </c>
      <c r="M11" s="126">
        <f t="shared" si="0"/>
        <v>3</v>
      </c>
      <c r="N11" s="126">
        <f t="shared" si="1"/>
        <v>27</v>
      </c>
      <c r="O11" s="126">
        <f t="shared" si="1"/>
        <v>3</v>
      </c>
      <c r="P11" s="126">
        <f t="shared" si="1"/>
        <v>3</v>
      </c>
      <c r="Q11" s="126">
        <f t="shared" si="1"/>
        <v>3</v>
      </c>
      <c r="R11" s="126">
        <f t="shared" si="1"/>
        <v>11</v>
      </c>
      <c r="S11" s="126">
        <f t="shared" si="1"/>
        <v>0</v>
      </c>
      <c r="T11" s="126">
        <f t="shared" si="1"/>
        <v>0</v>
      </c>
      <c r="U11" s="126">
        <f t="shared" si="1"/>
        <v>20</v>
      </c>
      <c r="V11" s="126">
        <f t="shared" si="1"/>
        <v>0</v>
      </c>
      <c r="W11" s="126">
        <f t="shared" si="1"/>
        <v>22</v>
      </c>
      <c r="X11" s="126">
        <f t="shared" si="1"/>
        <v>0</v>
      </c>
      <c r="Y11" s="126">
        <f t="shared" si="1"/>
        <v>14</v>
      </c>
      <c r="Z11" s="204">
        <f t="shared" si="2"/>
        <v>167</v>
      </c>
      <c r="AA11" s="125" t="str">
        <f t="shared" si="3"/>
        <v>Porte</v>
      </c>
    </row>
    <row r="12" spans="2:27">
      <c r="B12" s="180" t="s">
        <v>147</v>
      </c>
      <c r="C12" s="240" t="s">
        <v>148</v>
      </c>
      <c r="D12" s="126">
        <f t="shared" si="0"/>
        <v>0</v>
      </c>
      <c r="E12" s="126">
        <f t="shared" si="0"/>
        <v>0</v>
      </c>
      <c r="F12" s="126">
        <f t="shared" si="0"/>
        <v>0</v>
      </c>
      <c r="G12" s="126">
        <f t="shared" si="0"/>
        <v>0</v>
      </c>
      <c r="H12" s="126">
        <f t="shared" si="0"/>
        <v>0</v>
      </c>
      <c r="I12" s="126">
        <f t="shared" si="0"/>
        <v>0</v>
      </c>
      <c r="J12" s="126">
        <f t="shared" si="0"/>
        <v>0</v>
      </c>
      <c r="K12" s="126">
        <f t="shared" si="0"/>
        <v>0</v>
      </c>
      <c r="L12" s="126">
        <f t="shared" si="0"/>
        <v>0</v>
      </c>
      <c r="M12" s="126">
        <f t="shared" si="0"/>
        <v>0</v>
      </c>
      <c r="N12" s="126">
        <f t="shared" si="1"/>
        <v>0</v>
      </c>
      <c r="O12" s="126">
        <f t="shared" si="1"/>
        <v>0</v>
      </c>
      <c r="P12" s="126">
        <f t="shared" si="1"/>
        <v>0</v>
      </c>
      <c r="Q12" s="126">
        <f t="shared" si="1"/>
        <v>0</v>
      </c>
      <c r="R12" s="126">
        <f t="shared" si="1"/>
        <v>0</v>
      </c>
      <c r="S12" s="126">
        <f t="shared" si="1"/>
        <v>0</v>
      </c>
      <c r="T12" s="126">
        <f t="shared" si="1"/>
        <v>0</v>
      </c>
      <c r="U12" s="126">
        <f t="shared" si="1"/>
        <v>0</v>
      </c>
      <c r="V12" s="126">
        <f t="shared" si="1"/>
        <v>0</v>
      </c>
      <c r="W12" s="126">
        <f t="shared" si="1"/>
        <v>0</v>
      </c>
      <c r="X12" s="126">
        <f t="shared" si="1"/>
        <v>0</v>
      </c>
      <c r="Y12" s="126">
        <f t="shared" si="1"/>
        <v>0</v>
      </c>
      <c r="Z12" s="204">
        <f t="shared" si="2"/>
        <v>0</v>
      </c>
      <c r="AA12" s="125" t="str">
        <f t="shared" si="3"/>
        <v>Pinot</v>
      </c>
    </row>
    <row r="13" spans="2:27">
      <c r="B13" s="180" t="s">
        <v>128</v>
      </c>
      <c r="C13" s="240" t="s">
        <v>72</v>
      </c>
      <c r="D13" s="126">
        <f t="shared" si="0"/>
        <v>0</v>
      </c>
      <c r="E13" s="126">
        <f t="shared" si="0"/>
        <v>28</v>
      </c>
      <c r="F13" s="126">
        <f t="shared" si="0"/>
        <v>21</v>
      </c>
      <c r="G13" s="126">
        <f t="shared" si="0"/>
        <v>0</v>
      </c>
      <c r="H13" s="126">
        <f t="shared" si="0"/>
        <v>36</v>
      </c>
      <c r="I13" s="126">
        <f t="shared" si="0"/>
        <v>23</v>
      </c>
      <c r="J13" s="126">
        <f t="shared" si="0"/>
        <v>31</v>
      </c>
      <c r="K13" s="126">
        <f t="shared" si="0"/>
        <v>1</v>
      </c>
      <c r="L13" s="126">
        <f t="shared" si="0"/>
        <v>0</v>
      </c>
      <c r="M13" s="126">
        <f t="shared" si="0"/>
        <v>0</v>
      </c>
      <c r="N13" s="126">
        <f t="shared" si="1"/>
        <v>0</v>
      </c>
      <c r="O13" s="126">
        <f t="shared" si="1"/>
        <v>0</v>
      </c>
      <c r="P13" s="126">
        <f t="shared" si="1"/>
        <v>0</v>
      </c>
      <c r="Q13" s="126">
        <f t="shared" si="1"/>
        <v>0</v>
      </c>
      <c r="R13" s="126">
        <f t="shared" si="1"/>
        <v>0</v>
      </c>
      <c r="S13" s="126">
        <f t="shared" si="1"/>
        <v>0</v>
      </c>
      <c r="T13" s="126">
        <f t="shared" si="1"/>
        <v>0</v>
      </c>
      <c r="U13" s="126">
        <f t="shared" si="1"/>
        <v>0</v>
      </c>
      <c r="V13" s="126">
        <f t="shared" si="1"/>
        <v>0</v>
      </c>
      <c r="W13" s="126">
        <f t="shared" si="1"/>
        <v>0</v>
      </c>
      <c r="X13" s="126">
        <f t="shared" si="1"/>
        <v>0</v>
      </c>
      <c r="Y13" s="126">
        <f t="shared" si="1"/>
        <v>0</v>
      </c>
      <c r="Z13" s="204">
        <f t="shared" si="2"/>
        <v>140</v>
      </c>
      <c r="AA13" s="125" t="str">
        <f t="shared" si="3"/>
        <v>Boasson Hagen</v>
      </c>
    </row>
    <row r="14" spans="2:27">
      <c r="B14" s="180" t="s">
        <v>177</v>
      </c>
      <c r="C14" s="240" t="s">
        <v>175</v>
      </c>
      <c r="D14" s="126">
        <f t="shared" ref="D14:M20" si="4">INDEX(scorematrix,MATCH($C14,renners,0),MATCH(D$3,etappes,0))</f>
        <v>43</v>
      </c>
      <c r="E14" s="126">
        <f t="shared" si="4"/>
        <v>3</v>
      </c>
      <c r="F14" s="126">
        <f t="shared" si="4"/>
        <v>3</v>
      </c>
      <c r="G14" s="126">
        <f t="shared" si="4"/>
        <v>0</v>
      </c>
      <c r="H14" s="126">
        <f t="shared" si="4"/>
        <v>23</v>
      </c>
      <c r="I14" s="126">
        <f t="shared" si="4"/>
        <v>22</v>
      </c>
      <c r="J14" s="126">
        <f t="shared" si="4"/>
        <v>0</v>
      </c>
      <c r="K14" s="126">
        <f t="shared" si="4"/>
        <v>2</v>
      </c>
      <c r="L14" s="126">
        <f t="shared" si="4"/>
        <v>2</v>
      </c>
      <c r="M14" s="126">
        <f t="shared" si="4"/>
        <v>21</v>
      </c>
      <c r="N14" s="126">
        <f t="shared" ref="N14:Y20" si="5">INDEX(scorematrix,MATCH($C14,renners,0),MATCH(N$3,etappes,0))</f>
        <v>1</v>
      </c>
      <c r="O14" s="126">
        <f t="shared" si="5"/>
        <v>25</v>
      </c>
      <c r="P14" s="126">
        <f t="shared" si="5"/>
        <v>1</v>
      </c>
      <c r="Q14" s="126">
        <f t="shared" si="5"/>
        <v>1</v>
      </c>
      <c r="R14" s="126">
        <f t="shared" si="5"/>
        <v>1</v>
      </c>
      <c r="S14" s="126">
        <f t="shared" si="5"/>
        <v>1</v>
      </c>
      <c r="T14" s="126">
        <f t="shared" si="5"/>
        <v>1</v>
      </c>
      <c r="U14" s="126">
        <f t="shared" si="5"/>
        <v>1</v>
      </c>
      <c r="V14" s="126">
        <f t="shared" si="5"/>
        <v>1</v>
      </c>
      <c r="W14" s="126">
        <f t="shared" si="5"/>
        <v>1</v>
      </c>
      <c r="X14" s="126">
        <f t="shared" si="5"/>
        <v>21</v>
      </c>
      <c r="Y14" s="126">
        <f t="shared" si="5"/>
        <v>1</v>
      </c>
      <c r="Z14" s="204">
        <f t="shared" si="2"/>
        <v>175</v>
      </c>
      <c r="AA14" s="125" t="str">
        <f t="shared" si="3"/>
        <v>Kristoff</v>
      </c>
    </row>
    <row r="15" spans="2:27">
      <c r="B15" s="180" t="s">
        <v>158</v>
      </c>
      <c r="C15" s="240" t="s">
        <v>160</v>
      </c>
      <c r="D15" s="126">
        <f t="shared" si="4"/>
        <v>0</v>
      </c>
      <c r="E15" s="126">
        <f t="shared" si="4"/>
        <v>0</v>
      </c>
      <c r="F15" s="126">
        <f t="shared" si="4"/>
        <v>0</v>
      </c>
      <c r="G15" s="126">
        <f t="shared" si="4"/>
        <v>0</v>
      </c>
      <c r="H15" s="126">
        <f t="shared" si="4"/>
        <v>0</v>
      </c>
      <c r="I15" s="126">
        <f t="shared" si="4"/>
        <v>0</v>
      </c>
      <c r="J15" s="126">
        <f t="shared" si="4"/>
        <v>0</v>
      </c>
      <c r="K15" s="126">
        <f t="shared" si="4"/>
        <v>22</v>
      </c>
      <c r="L15" s="126">
        <f t="shared" si="4"/>
        <v>13</v>
      </c>
      <c r="M15" s="126">
        <f t="shared" si="4"/>
        <v>6</v>
      </c>
      <c r="N15" s="126">
        <f t="shared" si="5"/>
        <v>5</v>
      </c>
      <c r="O15" s="126">
        <f t="shared" si="5"/>
        <v>14</v>
      </c>
      <c r="P15" s="126">
        <f t="shared" si="5"/>
        <v>5</v>
      </c>
      <c r="Q15" s="126">
        <f t="shared" si="5"/>
        <v>5</v>
      </c>
      <c r="R15" s="126">
        <f t="shared" si="5"/>
        <v>39</v>
      </c>
      <c r="S15" s="126">
        <f t="shared" si="5"/>
        <v>10</v>
      </c>
      <c r="T15" s="126">
        <f t="shared" si="5"/>
        <v>30</v>
      </c>
      <c r="U15" s="126">
        <f t="shared" si="5"/>
        <v>36</v>
      </c>
      <c r="V15" s="126">
        <f t="shared" si="5"/>
        <v>10</v>
      </c>
      <c r="W15" s="126">
        <f t="shared" si="5"/>
        <v>49</v>
      </c>
      <c r="X15" s="126">
        <f t="shared" si="5"/>
        <v>14</v>
      </c>
      <c r="Y15" s="126">
        <f t="shared" si="5"/>
        <v>70</v>
      </c>
      <c r="Z15" s="204">
        <f t="shared" si="2"/>
        <v>328</v>
      </c>
      <c r="AA15" s="125" t="str">
        <f t="shared" si="3"/>
        <v>Quintana</v>
      </c>
    </row>
    <row r="16" spans="2:27">
      <c r="B16" s="180" t="s">
        <v>126</v>
      </c>
      <c r="C16" s="240" t="s">
        <v>112</v>
      </c>
      <c r="D16" s="126">
        <f t="shared" si="4"/>
        <v>0</v>
      </c>
      <c r="E16" s="126">
        <f t="shared" si="4"/>
        <v>0</v>
      </c>
      <c r="F16" s="126">
        <f t="shared" si="4"/>
        <v>0</v>
      </c>
      <c r="G16" s="126">
        <f t="shared" si="4"/>
        <v>0</v>
      </c>
      <c r="H16" s="126">
        <f t="shared" si="4"/>
        <v>0</v>
      </c>
      <c r="I16" s="126">
        <f t="shared" si="4"/>
        <v>0</v>
      </c>
      <c r="J16" s="126">
        <f t="shared" si="4"/>
        <v>0</v>
      </c>
      <c r="K16" s="126">
        <f t="shared" si="4"/>
        <v>34</v>
      </c>
      <c r="L16" s="126">
        <f t="shared" si="4"/>
        <v>24</v>
      </c>
      <c r="M16" s="126">
        <f t="shared" si="4"/>
        <v>9</v>
      </c>
      <c r="N16" s="126">
        <f t="shared" si="5"/>
        <v>22</v>
      </c>
      <c r="O16" s="126">
        <f t="shared" si="5"/>
        <v>17</v>
      </c>
      <c r="P16" s="126">
        <f t="shared" si="5"/>
        <v>0</v>
      </c>
      <c r="Q16" s="126">
        <f t="shared" si="5"/>
        <v>0</v>
      </c>
      <c r="R16" s="126">
        <f t="shared" si="5"/>
        <v>13</v>
      </c>
      <c r="S16" s="126">
        <f t="shared" si="5"/>
        <v>0</v>
      </c>
      <c r="T16" s="126">
        <f t="shared" si="5"/>
        <v>22</v>
      </c>
      <c r="U16" s="126">
        <f t="shared" si="5"/>
        <v>18</v>
      </c>
      <c r="V16" s="126">
        <f t="shared" si="5"/>
        <v>10</v>
      </c>
      <c r="W16" s="126">
        <f t="shared" si="5"/>
        <v>27</v>
      </c>
      <c r="X16" s="126">
        <f t="shared" si="5"/>
        <v>3</v>
      </c>
      <c r="Y16" s="126">
        <f t="shared" si="5"/>
        <v>36</v>
      </c>
      <c r="Z16" s="204">
        <f t="shared" si="2"/>
        <v>235</v>
      </c>
      <c r="AA16" s="125" t="str">
        <f t="shared" si="3"/>
        <v>Valverde</v>
      </c>
    </row>
    <row r="17" spans="2:27">
      <c r="B17" s="180" t="s">
        <v>178</v>
      </c>
      <c r="C17" s="240" t="s">
        <v>176</v>
      </c>
      <c r="D17" s="126">
        <f t="shared" si="4"/>
        <v>0</v>
      </c>
      <c r="E17" s="126">
        <f t="shared" si="4"/>
        <v>0</v>
      </c>
      <c r="F17" s="126">
        <f t="shared" si="4"/>
        <v>0</v>
      </c>
      <c r="G17" s="126">
        <f t="shared" si="4"/>
        <v>0</v>
      </c>
      <c r="H17" s="126">
        <f t="shared" si="4"/>
        <v>0</v>
      </c>
      <c r="I17" s="126">
        <f t="shared" si="4"/>
        <v>0</v>
      </c>
      <c r="J17" s="126">
        <f t="shared" si="4"/>
        <v>0</v>
      </c>
      <c r="K17" s="126">
        <f t="shared" si="4"/>
        <v>10</v>
      </c>
      <c r="L17" s="126">
        <f t="shared" si="4"/>
        <v>0</v>
      </c>
      <c r="M17" s="126">
        <f t="shared" si="4"/>
        <v>0</v>
      </c>
      <c r="N17" s="126">
        <f t="shared" si="5"/>
        <v>14</v>
      </c>
      <c r="O17" s="126">
        <f t="shared" si="5"/>
        <v>0</v>
      </c>
      <c r="P17" s="126">
        <f t="shared" si="5"/>
        <v>0</v>
      </c>
      <c r="Q17" s="126">
        <f t="shared" si="5"/>
        <v>26</v>
      </c>
      <c r="R17" s="126">
        <f t="shared" si="5"/>
        <v>0</v>
      </c>
      <c r="S17" s="126">
        <f t="shared" si="5"/>
        <v>0</v>
      </c>
      <c r="T17" s="126">
        <f t="shared" si="5"/>
        <v>17</v>
      </c>
      <c r="U17" s="126">
        <f t="shared" si="5"/>
        <v>12</v>
      </c>
      <c r="V17" s="126">
        <f t="shared" si="5"/>
        <v>0</v>
      </c>
      <c r="W17" s="126">
        <f t="shared" si="5"/>
        <v>21</v>
      </c>
      <c r="X17" s="126">
        <f t="shared" si="5"/>
        <v>1</v>
      </c>
      <c r="Y17" s="126">
        <f t="shared" si="5"/>
        <v>32</v>
      </c>
      <c r="Z17" s="204">
        <f t="shared" si="2"/>
        <v>133</v>
      </c>
      <c r="AA17" s="125" t="str">
        <f t="shared" si="3"/>
        <v>Talansky</v>
      </c>
    </row>
    <row r="18" spans="2:27" s="182" customFormat="1">
      <c r="B18" s="180" t="s">
        <v>127</v>
      </c>
      <c r="C18" s="240" t="s">
        <v>114</v>
      </c>
      <c r="D18" s="126">
        <f t="shared" si="4"/>
        <v>0</v>
      </c>
      <c r="E18" s="126">
        <f t="shared" si="4"/>
        <v>0</v>
      </c>
      <c r="F18" s="126">
        <f t="shared" si="4"/>
        <v>0</v>
      </c>
      <c r="G18" s="126">
        <f t="shared" si="4"/>
        <v>0.1</v>
      </c>
      <c r="H18" s="126">
        <f t="shared" si="4"/>
        <v>4</v>
      </c>
      <c r="I18" s="126">
        <f t="shared" si="4"/>
        <v>12</v>
      </c>
      <c r="J18" s="126">
        <f t="shared" si="4"/>
        <v>4</v>
      </c>
      <c r="K18" s="126">
        <f t="shared" si="4"/>
        <v>50</v>
      </c>
      <c r="L18" s="126">
        <f t="shared" si="4"/>
        <v>26</v>
      </c>
      <c r="M18" s="126">
        <f t="shared" si="4"/>
        <v>14</v>
      </c>
      <c r="N18" s="126">
        <f t="shared" si="5"/>
        <v>44</v>
      </c>
      <c r="O18" s="126">
        <f t="shared" si="5"/>
        <v>26</v>
      </c>
      <c r="P18" s="126">
        <f t="shared" si="5"/>
        <v>14</v>
      </c>
      <c r="Q18" s="126">
        <f t="shared" si="5"/>
        <v>14</v>
      </c>
      <c r="R18" s="126">
        <f t="shared" si="5"/>
        <v>50</v>
      </c>
      <c r="S18" s="126">
        <f t="shared" si="5"/>
        <v>15</v>
      </c>
      <c r="T18" s="126">
        <f t="shared" si="5"/>
        <v>50</v>
      </c>
      <c r="U18" s="126">
        <f t="shared" si="5"/>
        <v>34</v>
      </c>
      <c r="V18" s="126">
        <f t="shared" si="5"/>
        <v>15</v>
      </c>
      <c r="W18" s="126">
        <f t="shared" si="5"/>
        <v>40</v>
      </c>
      <c r="X18" s="126">
        <f t="shared" si="5"/>
        <v>14</v>
      </c>
      <c r="Y18" s="126">
        <f t="shared" si="5"/>
        <v>77</v>
      </c>
      <c r="Z18" s="204">
        <f t="shared" si="2"/>
        <v>503.1</v>
      </c>
      <c r="AA18" s="125" t="str">
        <f t="shared" si="3"/>
        <v>Froome</v>
      </c>
    </row>
    <row r="19" spans="2:27">
      <c r="B19" s="180" t="s">
        <v>145</v>
      </c>
      <c r="C19" s="240" t="s">
        <v>146</v>
      </c>
      <c r="D19" s="126">
        <f t="shared" si="4"/>
        <v>0</v>
      </c>
      <c r="E19" s="126">
        <f t="shared" si="4"/>
        <v>0</v>
      </c>
      <c r="F19" s="126">
        <f t="shared" si="4"/>
        <v>0</v>
      </c>
      <c r="G19" s="126">
        <f t="shared" si="4"/>
        <v>0</v>
      </c>
      <c r="H19" s="126">
        <f t="shared" si="4"/>
        <v>0</v>
      </c>
      <c r="I19" s="126">
        <f t="shared" si="4"/>
        <v>0</v>
      </c>
      <c r="J19" s="126">
        <f t="shared" si="4"/>
        <v>0</v>
      </c>
      <c r="K19" s="126">
        <f t="shared" si="4"/>
        <v>22</v>
      </c>
      <c r="L19" s="126">
        <f t="shared" si="4"/>
        <v>18</v>
      </c>
      <c r="M19" s="126">
        <f t="shared" si="4"/>
        <v>5</v>
      </c>
      <c r="N19" s="126">
        <f t="shared" si="5"/>
        <v>18</v>
      </c>
      <c r="O19" s="126">
        <f t="shared" si="5"/>
        <v>7</v>
      </c>
      <c r="P19" s="126">
        <f t="shared" si="5"/>
        <v>27</v>
      </c>
      <c r="Q19" s="126">
        <f t="shared" si="5"/>
        <v>8</v>
      </c>
      <c r="R19" s="126">
        <f t="shared" si="5"/>
        <v>28</v>
      </c>
      <c r="S19" s="126">
        <f t="shared" si="5"/>
        <v>8</v>
      </c>
      <c r="T19" s="126">
        <f t="shared" si="5"/>
        <v>39</v>
      </c>
      <c r="U19" s="126">
        <f t="shared" si="5"/>
        <v>24</v>
      </c>
      <c r="V19" s="126">
        <f t="shared" si="5"/>
        <v>9</v>
      </c>
      <c r="W19" s="126">
        <f t="shared" si="5"/>
        <v>26</v>
      </c>
      <c r="X19" s="126">
        <f t="shared" si="5"/>
        <v>7</v>
      </c>
      <c r="Y19" s="126">
        <f t="shared" si="5"/>
        <v>48</v>
      </c>
      <c r="Z19" s="204">
        <f t="shared" si="2"/>
        <v>294</v>
      </c>
      <c r="AA19" s="125" t="str">
        <f t="shared" si="3"/>
        <v>Contador</v>
      </c>
    </row>
    <row r="20" spans="2:27" ht="13.5" thickBot="1">
      <c r="B20" s="180" t="s">
        <v>151</v>
      </c>
      <c r="C20" s="240" t="s">
        <v>159</v>
      </c>
      <c r="D20" s="126">
        <f t="shared" si="4"/>
        <v>0</v>
      </c>
      <c r="E20" s="126">
        <f t="shared" si="4"/>
        <v>0</v>
      </c>
      <c r="F20" s="126">
        <f t="shared" si="4"/>
        <v>0</v>
      </c>
      <c r="G20" s="126">
        <f t="shared" si="4"/>
        <v>0</v>
      </c>
      <c r="H20" s="126">
        <f t="shared" si="4"/>
        <v>0</v>
      </c>
      <c r="I20" s="126">
        <f t="shared" si="4"/>
        <v>0</v>
      </c>
      <c r="J20" s="126">
        <f t="shared" si="4"/>
        <v>0</v>
      </c>
      <c r="K20" s="126">
        <f t="shared" si="4"/>
        <v>17</v>
      </c>
      <c r="L20" s="126">
        <f t="shared" si="4"/>
        <v>24</v>
      </c>
      <c r="M20" s="126">
        <f t="shared" si="4"/>
        <v>2</v>
      </c>
      <c r="N20" s="126">
        <f t="shared" si="5"/>
        <v>0</v>
      </c>
      <c r="O20" s="126">
        <f t="shared" si="5"/>
        <v>0</v>
      </c>
      <c r="P20" s="126">
        <f t="shared" si="5"/>
        <v>1</v>
      </c>
      <c r="Q20" s="126">
        <f t="shared" si="5"/>
        <v>1</v>
      </c>
      <c r="R20" s="126">
        <f t="shared" si="5"/>
        <v>27</v>
      </c>
      <c r="S20" s="126">
        <f t="shared" si="5"/>
        <v>4</v>
      </c>
      <c r="T20" s="126">
        <f t="shared" si="5"/>
        <v>32</v>
      </c>
      <c r="U20" s="126">
        <f t="shared" si="5"/>
        <v>28</v>
      </c>
      <c r="V20" s="126">
        <f t="shared" si="5"/>
        <v>6</v>
      </c>
      <c r="W20" s="126">
        <f t="shared" si="5"/>
        <v>40</v>
      </c>
      <c r="X20" s="126">
        <f t="shared" si="5"/>
        <v>10</v>
      </c>
      <c r="Y20" s="126">
        <f t="shared" si="5"/>
        <v>55</v>
      </c>
      <c r="Z20" s="204">
        <f t="shared" si="2"/>
        <v>247</v>
      </c>
      <c r="AA20" s="125" t="str">
        <f t="shared" si="3"/>
        <v>Rodriguez</v>
      </c>
    </row>
    <row r="21" spans="2:27" s="183" customFormat="1">
      <c r="C21" s="241"/>
      <c r="D21" s="196"/>
      <c r="E21" s="196"/>
      <c r="F21" s="196"/>
      <c r="G21" s="196"/>
      <c r="H21" s="196"/>
      <c r="I21" s="196"/>
      <c r="J21" s="196"/>
      <c r="K21" s="196"/>
      <c r="L21" s="196"/>
      <c r="M21" s="196"/>
      <c r="N21" s="196">
        <f>N26</f>
        <v>35</v>
      </c>
      <c r="O21" s="196"/>
      <c r="P21" s="196"/>
      <c r="Q21" s="196"/>
      <c r="R21" s="196"/>
      <c r="S21" s="196">
        <f>S24</f>
        <v>7</v>
      </c>
      <c r="T21" s="196">
        <f>T25</f>
        <v>0</v>
      </c>
      <c r="U21" s="196"/>
      <c r="V21" s="196"/>
      <c r="W21" s="196"/>
      <c r="X21" s="196"/>
      <c r="Y21" s="196"/>
      <c r="Z21" s="281">
        <f t="shared" si="2"/>
        <v>42</v>
      </c>
    </row>
    <row r="22" spans="2:27" s="129" customFormat="1">
      <c r="C22" s="242"/>
      <c r="D22" s="184">
        <f t="shared" ref="D22:Z22" si="6">SUM(D4:D21)</f>
        <v>93</v>
      </c>
      <c r="E22" s="184">
        <f t="shared" ref="E22" si="7">SUM(E4:E21)</f>
        <v>70</v>
      </c>
      <c r="F22" s="184">
        <f>SUM(F4:F21)</f>
        <v>63</v>
      </c>
      <c r="G22" s="184">
        <f t="shared" si="6"/>
        <v>0.1</v>
      </c>
      <c r="H22" s="184">
        <f t="shared" si="6"/>
        <v>176</v>
      </c>
      <c r="I22" s="184">
        <f t="shared" si="6"/>
        <v>206</v>
      </c>
      <c r="J22" s="184">
        <f t="shared" si="6"/>
        <v>108</v>
      </c>
      <c r="K22" s="184">
        <f t="shared" si="6"/>
        <v>212</v>
      </c>
      <c r="L22" s="184">
        <f t="shared" si="6"/>
        <v>122</v>
      </c>
      <c r="M22" s="184">
        <f t="shared" si="6"/>
        <v>204</v>
      </c>
      <c r="N22" s="184">
        <f t="shared" si="6"/>
        <v>189</v>
      </c>
      <c r="O22" s="184">
        <f t="shared" si="6"/>
        <v>197</v>
      </c>
      <c r="P22" s="184">
        <f t="shared" si="6"/>
        <v>147</v>
      </c>
      <c r="Q22" s="184">
        <f t="shared" si="6"/>
        <v>72</v>
      </c>
      <c r="R22" s="184">
        <f t="shared" si="6"/>
        <v>183</v>
      </c>
      <c r="S22" s="184">
        <f t="shared" si="6"/>
        <v>59</v>
      </c>
      <c r="T22" s="184">
        <f t="shared" si="6"/>
        <v>205</v>
      </c>
      <c r="U22" s="184">
        <f t="shared" si="6"/>
        <v>187</v>
      </c>
      <c r="V22" s="184">
        <f t="shared" si="6"/>
        <v>65</v>
      </c>
      <c r="W22" s="184">
        <f t="shared" si="6"/>
        <v>240</v>
      </c>
      <c r="X22" s="184">
        <f t="shared" si="6"/>
        <v>213</v>
      </c>
      <c r="Y22" s="184">
        <f t="shared" si="6"/>
        <v>358</v>
      </c>
      <c r="Z22" s="282">
        <f t="shared" si="6"/>
        <v>3369.1</v>
      </c>
    </row>
    <row r="23" spans="2:27" s="185" customFormat="1">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180" t="s">
        <v>129</v>
      </c>
      <c r="C24" s="244" t="s">
        <v>76</v>
      </c>
      <c r="D24" s="211">
        <f t="shared" ref="D24:Y26" si="8">INDEX(scorematrix,MATCH($C24,renners,0),MATCH(D$3,etappes,0))</f>
        <v>0</v>
      </c>
      <c r="E24" s="211">
        <f t="shared" si="8"/>
        <v>0</v>
      </c>
      <c r="F24" s="211">
        <f t="shared" si="8"/>
        <v>0</v>
      </c>
      <c r="G24" s="211">
        <f t="shared" si="8"/>
        <v>0</v>
      </c>
      <c r="H24" s="211">
        <f t="shared" si="8"/>
        <v>0</v>
      </c>
      <c r="I24" s="211">
        <f t="shared" si="8"/>
        <v>0</v>
      </c>
      <c r="J24" s="211">
        <f t="shared" si="8"/>
        <v>0</v>
      </c>
      <c r="K24" s="211">
        <f t="shared" si="8"/>
        <v>0</v>
      </c>
      <c r="L24" s="211">
        <f t="shared" si="8"/>
        <v>0</v>
      </c>
      <c r="M24" s="211">
        <f t="shared" si="8"/>
        <v>0</v>
      </c>
      <c r="N24" s="211">
        <f t="shared" si="8"/>
        <v>0</v>
      </c>
      <c r="O24" s="211">
        <f t="shared" si="8"/>
        <v>0</v>
      </c>
      <c r="P24" s="211">
        <f t="shared" si="8"/>
        <v>0</v>
      </c>
      <c r="Q24" s="211">
        <f t="shared" si="8"/>
        <v>0</v>
      </c>
      <c r="R24" s="211">
        <f t="shared" si="8"/>
        <v>0</v>
      </c>
      <c r="S24" s="280">
        <f t="shared" si="8"/>
        <v>7</v>
      </c>
      <c r="T24" s="211">
        <f t="shared" si="8"/>
        <v>0</v>
      </c>
      <c r="U24" s="211">
        <f t="shared" si="8"/>
        <v>0</v>
      </c>
      <c r="V24" s="211">
        <f t="shared" si="8"/>
        <v>0</v>
      </c>
      <c r="W24" s="211">
        <f t="shared" si="8"/>
        <v>0</v>
      </c>
      <c r="X24" s="211">
        <f t="shared" si="8"/>
        <v>0</v>
      </c>
      <c r="Y24" s="211">
        <f t="shared" si="8"/>
        <v>0</v>
      </c>
      <c r="Z24" s="284">
        <f>SUM(D24:Y24)</f>
        <v>7</v>
      </c>
    </row>
    <row r="25" spans="2:27" s="188" customFormat="1">
      <c r="B25" s="180" t="s">
        <v>111</v>
      </c>
      <c r="C25" s="244" t="s">
        <v>69</v>
      </c>
      <c r="D25" s="211">
        <f t="shared" si="8"/>
        <v>0</v>
      </c>
      <c r="E25" s="211">
        <f t="shared" si="8"/>
        <v>1</v>
      </c>
      <c r="F25" s="211">
        <f t="shared" si="8"/>
        <v>15</v>
      </c>
      <c r="G25" s="211">
        <f t="shared" si="8"/>
        <v>0</v>
      </c>
      <c r="H25" s="211">
        <f t="shared" si="8"/>
        <v>0</v>
      </c>
      <c r="I25" s="211">
        <f t="shared" si="8"/>
        <v>9</v>
      </c>
      <c r="J25" s="211">
        <f t="shared" si="8"/>
        <v>0</v>
      </c>
      <c r="K25" s="211">
        <f t="shared" si="8"/>
        <v>0</v>
      </c>
      <c r="L25" s="211">
        <f t="shared" si="8"/>
        <v>20</v>
      </c>
      <c r="M25" s="211">
        <f t="shared" si="8"/>
        <v>0</v>
      </c>
      <c r="N25" s="211">
        <f t="shared" si="8"/>
        <v>0</v>
      </c>
      <c r="O25" s="211">
        <f t="shared" si="8"/>
        <v>6</v>
      </c>
      <c r="P25" s="211">
        <f t="shared" si="8"/>
        <v>0</v>
      </c>
      <c r="Q25" s="211">
        <f t="shared" si="8"/>
        <v>0</v>
      </c>
      <c r="R25" s="211">
        <f t="shared" si="8"/>
        <v>0</v>
      </c>
      <c r="S25" s="211">
        <f t="shared" si="8"/>
        <v>0</v>
      </c>
      <c r="T25" s="280">
        <f t="shared" si="8"/>
        <v>0</v>
      </c>
      <c r="U25" s="211">
        <f t="shared" si="8"/>
        <v>0</v>
      </c>
      <c r="V25" s="211">
        <f t="shared" si="8"/>
        <v>0</v>
      </c>
      <c r="W25" s="211">
        <f t="shared" si="8"/>
        <v>0</v>
      </c>
      <c r="X25" s="211">
        <f t="shared" si="8"/>
        <v>0</v>
      </c>
      <c r="Y25" s="211">
        <f t="shared" si="8"/>
        <v>0</v>
      </c>
      <c r="Z25" s="284">
        <f>SUM(D25:Y25)</f>
        <v>51</v>
      </c>
    </row>
    <row r="26" spans="2:27" s="188" customFormat="1">
      <c r="B26" s="180" t="s">
        <v>113</v>
      </c>
      <c r="C26" s="244" t="s">
        <v>70</v>
      </c>
      <c r="D26" s="211">
        <f t="shared" si="8"/>
        <v>0</v>
      </c>
      <c r="E26" s="211">
        <f t="shared" si="8"/>
        <v>0</v>
      </c>
      <c r="F26" s="211">
        <f t="shared" si="8"/>
        <v>0</v>
      </c>
      <c r="G26" s="211">
        <f t="shared" si="8"/>
        <v>0</v>
      </c>
      <c r="H26" s="211">
        <f t="shared" si="8"/>
        <v>0</v>
      </c>
      <c r="I26" s="211">
        <f t="shared" si="8"/>
        <v>0</v>
      </c>
      <c r="J26" s="211">
        <f t="shared" si="8"/>
        <v>0</v>
      </c>
      <c r="K26" s="211">
        <f t="shared" si="8"/>
        <v>0</v>
      </c>
      <c r="L26" s="211">
        <f t="shared" si="8"/>
        <v>0</v>
      </c>
      <c r="M26" s="211">
        <f t="shared" si="8"/>
        <v>0</v>
      </c>
      <c r="N26" s="280">
        <f t="shared" si="8"/>
        <v>35</v>
      </c>
      <c r="O26" s="211">
        <f t="shared" si="8"/>
        <v>0</v>
      </c>
      <c r="P26" s="211">
        <f t="shared" si="8"/>
        <v>0</v>
      </c>
      <c r="Q26" s="211">
        <f t="shared" si="8"/>
        <v>0</v>
      </c>
      <c r="R26" s="211">
        <f t="shared" si="8"/>
        <v>0</v>
      </c>
      <c r="S26" s="211">
        <f t="shared" si="8"/>
        <v>0</v>
      </c>
      <c r="T26" s="211">
        <f t="shared" si="8"/>
        <v>0</v>
      </c>
      <c r="U26" s="211">
        <f t="shared" si="8"/>
        <v>0</v>
      </c>
      <c r="V26" s="211">
        <f t="shared" si="8"/>
        <v>0</v>
      </c>
      <c r="W26" s="211">
        <f t="shared" si="8"/>
        <v>0</v>
      </c>
      <c r="X26" s="211">
        <f t="shared" si="8"/>
        <v>0</v>
      </c>
      <c r="Y26" s="211">
        <f t="shared" si="8"/>
        <v>0</v>
      </c>
      <c r="Z26" s="284">
        <f>SUM(D26:Y26)</f>
        <v>35</v>
      </c>
    </row>
  </sheetData>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indexed="12"/>
  </sheetPr>
  <dimension ref="B1:AA26"/>
  <sheetViews>
    <sheetView showZeros="0" workbookViewId="0">
      <selection activeCell="N22" sqref="N22"/>
    </sheetView>
  </sheetViews>
  <sheetFormatPr defaultRowHeight="12.75"/>
  <cols>
    <col min="1" max="1" width="2.7109375" style="125" customWidth="1"/>
    <col min="2" max="2" width="8.85546875" style="125" customWidth="1"/>
    <col min="3" max="3" width="13" style="130"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20"/>
      <c r="C1" s="221" t="s">
        <v>135</v>
      </c>
    </row>
    <row r="2" spans="2:27">
      <c r="B2" s="220"/>
      <c r="C2" s="222"/>
      <c r="G2" s="146"/>
    </row>
    <row r="3" spans="2:27" s="144" customFormat="1" ht="13.5" thickBot="1">
      <c r="B3" s="223"/>
      <c r="C3" s="224" t="s">
        <v>136</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25" t="s">
        <v>127</v>
      </c>
      <c r="C4" s="226" t="s">
        <v>114</v>
      </c>
      <c r="D4" s="126">
        <f t="shared" ref="D4:M13" si="0">INDEX(scorematrix,MATCH($C4,renners,0),MATCH(D$3,etappes,0))</f>
        <v>0</v>
      </c>
      <c r="E4" s="126">
        <f t="shared" si="0"/>
        <v>0</v>
      </c>
      <c r="F4" s="126">
        <f t="shared" si="0"/>
        <v>0</v>
      </c>
      <c r="G4" s="126">
        <f t="shared" si="0"/>
        <v>0.1</v>
      </c>
      <c r="H4" s="126">
        <f t="shared" si="0"/>
        <v>4</v>
      </c>
      <c r="I4" s="126">
        <f t="shared" si="0"/>
        <v>12</v>
      </c>
      <c r="J4" s="126">
        <f t="shared" si="0"/>
        <v>4</v>
      </c>
      <c r="K4" s="126">
        <f t="shared" si="0"/>
        <v>50</v>
      </c>
      <c r="L4" s="126">
        <f t="shared" si="0"/>
        <v>26</v>
      </c>
      <c r="M4" s="126">
        <f t="shared" si="0"/>
        <v>14</v>
      </c>
      <c r="N4" s="126">
        <f t="shared" ref="N4:Y13" si="1">INDEX(scorematrix,MATCH($C4,renners,0),MATCH(N$3,etappes,0))</f>
        <v>44</v>
      </c>
      <c r="O4" s="126">
        <f t="shared" si="1"/>
        <v>26</v>
      </c>
      <c r="P4" s="126">
        <f t="shared" si="1"/>
        <v>14</v>
      </c>
      <c r="Q4" s="126">
        <f t="shared" si="1"/>
        <v>14</v>
      </c>
      <c r="R4" s="126">
        <f t="shared" si="1"/>
        <v>50</v>
      </c>
      <c r="S4" s="126">
        <f t="shared" si="1"/>
        <v>15</v>
      </c>
      <c r="T4" s="126">
        <f t="shared" si="1"/>
        <v>50</v>
      </c>
      <c r="U4" s="126">
        <f t="shared" si="1"/>
        <v>34</v>
      </c>
      <c r="V4" s="126">
        <f t="shared" si="1"/>
        <v>15</v>
      </c>
      <c r="W4" s="126">
        <f t="shared" si="1"/>
        <v>40</v>
      </c>
      <c r="X4" s="126">
        <f t="shared" si="1"/>
        <v>14</v>
      </c>
      <c r="Y4" s="126">
        <f t="shared" si="1"/>
        <v>77</v>
      </c>
      <c r="Z4" s="204">
        <f t="shared" ref="Z4:Z21" si="2">SUM(D4:Y4)</f>
        <v>503.1</v>
      </c>
      <c r="AA4" s="125" t="str">
        <f t="shared" ref="AA4:AA18" si="3">C4</f>
        <v>Froome</v>
      </c>
    </row>
    <row r="5" spans="2:27">
      <c r="B5" s="225" t="s">
        <v>105</v>
      </c>
      <c r="C5" s="227" t="s">
        <v>106</v>
      </c>
      <c r="D5" s="126">
        <f t="shared" si="0"/>
        <v>0</v>
      </c>
      <c r="E5" s="126">
        <f t="shared" si="0"/>
        <v>34</v>
      </c>
      <c r="F5" s="126">
        <f t="shared" si="0"/>
        <v>35</v>
      </c>
      <c r="G5" s="126">
        <f t="shared" si="0"/>
        <v>0</v>
      </c>
      <c r="H5" s="126">
        <f t="shared" si="0"/>
        <v>31</v>
      </c>
      <c r="I5" s="126">
        <f t="shared" si="0"/>
        <v>35</v>
      </c>
      <c r="J5" s="126">
        <f t="shared" si="0"/>
        <v>40</v>
      </c>
      <c r="K5" s="126">
        <f t="shared" si="0"/>
        <v>5</v>
      </c>
      <c r="L5" s="126">
        <f t="shared" si="0"/>
        <v>5</v>
      </c>
      <c r="M5" s="126">
        <f t="shared" si="0"/>
        <v>29</v>
      </c>
      <c r="N5" s="126">
        <f t="shared" si="1"/>
        <v>14</v>
      </c>
      <c r="O5" s="126">
        <f t="shared" si="1"/>
        <v>31</v>
      </c>
      <c r="P5" s="126">
        <f t="shared" si="1"/>
        <v>35</v>
      </c>
      <c r="Q5" s="126">
        <f t="shared" si="1"/>
        <v>5</v>
      </c>
      <c r="R5" s="126">
        <f t="shared" si="1"/>
        <v>5</v>
      </c>
      <c r="S5" s="126">
        <f t="shared" si="1"/>
        <v>5</v>
      </c>
      <c r="T5" s="126">
        <f t="shared" si="1"/>
        <v>5</v>
      </c>
      <c r="U5" s="126">
        <f t="shared" si="1"/>
        <v>5</v>
      </c>
      <c r="V5" s="126">
        <f t="shared" si="1"/>
        <v>5</v>
      </c>
      <c r="W5" s="126">
        <f t="shared" si="1"/>
        <v>5</v>
      </c>
      <c r="X5" s="126">
        <f t="shared" si="1"/>
        <v>29</v>
      </c>
      <c r="Y5" s="126">
        <f t="shared" si="1"/>
        <v>10</v>
      </c>
      <c r="Z5" s="204">
        <f t="shared" si="2"/>
        <v>368</v>
      </c>
      <c r="AA5" s="125" t="str">
        <f t="shared" si="3"/>
        <v>Sagan</v>
      </c>
    </row>
    <row r="6" spans="2:27">
      <c r="B6" s="225" t="s">
        <v>116</v>
      </c>
      <c r="C6" s="227" t="s">
        <v>67</v>
      </c>
      <c r="D6" s="126">
        <f t="shared" si="0"/>
        <v>0</v>
      </c>
      <c r="E6" s="126">
        <f t="shared" si="0"/>
        <v>0</v>
      </c>
      <c r="F6" s="126">
        <f t="shared" si="0"/>
        <v>0</v>
      </c>
      <c r="G6" s="126">
        <f t="shared" si="0"/>
        <v>0</v>
      </c>
      <c r="H6" s="126">
        <f t="shared" si="0"/>
        <v>39</v>
      </c>
      <c r="I6" s="126">
        <f t="shared" si="0"/>
        <v>27</v>
      </c>
      <c r="J6" s="126">
        <f t="shared" si="0"/>
        <v>0</v>
      </c>
      <c r="K6" s="126">
        <f t="shared" si="0"/>
        <v>3</v>
      </c>
      <c r="L6" s="126">
        <f t="shared" si="0"/>
        <v>3</v>
      </c>
      <c r="M6" s="126">
        <f t="shared" si="0"/>
        <v>29</v>
      </c>
      <c r="N6" s="126">
        <f t="shared" si="1"/>
        <v>3</v>
      </c>
      <c r="O6" s="126">
        <f t="shared" si="1"/>
        <v>34</v>
      </c>
      <c r="P6" s="126">
        <f t="shared" si="1"/>
        <v>39</v>
      </c>
      <c r="Q6" s="126">
        <f t="shared" si="1"/>
        <v>4</v>
      </c>
      <c r="R6" s="126">
        <f t="shared" si="1"/>
        <v>4</v>
      </c>
      <c r="S6" s="126">
        <f t="shared" si="1"/>
        <v>4</v>
      </c>
      <c r="T6" s="126">
        <f t="shared" si="1"/>
        <v>4</v>
      </c>
      <c r="U6" s="126">
        <f t="shared" si="1"/>
        <v>4</v>
      </c>
      <c r="V6" s="126">
        <f t="shared" si="1"/>
        <v>4</v>
      </c>
      <c r="W6" s="126">
        <f t="shared" si="1"/>
        <v>4</v>
      </c>
      <c r="X6" s="126">
        <f t="shared" si="1"/>
        <v>30</v>
      </c>
      <c r="Y6" s="126">
        <f t="shared" si="1"/>
        <v>7</v>
      </c>
      <c r="Z6" s="204">
        <f t="shared" si="2"/>
        <v>242</v>
      </c>
      <c r="AA6" s="125" t="str">
        <f t="shared" si="3"/>
        <v>Cavendish</v>
      </c>
    </row>
    <row r="7" spans="2:27">
      <c r="B7" s="225" t="s">
        <v>145</v>
      </c>
      <c r="C7" s="227" t="s">
        <v>146</v>
      </c>
      <c r="D7" s="126">
        <f t="shared" si="0"/>
        <v>0</v>
      </c>
      <c r="E7" s="126">
        <f t="shared" si="0"/>
        <v>0</v>
      </c>
      <c r="F7" s="126">
        <f t="shared" si="0"/>
        <v>0</v>
      </c>
      <c r="G7" s="126">
        <f t="shared" si="0"/>
        <v>0</v>
      </c>
      <c r="H7" s="126">
        <f t="shared" si="0"/>
        <v>0</v>
      </c>
      <c r="I7" s="126">
        <f t="shared" si="0"/>
        <v>0</v>
      </c>
      <c r="J7" s="126">
        <f t="shared" si="0"/>
        <v>0</v>
      </c>
      <c r="K7" s="126">
        <f t="shared" si="0"/>
        <v>22</v>
      </c>
      <c r="L7" s="126">
        <f t="shared" si="0"/>
        <v>18</v>
      </c>
      <c r="M7" s="126">
        <f t="shared" si="0"/>
        <v>5</v>
      </c>
      <c r="N7" s="126">
        <f t="shared" si="1"/>
        <v>18</v>
      </c>
      <c r="O7" s="126">
        <f t="shared" si="1"/>
        <v>7</v>
      </c>
      <c r="P7" s="126">
        <f t="shared" si="1"/>
        <v>27</v>
      </c>
      <c r="Q7" s="126">
        <f t="shared" si="1"/>
        <v>8</v>
      </c>
      <c r="R7" s="126">
        <f t="shared" si="1"/>
        <v>28</v>
      </c>
      <c r="S7" s="126">
        <f t="shared" si="1"/>
        <v>8</v>
      </c>
      <c r="T7" s="126">
        <f t="shared" si="1"/>
        <v>39</v>
      </c>
      <c r="U7" s="126">
        <f t="shared" si="1"/>
        <v>24</v>
      </c>
      <c r="V7" s="126">
        <f t="shared" si="1"/>
        <v>9</v>
      </c>
      <c r="W7" s="126">
        <f t="shared" si="1"/>
        <v>26</v>
      </c>
      <c r="X7" s="126">
        <f t="shared" si="1"/>
        <v>7</v>
      </c>
      <c r="Y7" s="126">
        <f t="shared" si="1"/>
        <v>48</v>
      </c>
      <c r="Z7" s="204">
        <f t="shared" si="2"/>
        <v>294</v>
      </c>
      <c r="AA7" s="125" t="str">
        <f t="shared" si="3"/>
        <v>Contador</v>
      </c>
    </row>
    <row r="8" spans="2:27">
      <c r="B8" s="225" t="s">
        <v>128</v>
      </c>
      <c r="C8" s="227" t="s">
        <v>72</v>
      </c>
      <c r="D8" s="126">
        <f t="shared" si="0"/>
        <v>0</v>
      </c>
      <c r="E8" s="126">
        <f t="shared" si="0"/>
        <v>28</v>
      </c>
      <c r="F8" s="126">
        <f t="shared" si="0"/>
        <v>21</v>
      </c>
      <c r="G8" s="126">
        <f t="shared" si="0"/>
        <v>0</v>
      </c>
      <c r="H8" s="126">
        <f t="shared" si="0"/>
        <v>36</v>
      </c>
      <c r="I8" s="126">
        <f t="shared" si="0"/>
        <v>23</v>
      </c>
      <c r="J8" s="126">
        <f t="shared" si="0"/>
        <v>31</v>
      </c>
      <c r="K8" s="126">
        <f t="shared" si="0"/>
        <v>1</v>
      </c>
      <c r="L8" s="126">
        <f t="shared" si="0"/>
        <v>0</v>
      </c>
      <c r="M8" s="126">
        <f t="shared" si="0"/>
        <v>0</v>
      </c>
      <c r="N8" s="126">
        <f t="shared" si="1"/>
        <v>0</v>
      </c>
      <c r="O8" s="126">
        <f t="shared" si="1"/>
        <v>0</v>
      </c>
      <c r="P8" s="126">
        <f t="shared" si="1"/>
        <v>0</v>
      </c>
      <c r="Q8" s="126">
        <f t="shared" si="1"/>
        <v>0</v>
      </c>
      <c r="R8" s="126">
        <f t="shared" si="1"/>
        <v>0</v>
      </c>
      <c r="S8" s="126">
        <f t="shared" si="1"/>
        <v>0</v>
      </c>
      <c r="T8" s="126">
        <f t="shared" si="1"/>
        <v>0</v>
      </c>
      <c r="U8" s="126">
        <f t="shared" si="1"/>
        <v>0</v>
      </c>
      <c r="V8" s="126">
        <f t="shared" si="1"/>
        <v>0</v>
      </c>
      <c r="W8" s="126">
        <f t="shared" si="1"/>
        <v>0</v>
      </c>
      <c r="X8" s="126">
        <f t="shared" si="1"/>
        <v>0</v>
      </c>
      <c r="Y8" s="126">
        <f t="shared" si="1"/>
        <v>0</v>
      </c>
      <c r="Z8" s="204">
        <f t="shared" si="2"/>
        <v>140</v>
      </c>
      <c r="AA8" s="125" t="str">
        <f t="shared" si="3"/>
        <v>Boasson Hagen</v>
      </c>
    </row>
    <row r="9" spans="2:27">
      <c r="B9" s="225" t="s">
        <v>107</v>
      </c>
      <c r="C9" s="227" t="s">
        <v>108</v>
      </c>
      <c r="D9" s="126">
        <f t="shared" si="0"/>
        <v>50</v>
      </c>
      <c r="E9" s="126">
        <f t="shared" si="0"/>
        <v>5</v>
      </c>
      <c r="F9" s="126">
        <f t="shared" si="0"/>
        <v>4</v>
      </c>
      <c r="G9" s="126">
        <f t="shared" si="0"/>
        <v>0</v>
      </c>
      <c r="H9" s="126">
        <f t="shared" si="0"/>
        <v>0</v>
      </c>
      <c r="I9" s="126">
        <f t="shared" si="0"/>
        <v>27</v>
      </c>
      <c r="J9" s="126">
        <f t="shared" si="0"/>
        <v>0</v>
      </c>
      <c r="K9" s="126">
        <f t="shared" si="0"/>
        <v>0</v>
      </c>
      <c r="L9" s="126">
        <f t="shared" si="0"/>
        <v>0</v>
      </c>
      <c r="M9" s="126">
        <f t="shared" si="0"/>
        <v>37</v>
      </c>
      <c r="N9" s="126">
        <f t="shared" si="1"/>
        <v>2</v>
      </c>
      <c r="O9" s="126">
        <f t="shared" si="1"/>
        <v>37</v>
      </c>
      <c r="P9" s="126">
        <f t="shared" si="1"/>
        <v>2</v>
      </c>
      <c r="Q9" s="126">
        <f t="shared" si="1"/>
        <v>2</v>
      </c>
      <c r="R9" s="126">
        <f t="shared" si="1"/>
        <v>2</v>
      </c>
      <c r="S9" s="126">
        <f t="shared" si="1"/>
        <v>2</v>
      </c>
      <c r="T9" s="126">
        <f t="shared" si="1"/>
        <v>2</v>
      </c>
      <c r="U9" s="126">
        <f t="shared" si="1"/>
        <v>2</v>
      </c>
      <c r="V9" s="126">
        <f t="shared" si="1"/>
        <v>2</v>
      </c>
      <c r="W9" s="126">
        <f t="shared" si="1"/>
        <v>2</v>
      </c>
      <c r="X9" s="126">
        <f t="shared" si="1"/>
        <v>37</v>
      </c>
      <c r="Y9" s="126">
        <f t="shared" si="1"/>
        <v>3</v>
      </c>
      <c r="Z9" s="204">
        <f t="shared" si="2"/>
        <v>218</v>
      </c>
      <c r="AA9" s="125" t="str">
        <f t="shared" si="3"/>
        <v>Kittel</v>
      </c>
    </row>
    <row r="10" spans="2:27">
      <c r="B10" s="225" t="s">
        <v>147</v>
      </c>
      <c r="C10" s="227" t="s">
        <v>148</v>
      </c>
      <c r="D10" s="126">
        <f t="shared" si="0"/>
        <v>0</v>
      </c>
      <c r="E10" s="126">
        <f t="shared" si="0"/>
        <v>0</v>
      </c>
      <c r="F10" s="126">
        <f t="shared" si="0"/>
        <v>0</v>
      </c>
      <c r="G10" s="126">
        <f t="shared" si="0"/>
        <v>0</v>
      </c>
      <c r="H10" s="126">
        <f t="shared" si="0"/>
        <v>0</v>
      </c>
      <c r="I10" s="126">
        <f t="shared" si="0"/>
        <v>0</v>
      </c>
      <c r="J10" s="126">
        <f t="shared" si="0"/>
        <v>0</v>
      </c>
      <c r="K10" s="126">
        <f t="shared" si="0"/>
        <v>0</v>
      </c>
      <c r="L10" s="126">
        <f t="shared" si="0"/>
        <v>0</v>
      </c>
      <c r="M10" s="126">
        <f t="shared" si="0"/>
        <v>0</v>
      </c>
      <c r="N10" s="126">
        <f t="shared" si="1"/>
        <v>0</v>
      </c>
      <c r="O10" s="126">
        <f t="shared" si="1"/>
        <v>0</v>
      </c>
      <c r="P10" s="126">
        <f t="shared" si="1"/>
        <v>0</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204">
        <f t="shared" si="2"/>
        <v>0</v>
      </c>
      <c r="AA10" s="125" t="str">
        <f t="shared" si="3"/>
        <v>Pinot</v>
      </c>
    </row>
    <row r="11" spans="2:27">
      <c r="B11" s="225" t="s">
        <v>149</v>
      </c>
      <c r="C11" s="227" t="s">
        <v>150</v>
      </c>
      <c r="D11" s="126">
        <f t="shared" si="0"/>
        <v>0</v>
      </c>
      <c r="E11" s="126">
        <f t="shared" si="0"/>
        <v>0</v>
      </c>
      <c r="F11" s="126">
        <f t="shared" si="0"/>
        <v>0</v>
      </c>
      <c r="G11" s="126">
        <f t="shared" si="0"/>
        <v>0</v>
      </c>
      <c r="H11" s="126">
        <f t="shared" si="0"/>
        <v>3</v>
      </c>
      <c r="I11" s="126">
        <f t="shared" si="0"/>
        <v>10</v>
      </c>
      <c r="J11" s="126">
        <f t="shared" si="0"/>
        <v>3</v>
      </c>
      <c r="K11" s="126">
        <f t="shared" si="0"/>
        <v>42</v>
      </c>
      <c r="L11" s="126">
        <f t="shared" si="0"/>
        <v>3</v>
      </c>
      <c r="M11" s="126">
        <f t="shared" si="0"/>
        <v>3</v>
      </c>
      <c r="N11" s="126">
        <f t="shared" si="1"/>
        <v>27</v>
      </c>
      <c r="O11" s="126">
        <f t="shared" si="1"/>
        <v>3</v>
      </c>
      <c r="P11" s="126">
        <f t="shared" si="1"/>
        <v>3</v>
      </c>
      <c r="Q11" s="126">
        <f t="shared" si="1"/>
        <v>3</v>
      </c>
      <c r="R11" s="126">
        <f t="shared" si="1"/>
        <v>11</v>
      </c>
      <c r="S11" s="126">
        <f t="shared" si="1"/>
        <v>0</v>
      </c>
      <c r="T11" s="126">
        <f t="shared" si="1"/>
        <v>0</v>
      </c>
      <c r="U11" s="126">
        <f t="shared" si="1"/>
        <v>20</v>
      </c>
      <c r="V11" s="126">
        <f t="shared" si="1"/>
        <v>0</v>
      </c>
      <c r="W11" s="126">
        <f t="shared" si="1"/>
        <v>22</v>
      </c>
      <c r="X11" s="126">
        <f t="shared" si="1"/>
        <v>0</v>
      </c>
      <c r="Y11" s="126">
        <f t="shared" si="1"/>
        <v>14</v>
      </c>
      <c r="Z11" s="204">
        <f t="shared" si="2"/>
        <v>167</v>
      </c>
      <c r="AA11" s="125" t="str">
        <f t="shared" si="3"/>
        <v>Porte</v>
      </c>
    </row>
    <row r="12" spans="2:27">
      <c r="B12" s="225" t="s">
        <v>151</v>
      </c>
      <c r="C12" s="227" t="s">
        <v>159</v>
      </c>
      <c r="D12" s="126">
        <f t="shared" si="0"/>
        <v>0</v>
      </c>
      <c r="E12" s="126">
        <f t="shared" si="0"/>
        <v>0</v>
      </c>
      <c r="F12" s="126">
        <f t="shared" si="0"/>
        <v>0</v>
      </c>
      <c r="G12" s="126">
        <f t="shared" si="0"/>
        <v>0</v>
      </c>
      <c r="H12" s="126">
        <f t="shared" si="0"/>
        <v>0</v>
      </c>
      <c r="I12" s="126">
        <f t="shared" si="0"/>
        <v>0</v>
      </c>
      <c r="J12" s="126">
        <f t="shared" si="0"/>
        <v>0</v>
      </c>
      <c r="K12" s="126">
        <f t="shared" si="0"/>
        <v>17</v>
      </c>
      <c r="L12" s="126">
        <f t="shared" si="0"/>
        <v>24</v>
      </c>
      <c r="M12" s="126">
        <f t="shared" si="0"/>
        <v>2</v>
      </c>
      <c r="N12" s="126">
        <f t="shared" si="1"/>
        <v>0</v>
      </c>
      <c r="O12" s="126">
        <f t="shared" si="1"/>
        <v>0</v>
      </c>
      <c r="P12" s="126">
        <f t="shared" si="1"/>
        <v>1</v>
      </c>
      <c r="Q12" s="126">
        <f t="shared" si="1"/>
        <v>1</v>
      </c>
      <c r="R12" s="126">
        <f t="shared" si="1"/>
        <v>27</v>
      </c>
      <c r="S12" s="126">
        <f t="shared" si="1"/>
        <v>4</v>
      </c>
      <c r="T12" s="126">
        <f t="shared" si="1"/>
        <v>32</v>
      </c>
      <c r="U12" s="126">
        <f t="shared" si="1"/>
        <v>28</v>
      </c>
      <c r="V12" s="126">
        <f t="shared" si="1"/>
        <v>6</v>
      </c>
      <c r="W12" s="126">
        <f t="shared" si="1"/>
        <v>40</v>
      </c>
      <c r="X12" s="126">
        <f t="shared" si="1"/>
        <v>10</v>
      </c>
      <c r="Y12" s="126">
        <f t="shared" si="1"/>
        <v>55</v>
      </c>
      <c r="Z12" s="204">
        <f t="shared" si="2"/>
        <v>247</v>
      </c>
      <c r="AA12" s="125" t="str">
        <f t="shared" si="3"/>
        <v>Rodriguez</v>
      </c>
    </row>
    <row r="13" spans="2:27">
      <c r="B13" s="225" t="s">
        <v>152</v>
      </c>
      <c r="C13" s="227" t="s">
        <v>153</v>
      </c>
      <c r="D13" s="126">
        <f t="shared" si="0"/>
        <v>0</v>
      </c>
      <c r="E13" s="126">
        <f t="shared" si="0"/>
        <v>0</v>
      </c>
      <c r="F13" s="126">
        <f t="shared" si="0"/>
        <v>0</v>
      </c>
      <c r="G13" s="126">
        <f t="shared" si="0"/>
        <v>0</v>
      </c>
      <c r="H13" s="126">
        <f t="shared" si="0"/>
        <v>0</v>
      </c>
      <c r="I13" s="126">
        <f t="shared" si="0"/>
        <v>0</v>
      </c>
      <c r="J13" s="126">
        <f t="shared" si="0"/>
        <v>0</v>
      </c>
      <c r="K13" s="126">
        <f t="shared" si="0"/>
        <v>9</v>
      </c>
      <c r="L13" s="126">
        <f t="shared" si="0"/>
        <v>30</v>
      </c>
      <c r="M13" s="126">
        <f t="shared" si="0"/>
        <v>0</v>
      </c>
      <c r="N13" s="126">
        <f t="shared" si="1"/>
        <v>0</v>
      </c>
      <c r="O13" s="126">
        <f t="shared" si="1"/>
        <v>0</v>
      </c>
      <c r="P13" s="126">
        <f t="shared" si="1"/>
        <v>29</v>
      </c>
      <c r="Q13" s="126">
        <f t="shared" si="1"/>
        <v>5</v>
      </c>
      <c r="R13" s="126">
        <f t="shared" si="1"/>
        <v>23</v>
      </c>
      <c r="S13" s="126">
        <f t="shared" si="1"/>
        <v>3</v>
      </c>
      <c r="T13" s="126">
        <f t="shared" si="1"/>
        <v>21</v>
      </c>
      <c r="U13" s="126">
        <f t="shared" si="1"/>
        <v>20</v>
      </c>
      <c r="V13" s="126">
        <f t="shared" si="1"/>
        <v>10</v>
      </c>
      <c r="W13" s="126">
        <f t="shared" si="1"/>
        <v>13</v>
      </c>
      <c r="X13" s="126">
        <f t="shared" si="1"/>
        <v>4</v>
      </c>
      <c r="Y13" s="126">
        <f t="shared" si="1"/>
        <v>38</v>
      </c>
      <c r="Z13" s="204">
        <f t="shared" si="2"/>
        <v>205</v>
      </c>
      <c r="AA13" s="125" t="str">
        <f t="shared" si="3"/>
        <v>Fuglsang</v>
      </c>
    </row>
    <row r="14" spans="2:27">
      <c r="B14" s="225" t="s">
        <v>154</v>
      </c>
      <c r="C14" s="227" t="s">
        <v>155</v>
      </c>
      <c r="D14" s="126">
        <f t="shared" ref="D14:M20" si="4">INDEX(scorematrix,MATCH($C14,renners,0),MATCH(D$3,etappes,0))</f>
        <v>0</v>
      </c>
      <c r="E14" s="126">
        <f t="shared" si="4"/>
        <v>0</v>
      </c>
      <c r="F14" s="126">
        <f t="shared" si="4"/>
        <v>0</v>
      </c>
      <c r="G14" s="126">
        <f t="shared" si="4"/>
        <v>0</v>
      </c>
      <c r="H14" s="126">
        <f t="shared" si="4"/>
        <v>0</v>
      </c>
      <c r="I14" s="126">
        <f t="shared" si="4"/>
        <v>0</v>
      </c>
      <c r="J14" s="126">
        <f t="shared" si="4"/>
        <v>0</v>
      </c>
      <c r="K14" s="126">
        <f t="shared" si="4"/>
        <v>14</v>
      </c>
      <c r="L14" s="126">
        <f t="shared" si="4"/>
        <v>7</v>
      </c>
      <c r="M14" s="126">
        <f t="shared" si="4"/>
        <v>1</v>
      </c>
      <c r="N14" s="126">
        <f t="shared" ref="N14:Y20" si="5">INDEX(scorematrix,MATCH($C14,renners,0),MATCH(N$3,etappes,0))</f>
        <v>2</v>
      </c>
      <c r="O14" s="126">
        <f t="shared" si="5"/>
        <v>2</v>
      </c>
      <c r="P14" s="126">
        <f t="shared" si="5"/>
        <v>0</v>
      </c>
      <c r="Q14" s="126">
        <f t="shared" si="5"/>
        <v>0</v>
      </c>
      <c r="R14" s="126">
        <f t="shared" si="5"/>
        <v>0</v>
      </c>
      <c r="S14" s="126">
        <f t="shared" si="5"/>
        <v>35</v>
      </c>
      <c r="T14" s="126">
        <f t="shared" si="5"/>
        <v>0</v>
      </c>
      <c r="U14" s="126">
        <f t="shared" si="5"/>
        <v>0</v>
      </c>
      <c r="V14" s="126">
        <f t="shared" si="5"/>
        <v>35</v>
      </c>
      <c r="W14" s="126">
        <f t="shared" si="5"/>
        <v>0</v>
      </c>
      <c r="X14" s="126">
        <f t="shared" si="5"/>
        <v>0</v>
      </c>
      <c r="Y14" s="126">
        <f t="shared" si="5"/>
        <v>0</v>
      </c>
      <c r="Z14" s="204">
        <f t="shared" si="2"/>
        <v>96</v>
      </c>
      <c r="AA14" s="125" t="str">
        <f t="shared" si="3"/>
        <v>Costa</v>
      </c>
    </row>
    <row r="15" spans="2:27">
      <c r="B15" s="225" t="s">
        <v>109</v>
      </c>
      <c r="C15" s="227" t="s">
        <v>74</v>
      </c>
      <c r="D15" s="126">
        <f t="shared" si="4"/>
        <v>19</v>
      </c>
      <c r="E15" s="126">
        <f t="shared" si="4"/>
        <v>0</v>
      </c>
      <c r="F15" s="126">
        <f t="shared" si="4"/>
        <v>26</v>
      </c>
      <c r="G15" s="126">
        <f t="shared" si="4"/>
        <v>0</v>
      </c>
      <c r="H15" s="126">
        <f t="shared" si="4"/>
        <v>16</v>
      </c>
      <c r="I15" s="126">
        <f t="shared" si="4"/>
        <v>19</v>
      </c>
      <c r="J15" s="126">
        <f t="shared" si="4"/>
        <v>0</v>
      </c>
      <c r="K15" s="126">
        <f t="shared" si="4"/>
        <v>0</v>
      </c>
      <c r="L15" s="126">
        <f t="shared" si="4"/>
        <v>0</v>
      </c>
      <c r="M15" s="126">
        <f t="shared" si="4"/>
        <v>16</v>
      </c>
      <c r="N15" s="126">
        <f t="shared" si="5"/>
        <v>0</v>
      </c>
      <c r="O15" s="126">
        <f t="shared" si="5"/>
        <v>19</v>
      </c>
      <c r="P15" s="126">
        <f t="shared" si="5"/>
        <v>0</v>
      </c>
      <c r="Q15" s="126">
        <f t="shared" si="5"/>
        <v>24</v>
      </c>
      <c r="R15" s="126">
        <f t="shared" si="5"/>
        <v>0</v>
      </c>
      <c r="S15" s="126">
        <f t="shared" si="5"/>
        <v>0</v>
      </c>
      <c r="T15" s="126">
        <f t="shared" si="5"/>
        <v>0</v>
      </c>
      <c r="U15" s="126">
        <f t="shared" si="5"/>
        <v>0</v>
      </c>
      <c r="V15" s="126">
        <f t="shared" si="5"/>
        <v>0</v>
      </c>
      <c r="W15" s="126">
        <f t="shared" si="5"/>
        <v>0</v>
      </c>
      <c r="X15" s="126">
        <f t="shared" si="5"/>
        <v>7</v>
      </c>
      <c r="Y15" s="126">
        <f t="shared" si="5"/>
        <v>0</v>
      </c>
      <c r="Z15" s="204">
        <f t="shared" si="2"/>
        <v>146</v>
      </c>
      <c r="AA15" s="125" t="str">
        <f t="shared" si="3"/>
        <v>Rojas</v>
      </c>
    </row>
    <row r="16" spans="2:27">
      <c r="B16" s="225" t="s">
        <v>113</v>
      </c>
      <c r="C16" s="227" t="s">
        <v>70</v>
      </c>
      <c r="D16" s="126">
        <f t="shared" si="4"/>
        <v>0</v>
      </c>
      <c r="E16" s="126">
        <f t="shared" si="4"/>
        <v>0</v>
      </c>
      <c r="F16" s="126">
        <f t="shared" si="4"/>
        <v>0</v>
      </c>
      <c r="G16" s="126">
        <f t="shared" si="4"/>
        <v>0</v>
      </c>
      <c r="H16" s="126">
        <f t="shared" si="4"/>
        <v>0</v>
      </c>
      <c r="I16" s="126">
        <f t="shared" si="4"/>
        <v>0</v>
      </c>
      <c r="J16" s="126">
        <f t="shared" si="4"/>
        <v>0</v>
      </c>
      <c r="K16" s="126">
        <f t="shared" si="4"/>
        <v>0</v>
      </c>
      <c r="L16" s="126">
        <f t="shared" si="4"/>
        <v>0</v>
      </c>
      <c r="M16" s="126">
        <f t="shared" si="4"/>
        <v>0</v>
      </c>
      <c r="N16" s="126">
        <f t="shared" si="5"/>
        <v>35</v>
      </c>
      <c r="O16" s="126">
        <f t="shared" si="5"/>
        <v>0</v>
      </c>
      <c r="P16" s="126">
        <f t="shared" si="5"/>
        <v>0</v>
      </c>
      <c r="Q16" s="126">
        <f t="shared" si="5"/>
        <v>0</v>
      </c>
      <c r="R16" s="126">
        <f t="shared" si="5"/>
        <v>0</v>
      </c>
      <c r="S16" s="126">
        <f t="shared" si="5"/>
        <v>0</v>
      </c>
      <c r="T16" s="126">
        <f t="shared" si="5"/>
        <v>0</v>
      </c>
      <c r="U16" s="126">
        <f t="shared" si="5"/>
        <v>0</v>
      </c>
      <c r="V16" s="126">
        <f t="shared" si="5"/>
        <v>0</v>
      </c>
      <c r="W16" s="126">
        <f t="shared" si="5"/>
        <v>0</v>
      </c>
      <c r="X16" s="126">
        <f t="shared" si="5"/>
        <v>0</v>
      </c>
      <c r="Y16" s="126">
        <f t="shared" si="5"/>
        <v>0</v>
      </c>
      <c r="Z16" s="204">
        <f t="shared" si="2"/>
        <v>35</v>
      </c>
      <c r="AA16" s="125" t="str">
        <f t="shared" si="3"/>
        <v>Martin</v>
      </c>
    </row>
    <row r="17" spans="2:27" s="182" customFormat="1">
      <c r="B17" s="225" t="s">
        <v>110</v>
      </c>
      <c r="C17" s="227" t="s">
        <v>86</v>
      </c>
      <c r="D17" s="126">
        <f t="shared" si="4"/>
        <v>0</v>
      </c>
      <c r="E17" s="126">
        <f t="shared" si="4"/>
        <v>0</v>
      </c>
      <c r="F17" s="126">
        <f t="shared" si="4"/>
        <v>0</v>
      </c>
      <c r="G17" s="126">
        <f t="shared" si="4"/>
        <v>0</v>
      </c>
      <c r="H17" s="126">
        <f t="shared" si="4"/>
        <v>0</v>
      </c>
      <c r="I17" s="126">
        <f t="shared" si="4"/>
        <v>11</v>
      </c>
      <c r="J17" s="126">
        <f t="shared" si="4"/>
        <v>0</v>
      </c>
      <c r="K17" s="126">
        <f t="shared" si="4"/>
        <v>0</v>
      </c>
      <c r="L17" s="126">
        <f t="shared" si="4"/>
        <v>0</v>
      </c>
      <c r="M17" s="126">
        <f t="shared" si="4"/>
        <v>15</v>
      </c>
      <c r="N17" s="126">
        <f t="shared" si="5"/>
        <v>0</v>
      </c>
      <c r="O17" s="126">
        <f t="shared" si="5"/>
        <v>0</v>
      </c>
      <c r="P17" s="126">
        <f t="shared" si="5"/>
        <v>0</v>
      </c>
      <c r="Q17" s="126">
        <f t="shared" si="5"/>
        <v>0</v>
      </c>
      <c r="R17" s="126">
        <f t="shared" si="5"/>
        <v>0</v>
      </c>
      <c r="S17" s="126">
        <f t="shared" si="5"/>
        <v>0</v>
      </c>
      <c r="T17" s="126">
        <f t="shared" si="5"/>
        <v>0</v>
      </c>
      <c r="U17" s="126">
        <f t="shared" si="5"/>
        <v>0</v>
      </c>
      <c r="V17" s="126">
        <f t="shared" si="5"/>
        <v>0</v>
      </c>
      <c r="W17" s="126">
        <f t="shared" si="5"/>
        <v>0</v>
      </c>
      <c r="X17" s="126">
        <f t="shared" si="5"/>
        <v>14</v>
      </c>
      <c r="Y17" s="126">
        <f t="shared" si="5"/>
        <v>0</v>
      </c>
      <c r="Z17" s="204">
        <f t="shared" si="2"/>
        <v>40</v>
      </c>
      <c r="AA17" s="125" t="str">
        <f t="shared" si="3"/>
        <v>Goss</v>
      </c>
    </row>
    <row r="18" spans="2:27">
      <c r="B18" s="225" t="s">
        <v>156</v>
      </c>
      <c r="C18" s="227" t="s">
        <v>161</v>
      </c>
      <c r="D18" s="126">
        <f t="shared" si="4"/>
        <v>0</v>
      </c>
      <c r="E18" s="126">
        <f t="shared" si="4"/>
        <v>0</v>
      </c>
      <c r="F18" s="126">
        <f t="shared" si="4"/>
        <v>0</v>
      </c>
      <c r="G18" s="126">
        <f t="shared" si="4"/>
        <v>0</v>
      </c>
      <c r="H18" s="126">
        <f t="shared" si="4"/>
        <v>0</v>
      </c>
      <c r="I18" s="126">
        <f t="shared" si="4"/>
        <v>0</v>
      </c>
      <c r="J18" s="126">
        <f t="shared" si="4"/>
        <v>0</v>
      </c>
      <c r="K18" s="126">
        <f t="shared" si="4"/>
        <v>0</v>
      </c>
      <c r="L18" s="126">
        <f t="shared" si="4"/>
        <v>0</v>
      </c>
      <c r="M18" s="126">
        <f t="shared" si="4"/>
        <v>0</v>
      </c>
      <c r="N18" s="126">
        <f t="shared" si="5"/>
        <v>0</v>
      </c>
      <c r="O18" s="126">
        <f t="shared" si="5"/>
        <v>0</v>
      </c>
      <c r="P18" s="126">
        <f t="shared" si="5"/>
        <v>0</v>
      </c>
      <c r="Q18" s="126">
        <f t="shared" si="5"/>
        <v>10</v>
      </c>
      <c r="R18" s="126">
        <f t="shared" si="5"/>
        <v>0</v>
      </c>
      <c r="S18" s="126">
        <f t="shared" si="5"/>
        <v>0</v>
      </c>
      <c r="T18" s="126">
        <f t="shared" si="5"/>
        <v>16</v>
      </c>
      <c r="U18" s="126">
        <f t="shared" si="5"/>
        <v>31</v>
      </c>
      <c r="V18" s="126">
        <f t="shared" si="5"/>
        <v>0</v>
      </c>
      <c r="W18" s="126">
        <f t="shared" si="5"/>
        <v>0</v>
      </c>
      <c r="X18" s="126">
        <f t="shared" si="5"/>
        <v>0</v>
      </c>
      <c r="Y18" s="126">
        <f t="shared" si="5"/>
        <v>0</v>
      </c>
      <c r="Z18" s="204">
        <f t="shared" si="2"/>
        <v>57</v>
      </c>
      <c r="AA18" s="125" t="str">
        <f t="shared" si="3"/>
        <v>van Garderen</v>
      </c>
    </row>
    <row r="19" spans="2:27">
      <c r="B19" s="225" t="s">
        <v>118</v>
      </c>
      <c r="C19" s="227" t="s">
        <v>85</v>
      </c>
      <c r="D19" s="126">
        <f t="shared" si="4"/>
        <v>0</v>
      </c>
      <c r="E19" s="126">
        <f t="shared" si="4"/>
        <v>0</v>
      </c>
      <c r="F19" s="126">
        <f t="shared" si="4"/>
        <v>0</v>
      </c>
      <c r="G19" s="126">
        <f t="shared" si="4"/>
        <v>0</v>
      </c>
      <c r="H19" s="126">
        <f t="shared" si="4"/>
        <v>26</v>
      </c>
      <c r="I19" s="126">
        <f t="shared" si="4"/>
        <v>39</v>
      </c>
      <c r="J19" s="126">
        <f t="shared" si="4"/>
        <v>0</v>
      </c>
      <c r="K19" s="126">
        <f t="shared" si="4"/>
        <v>4</v>
      </c>
      <c r="L19" s="126">
        <f t="shared" si="4"/>
        <v>4</v>
      </c>
      <c r="M19" s="126">
        <f t="shared" si="4"/>
        <v>34</v>
      </c>
      <c r="N19" s="126">
        <f t="shared" si="5"/>
        <v>4</v>
      </c>
      <c r="O19" s="126">
        <f t="shared" si="5"/>
        <v>3</v>
      </c>
      <c r="P19" s="126">
        <f t="shared" si="5"/>
        <v>14</v>
      </c>
      <c r="Q19" s="126">
        <f t="shared" si="5"/>
        <v>3</v>
      </c>
      <c r="R19" s="126">
        <f t="shared" si="5"/>
        <v>3</v>
      </c>
      <c r="S19" s="126">
        <f t="shared" si="5"/>
        <v>3</v>
      </c>
      <c r="T19" s="126">
        <f t="shared" si="5"/>
        <v>3</v>
      </c>
      <c r="U19" s="126">
        <f t="shared" si="5"/>
        <v>3</v>
      </c>
      <c r="V19" s="126">
        <f t="shared" si="5"/>
        <v>3</v>
      </c>
      <c r="W19" s="126">
        <f t="shared" si="5"/>
        <v>3</v>
      </c>
      <c r="X19" s="126">
        <f t="shared" si="5"/>
        <v>33</v>
      </c>
      <c r="Y19" s="126">
        <f t="shared" si="5"/>
        <v>5</v>
      </c>
      <c r="Z19" s="204">
        <f t="shared" si="2"/>
        <v>187</v>
      </c>
      <c r="AA19" s="125" t="str">
        <f>C19</f>
        <v>Greipel</v>
      </c>
    </row>
    <row r="20" spans="2:27">
      <c r="B20" s="225" t="s">
        <v>158</v>
      </c>
      <c r="C20" s="227" t="s">
        <v>160</v>
      </c>
      <c r="D20" s="126">
        <f t="shared" si="4"/>
        <v>0</v>
      </c>
      <c r="E20" s="126">
        <f t="shared" si="4"/>
        <v>0</v>
      </c>
      <c r="F20" s="126">
        <f t="shared" si="4"/>
        <v>0</v>
      </c>
      <c r="G20" s="126">
        <f t="shared" si="4"/>
        <v>0</v>
      </c>
      <c r="H20" s="126">
        <f t="shared" si="4"/>
        <v>0</v>
      </c>
      <c r="I20" s="126">
        <f t="shared" si="4"/>
        <v>0</v>
      </c>
      <c r="J20" s="126">
        <f t="shared" si="4"/>
        <v>0</v>
      </c>
      <c r="K20" s="126">
        <f t="shared" si="4"/>
        <v>22</v>
      </c>
      <c r="L20" s="126">
        <f t="shared" si="4"/>
        <v>13</v>
      </c>
      <c r="M20" s="126">
        <f t="shared" si="4"/>
        <v>6</v>
      </c>
      <c r="N20" s="126">
        <f t="shared" si="5"/>
        <v>5</v>
      </c>
      <c r="O20" s="126">
        <f t="shared" si="5"/>
        <v>14</v>
      </c>
      <c r="P20" s="126">
        <f t="shared" si="5"/>
        <v>5</v>
      </c>
      <c r="Q20" s="126">
        <f t="shared" si="5"/>
        <v>5</v>
      </c>
      <c r="R20" s="126">
        <f t="shared" si="5"/>
        <v>39</v>
      </c>
      <c r="S20" s="126">
        <f t="shared" si="5"/>
        <v>10</v>
      </c>
      <c r="T20" s="126">
        <f t="shared" si="5"/>
        <v>30</v>
      </c>
      <c r="U20" s="126">
        <f t="shared" si="5"/>
        <v>36</v>
      </c>
      <c r="V20" s="126">
        <f t="shared" si="5"/>
        <v>10</v>
      </c>
      <c r="W20" s="126">
        <f t="shared" si="5"/>
        <v>49</v>
      </c>
      <c r="X20" s="126">
        <f t="shared" si="5"/>
        <v>14</v>
      </c>
      <c r="Y20" s="126">
        <f t="shared" si="5"/>
        <v>70</v>
      </c>
      <c r="Z20" s="204">
        <f t="shared" si="2"/>
        <v>328</v>
      </c>
      <c r="AA20" s="125" t="str">
        <f>C20</f>
        <v>Quintana</v>
      </c>
    </row>
    <row r="21" spans="2:27" s="183" customFormat="1">
      <c r="B21" s="228"/>
      <c r="C21" s="229"/>
      <c r="D21" s="196"/>
      <c r="E21" s="196"/>
      <c r="F21" s="196"/>
      <c r="G21" s="196"/>
      <c r="H21" s="196"/>
      <c r="I21" s="196"/>
      <c r="J21" s="196"/>
      <c r="K21" s="196"/>
      <c r="L21" s="196"/>
      <c r="M21" s="196"/>
      <c r="N21" s="196">
        <f>N25+N26</f>
        <v>0</v>
      </c>
      <c r="O21" s="196"/>
      <c r="P21" s="196"/>
      <c r="Q21" s="196"/>
      <c r="R21" s="196"/>
      <c r="S21" s="196"/>
      <c r="T21" s="196"/>
      <c r="U21" s="196"/>
      <c r="V21" s="196"/>
      <c r="W21" s="196"/>
      <c r="X21" s="196"/>
      <c r="Y21" s="196"/>
      <c r="Z21" s="281">
        <f t="shared" si="2"/>
        <v>0</v>
      </c>
    </row>
    <row r="22" spans="2:27" s="129" customFormat="1">
      <c r="B22" s="230"/>
      <c r="C22" s="231"/>
      <c r="D22" s="184">
        <f t="shared" ref="D22:Z22" si="6">SUM(D4:D21)</f>
        <v>69</v>
      </c>
      <c r="E22" s="184">
        <f t="shared" ref="E22" si="7">SUM(E4:E21)</f>
        <v>67</v>
      </c>
      <c r="F22" s="184">
        <f>SUM(F4:F21)</f>
        <v>86</v>
      </c>
      <c r="G22" s="184">
        <f t="shared" si="6"/>
        <v>0.1</v>
      </c>
      <c r="H22" s="184">
        <f t="shared" si="6"/>
        <v>155</v>
      </c>
      <c r="I22" s="184">
        <f t="shared" si="6"/>
        <v>203</v>
      </c>
      <c r="J22" s="184">
        <f t="shared" si="6"/>
        <v>78</v>
      </c>
      <c r="K22" s="184">
        <f t="shared" si="6"/>
        <v>189</v>
      </c>
      <c r="L22" s="184">
        <f t="shared" si="6"/>
        <v>133</v>
      </c>
      <c r="M22" s="184">
        <f t="shared" si="6"/>
        <v>191</v>
      </c>
      <c r="N22" s="184">
        <f t="shared" si="6"/>
        <v>154</v>
      </c>
      <c r="O22" s="184">
        <f t="shared" si="6"/>
        <v>176</v>
      </c>
      <c r="P22" s="184">
        <f t="shared" si="6"/>
        <v>169</v>
      </c>
      <c r="Q22" s="184">
        <f t="shared" si="6"/>
        <v>84</v>
      </c>
      <c r="R22" s="184">
        <f t="shared" si="6"/>
        <v>192</v>
      </c>
      <c r="S22" s="184">
        <f t="shared" si="6"/>
        <v>89</v>
      </c>
      <c r="T22" s="184">
        <f t="shared" si="6"/>
        <v>202</v>
      </c>
      <c r="U22" s="184">
        <f t="shared" si="6"/>
        <v>207</v>
      </c>
      <c r="V22" s="184">
        <f t="shared" si="6"/>
        <v>99</v>
      </c>
      <c r="W22" s="184">
        <f t="shared" si="6"/>
        <v>204</v>
      </c>
      <c r="X22" s="184">
        <f t="shared" si="6"/>
        <v>199</v>
      </c>
      <c r="Y22" s="184">
        <f t="shared" si="6"/>
        <v>327</v>
      </c>
      <c r="Z22" s="282">
        <f t="shared" si="6"/>
        <v>3273.1</v>
      </c>
    </row>
    <row r="23" spans="2:27" s="185" customFormat="1">
      <c r="B23" s="232"/>
      <c r="C23" s="220"/>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234"/>
      <c r="C24" s="235" t="s">
        <v>68</v>
      </c>
      <c r="D24" s="211" t="e">
        <f t="shared" ref="D24:Y26" si="8">INDEX(scorematrix,MATCH($C24,renners,0),MATCH(D$3,etappes,0))</f>
        <v>#N/A</v>
      </c>
      <c r="E24" s="211" t="e">
        <f t="shared" si="8"/>
        <v>#N/A</v>
      </c>
      <c r="F24" s="211" t="e">
        <f t="shared" si="8"/>
        <v>#N/A</v>
      </c>
      <c r="G24" s="211" t="e">
        <f t="shared" si="8"/>
        <v>#N/A</v>
      </c>
      <c r="H24" s="211" t="e">
        <f t="shared" si="8"/>
        <v>#N/A</v>
      </c>
      <c r="I24" s="211" t="e">
        <f t="shared" si="8"/>
        <v>#N/A</v>
      </c>
      <c r="J24" s="211" t="e">
        <f t="shared" si="8"/>
        <v>#N/A</v>
      </c>
      <c r="K24" s="211" t="e">
        <f t="shared" si="8"/>
        <v>#N/A</v>
      </c>
      <c r="L24" s="211" t="e">
        <f t="shared" si="8"/>
        <v>#N/A</v>
      </c>
      <c r="M24" s="211" t="e">
        <f t="shared" si="8"/>
        <v>#N/A</v>
      </c>
      <c r="N24" s="211" t="e">
        <f t="shared" si="8"/>
        <v>#N/A</v>
      </c>
      <c r="O24" s="211" t="e">
        <f t="shared" si="8"/>
        <v>#N/A</v>
      </c>
      <c r="P24" s="211" t="e">
        <f t="shared" si="8"/>
        <v>#N/A</v>
      </c>
      <c r="Q24" s="211" t="e">
        <f t="shared" si="8"/>
        <v>#N/A</v>
      </c>
      <c r="R24" s="211" t="e">
        <f t="shared" si="8"/>
        <v>#N/A</v>
      </c>
      <c r="S24" s="211" t="e">
        <f t="shared" si="8"/>
        <v>#N/A</v>
      </c>
      <c r="T24" s="211" t="e">
        <f t="shared" si="8"/>
        <v>#N/A</v>
      </c>
      <c r="U24" s="211" t="e">
        <f t="shared" si="8"/>
        <v>#N/A</v>
      </c>
      <c r="V24" s="211" t="e">
        <f t="shared" si="8"/>
        <v>#N/A</v>
      </c>
      <c r="W24" s="211" t="e">
        <f t="shared" si="8"/>
        <v>#N/A</v>
      </c>
      <c r="X24" s="211" t="e">
        <f t="shared" si="8"/>
        <v>#N/A</v>
      </c>
      <c r="Y24" s="211" t="e">
        <f t="shared" si="8"/>
        <v>#N/A</v>
      </c>
      <c r="Z24" s="284" t="e">
        <f>SUM(D24:Y24)</f>
        <v>#N/A</v>
      </c>
    </row>
    <row r="25" spans="2:27" s="188" customFormat="1">
      <c r="B25" s="225"/>
      <c r="C25" s="233" t="s">
        <v>69</v>
      </c>
      <c r="D25" s="211">
        <f t="shared" si="8"/>
        <v>0</v>
      </c>
      <c r="E25" s="211">
        <f t="shared" si="8"/>
        <v>1</v>
      </c>
      <c r="F25" s="211">
        <f t="shared" si="8"/>
        <v>15</v>
      </c>
      <c r="G25" s="211">
        <f t="shared" si="8"/>
        <v>0</v>
      </c>
      <c r="H25" s="211">
        <f t="shared" si="8"/>
        <v>0</v>
      </c>
      <c r="I25" s="211">
        <f t="shared" si="8"/>
        <v>9</v>
      </c>
      <c r="J25" s="211">
        <f t="shared" si="8"/>
        <v>0</v>
      </c>
      <c r="K25" s="211">
        <f t="shared" si="8"/>
        <v>0</v>
      </c>
      <c r="L25" s="211">
        <f t="shared" si="8"/>
        <v>20</v>
      </c>
      <c r="M25" s="211">
        <f t="shared" si="8"/>
        <v>0</v>
      </c>
      <c r="N25" s="280">
        <f t="shared" si="8"/>
        <v>0</v>
      </c>
      <c r="O25" s="211">
        <f t="shared" si="8"/>
        <v>6</v>
      </c>
      <c r="P25" s="211">
        <f t="shared" si="8"/>
        <v>0</v>
      </c>
      <c r="Q25" s="211">
        <f t="shared" si="8"/>
        <v>0</v>
      </c>
      <c r="R25" s="211">
        <f t="shared" si="8"/>
        <v>0</v>
      </c>
      <c r="S25" s="211">
        <f t="shared" si="8"/>
        <v>0</v>
      </c>
      <c r="T25" s="211">
        <f t="shared" si="8"/>
        <v>0</v>
      </c>
      <c r="U25" s="211">
        <f t="shared" si="8"/>
        <v>0</v>
      </c>
      <c r="V25" s="211">
        <f t="shared" si="8"/>
        <v>0</v>
      </c>
      <c r="W25" s="211">
        <f t="shared" si="8"/>
        <v>0</v>
      </c>
      <c r="X25" s="211">
        <f t="shared" si="8"/>
        <v>0</v>
      </c>
      <c r="Y25" s="211">
        <f t="shared" si="8"/>
        <v>0</v>
      </c>
      <c r="Z25" s="284">
        <f>SUM(D25:Y25)</f>
        <v>51</v>
      </c>
    </row>
    <row r="26" spans="2:27" s="188" customFormat="1">
      <c r="B26" s="225"/>
      <c r="C26" s="233" t="s">
        <v>137</v>
      </c>
      <c r="D26" s="211">
        <f t="shared" si="8"/>
        <v>0</v>
      </c>
      <c r="E26" s="211">
        <f t="shared" si="8"/>
        <v>0</v>
      </c>
      <c r="F26" s="211">
        <f t="shared" si="8"/>
        <v>6</v>
      </c>
      <c r="G26" s="211">
        <f t="shared" si="8"/>
        <v>0</v>
      </c>
      <c r="H26" s="211">
        <f t="shared" si="8"/>
        <v>0</v>
      </c>
      <c r="I26" s="211">
        <f t="shared" si="8"/>
        <v>0</v>
      </c>
      <c r="J26" s="211">
        <f t="shared" si="8"/>
        <v>0</v>
      </c>
      <c r="K26" s="211">
        <f t="shared" si="8"/>
        <v>0</v>
      </c>
      <c r="L26" s="211">
        <f t="shared" si="8"/>
        <v>0</v>
      </c>
      <c r="M26" s="211">
        <f t="shared" si="8"/>
        <v>0</v>
      </c>
      <c r="N26" s="280">
        <f t="shared" si="8"/>
        <v>0</v>
      </c>
      <c r="O26" s="211">
        <f t="shared" si="8"/>
        <v>0</v>
      </c>
      <c r="P26" s="211">
        <f t="shared" si="8"/>
        <v>0</v>
      </c>
      <c r="Q26" s="211">
        <f t="shared" si="8"/>
        <v>0</v>
      </c>
      <c r="R26" s="211">
        <f t="shared" si="8"/>
        <v>0</v>
      </c>
      <c r="S26" s="211">
        <f t="shared" si="8"/>
        <v>15</v>
      </c>
      <c r="T26" s="211">
        <f t="shared" si="8"/>
        <v>0</v>
      </c>
      <c r="U26" s="211">
        <f t="shared" si="8"/>
        <v>0</v>
      </c>
      <c r="V26" s="211">
        <f t="shared" si="8"/>
        <v>0</v>
      </c>
      <c r="W26" s="211">
        <f t="shared" si="8"/>
        <v>0</v>
      </c>
      <c r="X26" s="211">
        <f t="shared" si="8"/>
        <v>0</v>
      </c>
      <c r="Y26" s="211">
        <f t="shared" si="8"/>
        <v>0</v>
      </c>
      <c r="Z26" s="284">
        <f>SUM(D26:Y26)</f>
        <v>21</v>
      </c>
    </row>
  </sheetData>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tabColor indexed="12"/>
  </sheetPr>
  <dimension ref="B1:AA26"/>
  <sheetViews>
    <sheetView showZeros="0" workbookViewId="0">
      <selection activeCell="P22" sqref="P22"/>
    </sheetView>
  </sheetViews>
  <sheetFormatPr defaultRowHeight="12.75"/>
  <cols>
    <col min="1" max="1" width="2.7109375" style="125" customWidth="1"/>
    <col min="2" max="2" width="8.85546875" style="125" customWidth="1"/>
    <col min="3" max="3" width="13" style="130"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43"/>
      <c r="C1" s="236" t="s">
        <v>133</v>
      </c>
    </row>
    <row r="2" spans="2:27">
      <c r="B2" s="243"/>
      <c r="C2" s="237"/>
      <c r="G2" s="146"/>
    </row>
    <row r="3" spans="2:27" s="144" customFormat="1" ht="13.5" thickBot="1">
      <c r="B3" s="245"/>
      <c r="C3" s="238" t="s">
        <v>186</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46" t="s">
        <v>116</v>
      </c>
      <c r="C4" s="239" t="s">
        <v>67</v>
      </c>
      <c r="D4" s="126">
        <f t="shared" ref="D4:M13" si="0">INDEX(scorematrix,MATCH($C4,renners,0),MATCH(D$3,etappes,0))</f>
        <v>0</v>
      </c>
      <c r="E4" s="126">
        <f t="shared" si="0"/>
        <v>0</v>
      </c>
      <c r="F4" s="126">
        <f t="shared" si="0"/>
        <v>0</v>
      </c>
      <c r="G4" s="126">
        <f t="shared" si="0"/>
        <v>0</v>
      </c>
      <c r="H4" s="126">
        <f t="shared" si="0"/>
        <v>39</v>
      </c>
      <c r="I4" s="126">
        <f t="shared" si="0"/>
        <v>27</v>
      </c>
      <c r="J4" s="126">
        <f t="shared" si="0"/>
        <v>0</v>
      </c>
      <c r="K4" s="126">
        <f t="shared" si="0"/>
        <v>3</v>
      </c>
      <c r="L4" s="126">
        <f t="shared" si="0"/>
        <v>3</v>
      </c>
      <c r="M4" s="126">
        <f t="shared" si="0"/>
        <v>29</v>
      </c>
      <c r="N4" s="126">
        <f t="shared" ref="N4:Y13" si="1">INDEX(scorematrix,MATCH($C4,renners,0),MATCH(N$3,etappes,0))</f>
        <v>3</v>
      </c>
      <c r="O4" s="126">
        <f t="shared" si="1"/>
        <v>34</v>
      </c>
      <c r="P4" s="126">
        <f t="shared" si="1"/>
        <v>39</v>
      </c>
      <c r="Q4" s="126">
        <f t="shared" si="1"/>
        <v>4</v>
      </c>
      <c r="R4" s="126">
        <f t="shared" si="1"/>
        <v>4</v>
      </c>
      <c r="S4" s="126">
        <f t="shared" si="1"/>
        <v>4</v>
      </c>
      <c r="T4" s="126">
        <f t="shared" si="1"/>
        <v>4</v>
      </c>
      <c r="U4" s="126">
        <f t="shared" si="1"/>
        <v>4</v>
      </c>
      <c r="V4" s="126">
        <f t="shared" si="1"/>
        <v>4</v>
      </c>
      <c r="W4" s="126">
        <f t="shared" si="1"/>
        <v>4</v>
      </c>
      <c r="X4" s="126">
        <f t="shared" si="1"/>
        <v>30</v>
      </c>
      <c r="Y4" s="126">
        <f t="shared" si="1"/>
        <v>7</v>
      </c>
      <c r="Z4" s="204">
        <f t="shared" ref="Z4:Z21" si="2">SUM(D4:Y4)</f>
        <v>242</v>
      </c>
      <c r="AA4" s="125" t="str">
        <f t="shared" ref="AA4:AA20" si="3">C4</f>
        <v>Cavendish</v>
      </c>
    </row>
    <row r="5" spans="2:27">
      <c r="B5" s="246" t="s">
        <v>118</v>
      </c>
      <c r="C5" s="240" t="s">
        <v>85</v>
      </c>
      <c r="D5" s="126">
        <f t="shared" si="0"/>
        <v>0</v>
      </c>
      <c r="E5" s="126">
        <f t="shared" si="0"/>
        <v>0</v>
      </c>
      <c r="F5" s="126">
        <f t="shared" si="0"/>
        <v>0</v>
      </c>
      <c r="G5" s="126">
        <f t="shared" si="0"/>
        <v>0</v>
      </c>
      <c r="H5" s="126">
        <f t="shared" si="0"/>
        <v>26</v>
      </c>
      <c r="I5" s="126">
        <f t="shared" si="0"/>
        <v>39</v>
      </c>
      <c r="J5" s="126">
        <f t="shared" si="0"/>
        <v>0</v>
      </c>
      <c r="K5" s="126">
        <f t="shared" si="0"/>
        <v>4</v>
      </c>
      <c r="L5" s="126">
        <f t="shared" si="0"/>
        <v>4</v>
      </c>
      <c r="M5" s="126">
        <f t="shared" si="0"/>
        <v>34</v>
      </c>
      <c r="N5" s="126">
        <f t="shared" si="1"/>
        <v>4</v>
      </c>
      <c r="O5" s="126">
        <f t="shared" si="1"/>
        <v>3</v>
      </c>
      <c r="P5" s="126">
        <f t="shared" si="1"/>
        <v>14</v>
      </c>
      <c r="Q5" s="126">
        <f t="shared" si="1"/>
        <v>3</v>
      </c>
      <c r="R5" s="126">
        <f t="shared" si="1"/>
        <v>3</v>
      </c>
      <c r="S5" s="126">
        <f t="shared" si="1"/>
        <v>3</v>
      </c>
      <c r="T5" s="126">
        <f t="shared" si="1"/>
        <v>3</v>
      </c>
      <c r="U5" s="126">
        <f t="shared" si="1"/>
        <v>3</v>
      </c>
      <c r="V5" s="126">
        <f t="shared" si="1"/>
        <v>3</v>
      </c>
      <c r="W5" s="126">
        <f t="shared" si="1"/>
        <v>3</v>
      </c>
      <c r="X5" s="126">
        <f t="shared" si="1"/>
        <v>33</v>
      </c>
      <c r="Y5" s="126">
        <f t="shared" si="1"/>
        <v>5</v>
      </c>
      <c r="Z5" s="204">
        <f t="shared" si="2"/>
        <v>187</v>
      </c>
      <c r="AA5" s="125" t="str">
        <f t="shared" si="3"/>
        <v>Greipel</v>
      </c>
    </row>
    <row r="6" spans="2:27">
      <c r="B6" s="246" t="s">
        <v>107</v>
      </c>
      <c r="C6" s="240" t="s">
        <v>108</v>
      </c>
      <c r="D6" s="126">
        <f t="shared" si="0"/>
        <v>50</v>
      </c>
      <c r="E6" s="126">
        <f t="shared" si="0"/>
        <v>5</v>
      </c>
      <c r="F6" s="126">
        <f t="shared" si="0"/>
        <v>4</v>
      </c>
      <c r="G6" s="126">
        <f t="shared" si="0"/>
        <v>0</v>
      </c>
      <c r="H6" s="126">
        <f t="shared" si="0"/>
        <v>0</v>
      </c>
      <c r="I6" s="126">
        <f t="shared" si="0"/>
        <v>27</v>
      </c>
      <c r="J6" s="126">
        <f t="shared" si="0"/>
        <v>0</v>
      </c>
      <c r="K6" s="126">
        <f t="shared" si="0"/>
        <v>0</v>
      </c>
      <c r="L6" s="126">
        <f t="shared" si="0"/>
        <v>0</v>
      </c>
      <c r="M6" s="126">
        <f t="shared" si="0"/>
        <v>37</v>
      </c>
      <c r="N6" s="126">
        <f t="shared" si="1"/>
        <v>2</v>
      </c>
      <c r="O6" s="126">
        <f t="shared" si="1"/>
        <v>37</v>
      </c>
      <c r="P6" s="126">
        <f t="shared" si="1"/>
        <v>2</v>
      </c>
      <c r="Q6" s="126">
        <f t="shared" si="1"/>
        <v>2</v>
      </c>
      <c r="R6" s="126">
        <f t="shared" si="1"/>
        <v>2</v>
      </c>
      <c r="S6" s="126">
        <f t="shared" si="1"/>
        <v>2</v>
      </c>
      <c r="T6" s="126">
        <f t="shared" si="1"/>
        <v>2</v>
      </c>
      <c r="U6" s="126">
        <f t="shared" si="1"/>
        <v>2</v>
      </c>
      <c r="V6" s="126">
        <f t="shared" si="1"/>
        <v>2</v>
      </c>
      <c r="W6" s="126">
        <f t="shared" si="1"/>
        <v>2</v>
      </c>
      <c r="X6" s="126">
        <f t="shared" si="1"/>
        <v>37</v>
      </c>
      <c r="Y6" s="126">
        <f t="shared" si="1"/>
        <v>3</v>
      </c>
      <c r="Z6" s="204">
        <f t="shared" si="2"/>
        <v>218</v>
      </c>
      <c r="AA6" s="125" t="str">
        <f t="shared" si="3"/>
        <v>Kittel</v>
      </c>
    </row>
    <row r="7" spans="2:27" s="182" customFormat="1">
      <c r="B7" s="246" t="s">
        <v>105</v>
      </c>
      <c r="C7" s="240" t="s">
        <v>106</v>
      </c>
      <c r="D7" s="126">
        <f t="shared" si="0"/>
        <v>0</v>
      </c>
      <c r="E7" s="126">
        <f t="shared" si="0"/>
        <v>34</v>
      </c>
      <c r="F7" s="126">
        <f t="shared" si="0"/>
        <v>35</v>
      </c>
      <c r="G7" s="126">
        <f t="shared" si="0"/>
        <v>0</v>
      </c>
      <c r="H7" s="126">
        <f t="shared" si="0"/>
        <v>31</v>
      </c>
      <c r="I7" s="126">
        <f t="shared" si="0"/>
        <v>35</v>
      </c>
      <c r="J7" s="126">
        <f t="shared" si="0"/>
        <v>40</v>
      </c>
      <c r="K7" s="126">
        <f t="shared" si="0"/>
        <v>5</v>
      </c>
      <c r="L7" s="126">
        <f t="shared" si="0"/>
        <v>5</v>
      </c>
      <c r="M7" s="126">
        <f t="shared" si="0"/>
        <v>29</v>
      </c>
      <c r="N7" s="126">
        <f t="shared" si="1"/>
        <v>14</v>
      </c>
      <c r="O7" s="126">
        <f t="shared" si="1"/>
        <v>31</v>
      </c>
      <c r="P7" s="126">
        <f t="shared" si="1"/>
        <v>35</v>
      </c>
      <c r="Q7" s="126">
        <f t="shared" si="1"/>
        <v>5</v>
      </c>
      <c r="R7" s="126">
        <f t="shared" si="1"/>
        <v>5</v>
      </c>
      <c r="S7" s="126">
        <f t="shared" si="1"/>
        <v>5</v>
      </c>
      <c r="T7" s="126">
        <f t="shared" si="1"/>
        <v>5</v>
      </c>
      <c r="U7" s="126">
        <f t="shared" si="1"/>
        <v>5</v>
      </c>
      <c r="V7" s="126">
        <f t="shared" si="1"/>
        <v>5</v>
      </c>
      <c r="W7" s="126">
        <f t="shared" si="1"/>
        <v>5</v>
      </c>
      <c r="X7" s="126">
        <f t="shared" si="1"/>
        <v>29</v>
      </c>
      <c r="Y7" s="126">
        <f t="shared" si="1"/>
        <v>10</v>
      </c>
      <c r="Z7" s="204">
        <f t="shared" si="2"/>
        <v>368</v>
      </c>
      <c r="AA7" s="125" t="str">
        <f t="shared" si="3"/>
        <v>Sagan</v>
      </c>
    </row>
    <row r="8" spans="2:27">
      <c r="B8" s="246" t="s">
        <v>110</v>
      </c>
      <c r="C8" s="240" t="s">
        <v>86</v>
      </c>
      <c r="D8" s="126">
        <f t="shared" si="0"/>
        <v>0</v>
      </c>
      <c r="E8" s="126">
        <f t="shared" si="0"/>
        <v>0</v>
      </c>
      <c r="F8" s="126">
        <f t="shared" si="0"/>
        <v>0</v>
      </c>
      <c r="G8" s="126">
        <f t="shared" si="0"/>
        <v>0</v>
      </c>
      <c r="H8" s="126">
        <f t="shared" si="0"/>
        <v>0</v>
      </c>
      <c r="I8" s="126">
        <f t="shared" si="0"/>
        <v>11</v>
      </c>
      <c r="J8" s="126">
        <f t="shared" si="0"/>
        <v>0</v>
      </c>
      <c r="K8" s="126">
        <f t="shared" si="0"/>
        <v>0</v>
      </c>
      <c r="L8" s="126">
        <f t="shared" si="0"/>
        <v>0</v>
      </c>
      <c r="M8" s="126">
        <f t="shared" si="0"/>
        <v>15</v>
      </c>
      <c r="N8" s="126">
        <f t="shared" si="1"/>
        <v>0</v>
      </c>
      <c r="O8" s="126">
        <f t="shared" si="1"/>
        <v>0</v>
      </c>
      <c r="P8" s="126">
        <f t="shared" si="1"/>
        <v>0</v>
      </c>
      <c r="Q8" s="126">
        <f t="shared" si="1"/>
        <v>0</v>
      </c>
      <c r="R8" s="126">
        <f t="shared" si="1"/>
        <v>0</v>
      </c>
      <c r="S8" s="126">
        <f t="shared" si="1"/>
        <v>0</v>
      </c>
      <c r="T8" s="126">
        <f t="shared" si="1"/>
        <v>0</v>
      </c>
      <c r="U8" s="126">
        <f t="shared" si="1"/>
        <v>0</v>
      </c>
      <c r="V8" s="126">
        <f t="shared" si="1"/>
        <v>0</v>
      </c>
      <c r="W8" s="126">
        <f t="shared" si="1"/>
        <v>0</v>
      </c>
      <c r="X8" s="126">
        <f t="shared" si="1"/>
        <v>14</v>
      </c>
      <c r="Y8" s="126">
        <f t="shared" si="1"/>
        <v>0</v>
      </c>
      <c r="Z8" s="204">
        <f t="shared" si="2"/>
        <v>40</v>
      </c>
      <c r="AA8" s="125" t="str">
        <f t="shared" si="3"/>
        <v>Goss</v>
      </c>
    </row>
    <row r="9" spans="2:27">
      <c r="B9" s="246" t="s">
        <v>128</v>
      </c>
      <c r="C9" s="240" t="s">
        <v>72</v>
      </c>
      <c r="D9" s="126">
        <f t="shared" si="0"/>
        <v>0</v>
      </c>
      <c r="E9" s="126">
        <f t="shared" si="0"/>
        <v>28</v>
      </c>
      <c r="F9" s="126">
        <f t="shared" si="0"/>
        <v>21</v>
      </c>
      <c r="G9" s="126">
        <f t="shared" si="0"/>
        <v>0</v>
      </c>
      <c r="H9" s="126">
        <f t="shared" si="0"/>
        <v>36</v>
      </c>
      <c r="I9" s="126">
        <f t="shared" si="0"/>
        <v>23</v>
      </c>
      <c r="J9" s="126">
        <f t="shared" si="0"/>
        <v>31</v>
      </c>
      <c r="K9" s="126">
        <f t="shared" si="0"/>
        <v>1</v>
      </c>
      <c r="L9" s="126">
        <f t="shared" si="0"/>
        <v>0</v>
      </c>
      <c r="M9" s="126">
        <f t="shared" si="0"/>
        <v>0</v>
      </c>
      <c r="N9" s="126">
        <f t="shared" si="1"/>
        <v>0</v>
      </c>
      <c r="O9" s="126">
        <f t="shared" si="1"/>
        <v>0</v>
      </c>
      <c r="P9" s="126">
        <f t="shared" si="1"/>
        <v>0</v>
      </c>
      <c r="Q9" s="126">
        <f t="shared" si="1"/>
        <v>0</v>
      </c>
      <c r="R9" s="126">
        <f t="shared" si="1"/>
        <v>0</v>
      </c>
      <c r="S9" s="126">
        <f t="shared" si="1"/>
        <v>0</v>
      </c>
      <c r="T9" s="126">
        <f t="shared" si="1"/>
        <v>0</v>
      </c>
      <c r="U9" s="126">
        <f t="shared" si="1"/>
        <v>0</v>
      </c>
      <c r="V9" s="126">
        <f t="shared" si="1"/>
        <v>0</v>
      </c>
      <c r="W9" s="126">
        <f t="shared" si="1"/>
        <v>0</v>
      </c>
      <c r="X9" s="126">
        <f t="shared" si="1"/>
        <v>0</v>
      </c>
      <c r="Y9" s="126">
        <f t="shared" si="1"/>
        <v>0</v>
      </c>
      <c r="Z9" s="204">
        <f t="shared" si="2"/>
        <v>140</v>
      </c>
      <c r="AA9" s="125" t="str">
        <f t="shared" si="3"/>
        <v>Boasson Hagen</v>
      </c>
    </row>
    <row r="10" spans="2:27">
      <c r="B10" s="246" t="s">
        <v>167</v>
      </c>
      <c r="C10" s="240" t="s">
        <v>169</v>
      </c>
      <c r="D10" s="126">
        <f t="shared" si="0"/>
        <v>0</v>
      </c>
      <c r="E10" s="126">
        <f t="shared" si="0"/>
        <v>0</v>
      </c>
      <c r="F10" s="126">
        <f t="shared" si="0"/>
        <v>0</v>
      </c>
      <c r="G10" s="126">
        <f t="shared" si="0"/>
        <v>0</v>
      </c>
      <c r="H10" s="126">
        <f t="shared" si="0"/>
        <v>0</v>
      </c>
      <c r="I10" s="126">
        <f t="shared" si="0"/>
        <v>0</v>
      </c>
      <c r="J10" s="126">
        <f t="shared" si="0"/>
        <v>0</v>
      </c>
      <c r="K10" s="126">
        <f t="shared" si="0"/>
        <v>0</v>
      </c>
      <c r="L10" s="126">
        <f t="shared" si="0"/>
        <v>0</v>
      </c>
      <c r="M10" s="126">
        <f t="shared" si="0"/>
        <v>0</v>
      </c>
      <c r="N10" s="126">
        <f t="shared" si="1"/>
        <v>0</v>
      </c>
      <c r="O10" s="126">
        <f t="shared" si="1"/>
        <v>0</v>
      </c>
      <c r="P10" s="126">
        <f t="shared" si="1"/>
        <v>0</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204">
        <f t="shared" si="2"/>
        <v>0</v>
      </c>
      <c r="AA10" s="125" t="str">
        <f t="shared" si="3"/>
        <v>Bouhanni</v>
      </c>
    </row>
    <row r="11" spans="2:27">
      <c r="B11" s="246" t="s">
        <v>181</v>
      </c>
      <c r="C11" s="240" t="s">
        <v>114</v>
      </c>
      <c r="D11" s="126">
        <f t="shared" si="0"/>
        <v>0</v>
      </c>
      <c r="E11" s="126">
        <f t="shared" si="0"/>
        <v>0</v>
      </c>
      <c r="F11" s="126">
        <f t="shared" si="0"/>
        <v>0</v>
      </c>
      <c r="G11" s="126">
        <f t="shared" si="0"/>
        <v>0.1</v>
      </c>
      <c r="H11" s="126">
        <f t="shared" si="0"/>
        <v>4</v>
      </c>
      <c r="I11" s="126">
        <f t="shared" si="0"/>
        <v>12</v>
      </c>
      <c r="J11" s="126">
        <f t="shared" si="0"/>
        <v>4</v>
      </c>
      <c r="K11" s="126">
        <f t="shared" si="0"/>
        <v>50</v>
      </c>
      <c r="L11" s="126">
        <f t="shared" si="0"/>
        <v>26</v>
      </c>
      <c r="M11" s="126">
        <f t="shared" si="0"/>
        <v>14</v>
      </c>
      <c r="N11" s="126">
        <f t="shared" si="1"/>
        <v>44</v>
      </c>
      <c r="O11" s="126">
        <f t="shared" si="1"/>
        <v>26</v>
      </c>
      <c r="P11" s="126">
        <f t="shared" si="1"/>
        <v>14</v>
      </c>
      <c r="Q11" s="126">
        <f t="shared" si="1"/>
        <v>14</v>
      </c>
      <c r="R11" s="126">
        <f t="shared" si="1"/>
        <v>50</v>
      </c>
      <c r="S11" s="126">
        <f t="shared" si="1"/>
        <v>15</v>
      </c>
      <c r="T11" s="126">
        <f t="shared" si="1"/>
        <v>50</v>
      </c>
      <c r="U11" s="126">
        <f t="shared" si="1"/>
        <v>34</v>
      </c>
      <c r="V11" s="126">
        <f t="shared" si="1"/>
        <v>15</v>
      </c>
      <c r="W11" s="126">
        <f t="shared" si="1"/>
        <v>40</v>
      </c>
      <c r="X11" s="126">
        <f t="shared" si="1"/>
        <v>14</v>
      </c>
      <c r="Y11" s="126">
        <f t="shared" si="1"/>
        <v>77</v>
      </c>
      <c r="Z11" s="204">
        <f t="shared" si="2"/>
        <v>503.1</v>
      </c>
      <c r="AA11" s="125" t="str">
        <f t="shared" si="3"/>
        <v>Froome</v>
      </c>
    </row>
    <row r="12" spans="2:27">
      <c r="B12" s="246" t="s">
        <v>145</v>
      </c>
      <c r="C12" s="240" t="s">
        <v>146</v>
      </c>
      <c r="D12" s="126">
        <f t="shared" si="0"/>
        <v>0</v>
      </c>
      <c r="E12" s="126">
        <f t="shared" si="0"/>
        <v>0</v>
      </c>
      <c r="F12" s="126">
        <f t="shared" si="0"/>
        <v>0</v>
      </c>
      <c r="G12" s="126">
        <f t="shared" si="0"/>
        <v>0</v>
      </c>
      <c r="H12" s="126">
        <f t="shared" si="0"/>
        <v>0</v>
      </c>
      <c r="I12" s="126">
        <f t="shared" si="0"/>
        <v>0</v>
      </c>
      <c r="J12" s="126">
        <f t="shared" si="0"/>
        <v>0</v>
      </c>
      <c r="K12" s="126">
        <f t="shared" si="0"/>
        <v>22</v>
      </c>
      <c r="L12" s="126">
        <f t="shared" si="0"/>
        <v>18</v>
      </c>
      <c r="M12" s="126">
        <f t="shared" si="0"/>
        <v>5</v>
      </c>
      <c r="N12" s="126">
        <f t="shared" si="1"/>
        <v>18</v>
      </c>
      <c r="O12" s="126">
        <f t="shared" si="1"/>
        <v>7</v>
      </c>
      <c r="P12" s="126">
        <f t="shared" si="1"/>
        <v>27</v>
      </c>
      <c r="Q12" s="126">
        <f t="shared" si="1"/>
        <v>8</v>
      </c>
      <c r="R12" s="126">
        <f t="shared" si="1"/>
        <v>28</v>
      </c>
      <c r="S12" s="126">
        <f t="shared" si="1"/>
        <v>8</v>
      </c>
      <c r="T12" s="126">
        <f t="shared" si="1"/>
        <v>39</v>
      </c>
      <c r="U12" s="126">
        <f t="shared" si="1"/>
        <v>24</v>
      </c>
      <c r="V12" s="126">
        <f t="shared" si="1"/>
        <v>9</v>
      </c>
      <c r="W12" s="126">
        <f t="shared" si="1"/>
        <v>26</v>
      </c>
      <c r="X12" s="126">
        <f t="shared" si="1"/>
        <v>7</v>
      </c>
      <c r="Y12" s="126">
        <f t="shared" si="1"/>
        <v>48</v>
      </c>
      <c r="Z12" s="204">
        <f t="shared" si="2"/>
        <v>294</v>
      </c>
      <c r="AA12" s="125" t="str">
        <f t="shared" si="3"/>
        <v>Contador</v>
      </c>
    </row>
    <row r="13" spans="2:27">
      <c r="B13" s="246" t="s">
        <v>187</v>
      </c>
      <c r="C13" s="240" t="s">
        <v>161</v>
      </c>
      <c r="D13" s="126">
        <f t="shared" si="0"/>
        <v>0</v>
      </c>
      <c r="E13" s="126">
        <f t="shared" si="0"/>
        <v>0</v>
      </c>
      <c r="F13" s="126">
        <f t="shared" si="0"/>
        <v>0</v>
      </c>
      <c r="G13" s="126">
        <f t="shared" si="0"/>
        <v>0</v>
      </c>
      <c r="H13" s="126">
        <f t="shared" si="0"/>
        <v>0</v>
      </c>
      <c r="I13" s="126">
        <f t="shared" si="0"/>
        <v>0</v>
      </c>
      <c r="J13" s="126">
        <f t="shared" si="0"/>
        <v>0</v>
      </c>
      <c r="K13" s="126">
        <f t="shared" si="0"/>
        <v>0</v>
      </c>
      <c r="L13" s="126">
        <f t="shared" si="0"/>
        <v>0</v>
      </c>
      <c r="M13" s="126">
        <f t="shared" si="0"/>
        <v>0</v>
      </c>
      <c r="N13" s="126">
        <f t="shared" si="1"/>
        <v>0</v>
      </c>
      <c r="O13" s="126">
        <f t="shared" si="1"/>
        <v>0</v>
      </c>
      <c r="P13" s="126">
        <f t="shared" si="1"/>
        <v>0</v>
      </c>
      <c r="Q13" s="126">
        <f t="shared" si="1"/>
        <v>10</v>
      </c>
      <c r="R13" s="126">
        <f t="shared" si="1"/>
        <v>0</v>
      </c>
      <c r="S13" s="126">
        <f t="shared" si="1"/>
        <v>0</v>
      </c>
      <c r="T13" s="126">
        <f t="shared" si="1"/>
        <v>16</v>
      </c>
      <c r="U13" s="126">
        <f t="shared" si="1"/>
        <v>31</v>
      </c>
      <c r="V13" s="126">
        <f t="shared" si="1"/>
        <v>0</v>
      </c>
      <c r="W13" s="126">
        <f t="shared" si="1"/>
        <v>0</v>
      </c>
      <c r="X13" s="126">
        <f t="shared" si="1"/>
        <v>0</v>
      </c>
      <c r="Y13" s="126">
        <f t="shared" si="1"/>
        <v>0</v>
      </c>
      <c r="Z13" s="204">
        <f t="shared" si="2"/>
        <v>57</v>
      </c>
      <c r="AA13" s="125" t="str">
        <f t="shared" si="3"/>
        <v>van Garderen</v>
      </c>
    </row>
    <row r="14" spans="2:27">
      <c r="B14" s="246" t="s">
        <v>82</v>
      </c>
      <c r="C14" s="240" t="s">
        <v>83</v>
      </c>
      <c r="D14" s="126">
        <f t="shared" ref="D14:M20" si="4">INDEX(scorematrix,MATCH($C14,renners,0),MATCH(D$3,etappes,0))</f>
        <v>0</v>
      </c>
      <c r="E14" s="126">
        <f t="shared" si="4"/>
        <v>0</v>
      </c>
      <c r="F14" s="126">
        <f t="shared" si="4"/>
        <v>0</v>
      </c>
      <c r="G14" s="126">
        <f t="shared" si="4"/>
        <v>0</v>
      </c>
      <c r="H14" s="126">
        <f t="shared" si="4"/>
        <v>0</v>
      </c>
      <c r="I14" s="126">
        <f t="shared" si="4"/>
        <v>0</v>
      </c>
      <c r="J14" s="126">
        <f t="shared" si="4"/>
        <v>0</v>
      </c>
      <c r="K14" s="126">
        <f t="shared" si="4"/>
        <v>31</v>
      </c>
      <c r="L14" s="126">
        <f t="shared" si="4"/>
        <v>26</v>
      </c>
      <c r="M14" s="126">
        <f t="shared" si="4"/>
        <v>8</v>
      </c>
      <c r="N14" s="126">
        <f t="shared" ref="N14:Y20" si="5">INDEX(scorematrix,MATCH($C14,renners,0),MATCH(N$3,etappes,0))</f>
        <v>23</v>
      </c>
      <c r="O14" s="126">
        <f t="shared" si="5"/>
        <v>8</v>
      </c>
      <c r="P14" s="126">
        <f t="shared" si="5"/>
        <v>35</v>
      </c>
      <c r="Q14" s="126">
        <f t="shared" si="5"/>
        <v>9</v>
      </c>
      <c r="R14" s="126">
        <f t="shared" si="5"/>
        <v>27</v>
      </c>
      <c r="S14" s="126">
        <f t="shared" si="5"/>
        <v>9</v>
      </c>
      <c r="T14" s="126">
        <f t="shared" si="5"/>
        <v>22</v>
      </c>
      <c r="U14" s="126">
        <f t="shared" si="5"/>
        <v>5</v>
      </c>
      <c r="V14" s="126">
        <f t="shared" si="5"/>
        <v>5</v>
      </c>
      <c r="W14" s="126">
        <f t="shared" si="5"/>
        <v>15</v>
      </c>
      <c r="X14" s="126">
        <f t="shared" si="5"/>
        <v>5</v>
      </c>
      <c r="Y14" s="126">
        <f t="shared" si="5"/>
        <v>40</v>
      </c>
      <c r="Z14" s="204">
        <f t="shared" si="2"/>
        <v>268</v>
      </c>
      <c r="AA14" s="125" t="str">
        <f t="shared" si="3"/>
        <v>Mollema</v>
      </c>
    </row>
    <row r="15" spans="2:27">
      <c r="B15" s="246" t="s">
        <v>188</v>
      </c>
      <c r="C15" s="240" t="s">
        <v>160</v>
      </c>
      <c r="D15" s="126">
        <f t="shared" si="4"/>
        <v>0</v>
      </c>
      <c r="E15" s="126">
        <f t="shared" si="4"/>
        <v>0</v>
      </c>
      <c r="F15" s="126">
        <f t="shared" si="4"/>
        <v>0</v>
      </c>
      <c r="G15" s="126">
        <f t="shared" si="4"/>
        <v>0</v>
      </c>
      <c r="H15" s="126">
        <f t="shared" si="4"/>
        <v>0</v>
      </c>
      <c r="I15" s="126">
        <f t="shared" si="4"/>
        <v>0</v>
      </c>
      <c r="J15" s="126">
        <f t="shared" si="4"/>
        <v>0</v>
      </c>
      <c r="K15" s="126">
        <f t="shared" si="4"/>
        <v>22</v>
      </c>
      <c r="L15" s="126">
        <f t="shared" si="4"/>
        <v>13</v>
      </c>
      <c r="M15" s="126">
        <f t="shared" si="4"/>
        <v>6</v>
      </c>
      <c r="N15" s="126">
        <f t="shared" si="5"/>
        <v>5</v>
      </c>
      <c r="O15" s="126">
        <f t="shared" si="5"/>
        <v>14</v>
      </c>
      <c r="P15" s="126">
        <f t="shared" si="5"/>
        <v>5</v>
      </c>
      <c r="Q15" s="126">
        <f t="shared" si="5"/>
        <v>5</v>
      </c>
      <c r="R15" s="126">
        <f t="shared" si="5"/>
        <v>39</v>
      </c>
      <c r="S15" s="126">
        <f t="shared" si="5"/>
        <v>10</v>
      </c>
      <c r="T15" s="126">
        <f t="shared" si="5"/>
        <v>30</v>
      </c>
      <c r="U15" s="126">
        <f t="shared" si="5"/>
        <v>36</v>
      </c>
      <c r="V15" s="126">
        <f t="shared" si="5"/>
        <v>10</v>
      </c>
      <c r="W15" s="126">
        <f t="shared" si="5"/>
        <v>49</v>
      </c>
      <c r="X15" s="126">
        <f t="shared" si="5"/>
        <v>14</v>
      </c>
      <c r="Y15" s="126">
        <f t="shared" si="5"/>
        <v>70</v>
      </c>
      <c r="Z15" s="204">
        <f t="shared" si="2"/>
        <v>328</v>
      </c>
      <c r="AA15" s="125" t="str">
        <f t="shared" si="3"/>
        <v>Quintana</v>
      </c>
    </row>
    <row r="16" spans="2:27">
      <c r="B16" s="246" t="s">
        <v>189</v>
      </c>
      <c r="C16" s="240" t="s">
        <v>159</v>
      </c>
      <c r="D16" s="126">
        <f t="shared" si="4"/>
        <v>0</v>
      </c>
      <c r="E16" s="126">
        <f t="shared" si="4"/>
        <v>0</v>
      </c>
      <c r="F16" s="126">
        <f t="shared" si="4"/>
        <v>0</v>
      </c>
      <c r="G16" s="126">
        <f t="shared" si="4"/>
        <v>0</v>
      </c>
      <c r="H16" s="126">
        <f t="shared" si="4"/>
        <v>0</v>
      </c>
      <c r="I16" s="126">
        <f t="shared" si="4"/>
        <v>0</v>
      </c>
      <c r="J16" s="126">
        <f t="shared" si="4"/>
        <v>0</v>
      </c>
      <c r="K16" s="126">
        <f t="shared" si="4"/>
        <v>17</v>
      </c>
      <c r="L16" s="126">
        <f t="shared" si="4"/>
        <v>24</v>
      </c>
      <c r="M16" s="126">
        <f t="shared" si="4"/>
        <v>2</v>
      </c>
      <c r="N16" s="126">
        <f t="shared" si="5"/>
        <v>0</v>
      </c>
      <c r="O16" s="126">
        <f t="shared" si="5"/>
        <v>0</v>
      </c>
      <c r="P16" s="126">
        <f t="shared" si="5"/>
        <v>1</v>
      </c>
      <c r="Q16" s="126">
        <f t="shared" si="5"/>
        <v>1</v>
      </c>
      <c r="R16" s="126">
        <f t="shared" si="5"/>
        <v>27</v>
      </c>
      <c r="S16" s="126">
        <f t="shared" si="5"/>
        <v>4</v>
      </c>
      <c r="T16" s="126">
        <f t="shared" si="5"/>
        <v>32</v>
      </c>
      <c r="U16" s="126">
        <f t="shared" si="5"/>
        <v>28</v>
      </c>
      <c r="V16" s="126">
        <f t="shared" si="5"/>
        <v>6</v>
      </c>
      <c r="W16" s="126">
        <f t="shared" si="5"/>
        <v>40</v>
      </c>
      <c r="X16" s="126">
        <f t="shared" si="5"/>
        <v>10</v>
      </c>
      <c r="Y16" s="126">
        <f t="shared" si="5"/>
        <v>55</v>
      </c>
      <c r="Z16" s="204">
        <f t="shared" si="2"/>
        <v>247</v>
      </c>
      <c r="AA16" s="125" t="str">
        <f t="shared" si="3"/>
        <v>Rodriguez</v>
      </c>
    </row>
    <row r="17" spans="2:27">
      <c r="B17" s="246" t="s">
        <v>190</v>
      </c>
      <c r="C17" s="240" t="s">
        <v>148</v>
      </c>
      <c r="D17" s="126">
        <f t="shared" si="4"/>
        <v>0</v>
      </c>
      <c r="E17" s="126">
        <f t="shared" si="4"/>
        <v>0</v>
      </c>
      <c r="F17" s="126">
        <f t="shared" si="4"/>
        <v>0</v>
      </c>
      <c r="G17" s="126">
        <f t="shared" si="4"/>
        <v>0</v>
      </c>
      <c r="H17" s="126">
        <f t="shared" si="4"/>
        <v>0</v>
      </c>
      <c r="I17" s="126">
        <f t="shared" si="4"/>
        <v>0</v>
      </c>
      <c r="J17" s="126">
        <f t="shared" si="4"/>
        <v>0</v>
      </c>
      <c r="K17" s="126">
        <f t="shared" si="4"/>
        <v>0</v>
      </c>
      <c r="L17" s="126">
        <f t="shared" si="4"/>
        <v>0</v>
      </c>
      <c r="M17" s="126">
        <f t="shared" si="4"/>
        <v>0</v>
      </c>
      <c r="N17" s="126">
        <f t="shared" si="5"/>
        <v>0</v>
      </c>
      <c r="O17" s="126">
        <f t="shared" si="5"/>
        <v>0</v>
      </c>
      <c r="P17" s="126">
        <f t="shared" si="5"/>
        <v>0</v>
      </c>
      <c r="Q17" s="126">
        <f t="shared" si="5"/>
        <v>0</v>
      </c>
      <c r="R17" s="126">
        <f t="shared" si="5"/>
        <v>0</v>
      </c>
      <c r="S17" s="126">
        <f t="shared" si="5"/>
        <v>0</v>
      </c>
      <c r="T17" s="126">
        <f t="shared" si="5"/>
        <v>0</v>
      </c>
      <c r="U17" s="126">
        <f t="shared" si="5"/>
        <v>0</v>
      </c>
      <c r="V17" s="126">
        <f t="shared" si="5"/>
        <v>0</v>
      </c>
      <c r="W17" s="126">
        <f t="shared" si="5"/>
        <v>0</v>
      </c>
      <c r="X17" s="126">
        <f t="shared" si="5"/>
        <v>0</v>
      </c>
      <c r="Y17" s="126">
        <f t="shared" si="5"/>
        <v>0</v>
      </c>
      <c r="Z17" s="204">
        <f t="shared" si="2"/>
        <v>0</v>
      </c>
      <c r="AA17" s="125" t="str">
        <f t="shared" si="3"/>
        <v>Pinot</v>
      </c>
    </row>
    <row r="18" spans="2:27">
      <c r="B18" s="246" t="s">
        <v>131</v>
      </c>
      <c r="C18" s="240" t="s">
        <v>132</v>
      </c>
      <c r="D18" s="126">
        <f t="shared" si="4"/>
        <v>0</v>
      </c>
      <c r="E18" s="126">
        <f t="shared" si="4"/>
        <v>5</v>
      </c>
      <c r="F18" s="126">
        <f t="shared" si="4"/>
        <v>5</v>
      </c>
      <c r="G18" s="126">
        <f t="shared" si="4"/>
        <v>0</v>
      </c>
      <c r="H18" s="126">
        <f t="shared" si="4"/>
        <v>5</v>
      </c>
      <c r="I18" s="126">
        <f t="shared" si="4"/>
        <v>5</v>
      </c>
      <c r="J18" s="126">
        <f t="shared" si="4"/>
        <v>4</v>
      </c>
      <c r="K18" s="126">
        <f t="shared" si="4"/>
        <v>4</v>
      </c>
      <c r="L18" s="126">
        <f t="shared" si="4"/>
        <v>5</v>
      </c>
      <c r="M18" s="126">
        <f t="shared" si="4"/>
        <v>5</v>
      </c>
      <c r="N18" s="126">
        <f t="shared" si="5"/>
        <v>5</v>
      </c>
      <c r="O18" s="126">
        <f t="shared" si="5"/>
        <v>5</v>
      </c>
      <c r="P18" s="126">
        <f t="shared" si="5"/>
        <v>5</v>
      </c>
      <c r="Q18" s="126">
        <f t="shared" si="5"/>
        <v>5</v>
      </c>
      <c r="R18" s="126">
        <f t="shared" si="5"/>
        <v>2</v>
      </c>
      <c r="S18" s="126">
        <f t="shared" si="5"/>
        <v>2</v>
      </c>
      <c r="T18" s="126">
        <f t="shared" si="5"/>
        <v>2</v>
      </c>
      <c r="U18" s="126">
        <f t="shared" si="5"/>
        <v>2</v>
      </c>
      <c r="V18" s="126">
        <f t="shared" si="5"/>
        <v>14</v>
      </c>
      <c r="W18" s="126">
        <f t="shared" si="5"/>
        <v>3</v>
      </c>
      <c r="X18" s="126">
        <f t="shared" si="5"/>
        <v>3</v>
      </c>
      <c r="Y18" s="126">
        <f t="shared" si="5"/>
        <v>5</v>
      </c>
      <c r="Z18" s="204">
        <f t="shared" si="2"/>
        <v>91</v>
      </c>
      <c r="AA18" s="125" t="str">
        <f t="shared" si="3"/>
        <v>Rolland</v>
      </c>
    </row>
    <row r="19" spans="2:27">
      <c r="B19" s="246" t="s">
        <v>149</v>
      </c>
      <c r="C19" s="240" t="s">
        <v>150</v>
      </c>
      <c r="D19" s="126">
        <f t="shared" si="4"/>
        <v>0</v>
      </c>
      <c r="E19" s="126">
        <f t="shared" si="4"/>
        <v>0</v>
      </c>
      <c r="F19" s="126">
        <f t="shared" si="4"/>
        <v>0</v>
      </c>
      <c r="G19" s="126">
        <f t="shared" si="4"/>
        <v>0</v>
      </c>
      <c r="H19" s="126">
        <f t="shared" si="4"/>
        <v>3</v>
      </c>
      <c r="I19" s="126">
        <f t="shared" si="4"/>
        <v>10</v>
      </c>
      <c r="J19" s="126">
        <f t="shared" si="4"/>
        <v>3</v>
      </c>
      <c r="K19" s="126">
        <f t="shared" si="4"/>
        <v>42</v>
      </c>
      <c r="L19" s="126">
        <f t="shared" si="4"/>
        <v>3</v>
      </c>
      <c r="M19" s="126">
        <f t="shared" si="4"/>
        <v>3</v>
      </c>
      <c r="N19" s="126">
        <f t="shared" si="5"/>
        <v>27</v>
      </c>
      <c r="O19" s="126">
        <f t="shared" si="5"/>
        <v>3</v>
      </c>
      <c r="P19" s="126">
        <f t="shared" si="5"/>
        <v>3</v>
      </c>
      <c r="Q19" s="126">
        <f t="shared" si="5"/>
        <v>3</v>
      </c>
      <c r="R19" s="126">
        <f t="shared" si="5"/>
        <v>11</v>
      </c>
      <c r="S19" s="126">
        <f t="shared" si="5"/>
        <v>0</v>
      </c>
      <c r="T19" s="126">
        <f t="shared" si="5"/>
        <v>0</v>
      </c>
      <c r="U19" s="126">
        <f t="shared" si="5"/>
        <v>20</v>
      </c>
      <c r="V19" s="126">
        <f t="shared" si="5"/>
        <v>0</v>
      </c>
      <c r="W19" s="126">
        <f t="shared" si="5"/>
        <v>22</v>
      </c>
      <c r="X19" s="126">
        <f t="shared" si="5"/>
        <v>0</v>
      </c>
      <c r="Y19" s="126">
        <f t="shared" si="5"/>
        <v>14</v>
      </c>
      <c r="Z19" s="204">
        <f t="shared" si="2"/>
        <v>167</v>
      </c>
      <c r="AA19" s="125" t="str">
        <f t="shared" si="3"/>
        <v>Porte</v>
      </c>
    </row>
    <row r="20" spans="2:27" ht="13.5" thickBot="1">
      <c r="B20" s="246" t="s">
        <v>173</v>
      </c>
      <c r="C20" s="240" t="s">
        <v>174</v>
      </c>
      <c r="D20" s="126">
        <f t="shared" si="4"/>
        <v>0</v>
      </c>
      <c r="E20" s="126">
        <f t="shared" si="4"/>
        <v>0</v>
      </c>
      <c r="F20" s="126">
        <f t="shared" si="4"/>
        <v>0</v>
      </c>
      <c r="G20" s="126">
        <f t="shared" si="4"/>
        <v>0</v>
      </c>
      <c r="H20" s="126">
        <f t="shared" si="4"/>
        <v>0</v>
      </c>
      <c r="I20" s="126">
        <f t="shared" si="4"/>
        <v>0</v>
      </c>
      <c r="J20" s="126">
        <f t="shared" si="4"/>
        <v>0</v>
      </c>
      <c r="K20" s="126">
        <f t="shared" si="4"/>
        <v>0</v>
      </c>
      <c r="L20" s="126">
        <f t="shared" si="4"/>
        <v>24</v>
      </c>
      <c r="M20" s="126">
        <f t="shared" si="4"/>
        <v>0</v>
      </c>
      <c r="N20" s="126">
        <f t="shared" si="5"/>
        <v>0</v>
      </c>
      <c r="O20" s="126">
        <f t="shared" si="5"/>
        <v>0</v>
      </c>
      <c r="P20" s="126">
        <f t="shared" si="5"/>
        <v>0</v>
      </c>
      <c r="Q20" s="126">
        <f t="shared" si="5"/>
        <v>0</v>
      </c>
      <c r="R20" s="126">
        <f t="shared" si="5"/>
        <v>10</v>
      </c>
      <c r="S20" s="126">
        <f t="shared" si="5"/>
        <v>0</v>
      </c>
      <c r="T20" s="126">
        <f t="shared" si="5"/>
        <v>0</v>
      </c>
      <c r="U20" s="126">
        <f t="shared" si="5"/>
        <v>0</v>
      </c>
      <c r="V20" s="126">
        <f t="shared" si="5"/>
        <v>0</v>
      </c>
      <c r="W20" s="126">
        <f t="shared" si="5"/>
        <v>12</v>
      </c>
      <c r="X20" s="126">
        <f t="shared" si="5"/>
        <v>0</v>
      </c>
      <c r="Y20" s="126">
        <f t="shared" si="5"/>
        <v>18</v>
      </c>
      <c r="Z20" s="204">
        <f t="shared" si="2"/>
        <v>64</v>
      </c>
      <c r="AA20" s="125" t="str">
        <f t="shared" si="3"/>
        <v>Moreno</v>
      </c>
    </row>
    <row r="21" spans="2:27" s="183" customFormat="1">
      <c r="B21" s="247"/>
      <c r="C21" s="241"/>
      <c r="D21" s="196"/>
      <c r="E21" s="196"/>
      <c r="F21" s="196"/>
      <c r="G21" s="196"/>
      <c r="H21" s="196"/>
      <c r="I21" s="196"/>
      <c r="J21" s="196"/>
      <c r="K21" s="196"/>
      <c r="L21" s="196"/>
      <c r="M21" s="196"/>
      <c r="N21" s="196">
        <f>N26</f>
        <v>35</v>
      </c>
      <c r="O21" s="196"/>
      <c r="P21" s="196">
        <f>P24</f>
        <v>6</v>
      </c>
      <c r="Q21" s="196"/>
      <c r="R21" s="196"/>
      <c r="S21" s="196"/>
      <c r="T21" s="196"/>
      <c r="U21" s="196"/>
      <c r="V21" s="196"/>
      <c r="W21" s="196"/>
      <c r="X21" s="196"/>
      <c r="Y21" s="196"/>
      <c r="Z21" s="281">
        <f t="shared" si="2"/>
        <v>41</v>
      </c>
    </row>
    <row r="22" spans="2:27" s="129" customFormat="1">
      <c r="B22" s="248"/>
      <c r="C22" s="242"/>
      <c r="D22" s="184">
        <f t="shared" ref="D22:Z22" si="6">SUM(D4:D21)</f>
        <v>50</v>
      </c>
      <c r="E22" s="184">
        <f t="shared" ref="E22" si="7">SUM(E4:E21)</f>
        <v>72</v>
      </c>
      <c r="F22" s="184">
        <f>SUM(F4:F21)</f>
        <v>65</v>
      </c>
      <c r="G22" s="184">
        <f t="shared" si="6"/>
        <v>0.1</v>
      </c>
      <c r="H22" s="184">
        <f t="shared" si="6"/>
        <v>144</v>
      </c>
      <c r="I22" s="184">
        <f t="shared" si="6"/>
        <v>189</v>
      </c>
      <c r="J22" s="184">
        <f t="shared" si="6"/>
        <v>82</v>
      </c>
      <c r="K22" s="184">
        <f t="shared" si="6"/>
        <v>201</v>
      </c>
      <c r="L22" s="184">
        <f t="shared" si="6"/>
        <v>151</v>
      </c>
      <c r="M22" s="184">
        <f t="shared" si="6"/>
        <v>187</v>
      </c>
      <c r="N22" s="184">
        <f t="shared" si="6"/>
        <v>180</v>
      </c>
      <c r="O22" s="184">
        <f t="shared" si="6"/>
        <v>168</v>
      </c>
      <c r="P22" s="184">
        <f t="shared" si="6"/>
        <v>186</v>
      </c>
      <c r="Q22" s="184">
        <f t="shared" si="6"/>
        <v>69</v>
      </c>
      <c r="R22" s="184">
        <f t="shared" si="6"/>
        <v>208</v>
      </c>
      <c r="S22" s="184">
        <f t="shared" si="6"/>
        <v>62</v>
      </c>
      <c r="T22" s="184">
        <f t="shared" si="6"/>
        <v>205</v>
      </c>
      <c r="U22" s="184">
        <f t="shared" si="6"/>
        <v>194</v>
      </c>
      <c r="V22" s="184">
        <f t="shared" si="6"/>
        <v>73</v>
      </c>
      <c r="W22" s="184">
        <f t="shared" si="6"/>
        <v>221</v>
      </c>
      <c r="X22" s="184">
        <f t="shared" si="6"/>
        <v>196</v>
      </c>
      <c r="Y22" s="184">
        <f t="shared" si="6"/>
        <v>352</v>
      </c>
      <c r="Z22" s="282">
        <f t="shared" si="6"/>
        <v>3255.1</v>
      </c>
    </row>
    <row r="23" spans="2:27" s="185" customFormat="1">
      <c r="B23" s="249"/>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246" t="s">
        <v>170</v>
      </c>
      <c r="C24" s="244" t="s">
        <v>166</v>
      </c>
      <c r="D24" s="211">
        <f t="shared" ref="D24:Y26" si="8">INDEX(scorematrix,MATCH($C24,renners,0),MATCH(D$3,etappes,0))</f>
        <v>0</v>
      </c>
      <c r="E24" s="211">
        <f t="shared" si="8"/>
        <v>0</v>
      </c>
      <c r="F24" s="211">
        <f t="shared" si="8"/>
        <v>0</v>
      </c>
      <c r="G24" s="211">
        <f t="shared" si="8"/>
        <v>0</v>
      </c>
      <c r="H24" s="211">
        <f t="shared" si="8"/>
        <v>14</v>
      </c>
      <c r="I24" s="211">
        <f t="shared" si="8"/>
        <v>0</v>
      </c>
      <c r="J24" s="211">
        <f t="shared" si="8"/>
        <v>30</v>
      </c>
      <c r="K24" s="211">
        <f t="shared" si="8"/>
        <v>0</v>
      </c>
      <c r="L24" s="211">
        <f t="shared" si="8"/>
        <v>0</v>
      </c>
      <c r="M24" s="211">
        <f t="shared" si="8"/>
        <v>0</v>
      </c>
      <c r="N24" s="211">
        <f t="shared" si="8"/>
        <v>0</v>
      </c>
      <c r="O24" s="211">
        <f t="shared" si="8"/>
        <v>0</v>
      </c>
      <c r="P24" s="280">
        <f t="shared" si="8"/>
        <v>6</v>
      </c>
      <c r="Q24" s="211">
        <f t="shared" si="8"/>
        <v>0</v>
      </c>
      <c r="R24" s="211">
        <f t="shared" si="8"/>
        <v>0</v>
      </c>
      <c r="S24" s="211">
        <f t="shared" si="8"/>
        <v>0</v>
      </c>
      <c r="T24" s="211">
        <f t="shared" si="8"/>
        <v>0</v>
      </c>
      <c r="U24" s="211">
        <f t="shared" si="8"/>
        <v>0</v>
      </c>
      <c r="V24" s="211">
        <f t="shared" si="8"/>
        <v>0</v>
      </c>
      <c r="W24" s="211">
        <f t="shared" si="8"/>
        <v>0</v>
      </c>
      <c r="X24" s="211">
        <f t="shared" si="8"/>
        <v>0</v>
      </c>
      <c r="Y24" s="211">
        <f t="shared" si="8"/>
        <v>0</v>
      </c>
      <c r="Z24" s="284">
        <f>SUM(D24:Y24)</f>
        <v>50</v>
      </c>
    </row>
    <row r="25" spans="2:27" s="188" customFormat="1">
      <c r="B25" s="246" t="s">
        <v>191</v>
      </c>
      <c r="C25" s="244" t="s">
        <v>176</v>
      </c>
      <c r="D25" s="211">
        <f t="shared" si="8"/>
        <v>0</v>
      </c>
      <c r="E25" s="211">
        <f t="shared" si="8"/>
        <v>0</v>
      </c>
      <c r="F25" s="211">
        <f t="shared" si="8"/>
        <v>0</v>
      </c>
      <c r="G25" s="211">
        <f t="shared" si="8"/>
        <v>0</v>
      </c>
      <c r="H25" s="211">
        <f t="shared" si="8"/>
        <v>0</v>
      </c>
      <c r="I25" s="211">
        <f t="shared" si="8"/>
        <v>0</v>
      </c>
      <c r="J25" s="211">
        <f t="shared" si="8"/>
        <v>0</v>
      </c>
      <c r="K25" s="211">
        <f t="shared" si="8"/>
        <v>10</v>
      </c>
      <c r="L25" s="211">
        <f t="shared" si="8"/>
        <v>0</v>
      </c>
      <c r="M25" s="211">
        <f t="shared" si="8"/>
        <v>0</v>
      </c>
      <c r="N25" s="211">
        <f t="shared" si="8"/>
        <v>14</v>
      </c>
      <c r="O25" s="211">
        <f t="shared" si="8"/>
        <v>0</v>
      </c>
      <c r="P25" s="211">
        <f t="shared" si="8"/>
        <v>0</v>
      </c>
      <c r="Q25" s="211">
        <f t="shared" si="8"/>
        <v>26</v>
      </c>
      <c r="R25" s="211">
        <f t="shared" si="8"/>
        <v>0</v>
      </c>
      <c r="S25" s="211">
        <f t="shared" si="8"/>
        <v>0</v>
      </c>
      <c r="T25" s="211">
        <f t="shared" si="8"/>
        <v>17</v>
      </c>
      <c r="U25" s="211">
        <f t="shared" si="8"/>
        <v>12</v>
      </c>
      <c r="V25" s="211">
        <f t="shared" si="8"/>
        <v>0</v>
      </c>
      <c r="W25" s="211">
        <f t="shared" si="8"/>
        <v>21</v>
      </c>
      <c r="X25" s="211">
        <f t="shared" si="8"/>
        <v>1</v>
      </c>
      <c r="Y25" s="211">
        <f t="shared" si="8"/>
        <v>32</v>
      </c>
      <c r="Z25" s="284">
        <f>SUM(D25:Y25)</f>
        <v>133</v>
      </c>
    </row>
    <row r="26" spans="2:27" s="188" customFormat="1">
      <c r="B26" s="246" t="s">
        <v>113</v>
      </c>
      <c r="C26" s="244" t="s">
        <v>70</v>
      </c>
      <c r="D26" s="211">
        <f t="shared" si="8"/>
        <v>0</v>
      </c>
      <c r="E26" s="211">
        <f t="shared" si="8"/>
        <v>0</v>
      </c>
      <c r="F26" s="211">
        <f t="shared" si="8"/>
        <v>0</v>
      </c>
      <c r="G26" s="211">
        <f t="shared" si="8"/>
        <v>0</v>
      </c>
      <c r="H26" s="211">
        <f t="shared" si="8"/>
        <v>0</v>
      </c>
      <c r="I26" s="211">
        <f t="shared" si="8"/>
        <v>0</v>
      </c>
      <c r="J26" s="211">
        <f t="shared" si="8"/>
        <v>0</v>
      </c>
      <c r="K26" s="211">
        <f t="shared" si="8"/>
        <v>0</v>
      </c>
      <c r="L26" s="211">
        <f t="shared" si="8"/>
        <v>0</v>
      </c>
      <c r="M26" s="211">
        <f t="shared" si="8"/>
        <v>0</v>
      </c>
      <c r="N26" s="280">
        <f t="shared" si="8"/>
        <v>35</v>
      </c>
      <c r="O26" s="211">
        <f t="shared" si="8"/>
        <v>0</v>
      </c>
      <c r="P26" s="211">
        <f t="shared" si="8"/>
        <v>0</v>
      </c>
      <c r="Q26" s="211">
        <f t="shared" si="8"/>
        <v>0</v>
      </c>
      <c r="R26" s="211">
        <f t="shared" si="8"/>
        <v>0</v>
      </c>
      <c r="S26" s="211">
        <f t="shared" si="8"/>
        <v>0</v>
      </c>
      <c r="T26" s="211">
        <f t="shared" si="8"/>
        <v>0</v>
      </c>
      <c r="U26" s="211">
        <f t="shared" si="8"/>
        <v>0</v>
      </c>
      <c r="V26" s="211">
        <f t="shared" si="8"/>
        <v>0</v>
      </c>
      <c r="W26" s="211">
        <f t="shared" si="8"/>
        <v>0</v>
      </c>
      <c r="X26" s="211">
        <f t="shared" si="8"/>
        <v>0</v>
      </c>
      <c r="Y26" s="211">
        <f t="shared" si="8"/>
        <v>0</v>
      </c>
      <c r="Z26" s="284">
        <f>SUM(D26:Y26)</f>
        <v>35</v>
      </c>
    </row>
  </sheetData>
  <sheetProtection selectLockedCells="1"/>
  <phoneticPr fontId="0" type="noConversion"/>
  <pageMargins left="0.75" right="0.75" top="1" bottom="1" header="0.5" footer="0.5"/>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12"/>
  </sheetPr>
  <dimension ref="B1:AA26"/>
  <sheetViews>
    <sheetView showZeros="0" workbookViewId="0">
      <selection activeCell="N22" sqref="N22"/>
    </sheetView>
  </sheetViews>
  <sheetFormatPr defaultRowHeight="12.75"/>
  <cols>
    <col min="1" max="1" width="2.7109375" style="125" customWidth="1"/>
    <col min="2" max="2" width="8.85546875" style="125" customWidth="1"/>
    <col min="3" max="3" width="13" style="125"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43"/>
      <c r="C1" s="236" t="s">
        <v>218</v>
      </c>
    </row>
    <row r="2" spans="2:27">
      <c r="B2" s="243"/>
      <c r="C2" s="237"/>
      <c r="G2" s="146"/>
    </row>
    <row r="3" spans="2:27" s="144" customFormat="1" ht="13.5" thickBot="1">
      <c r="B3" s="245"/>
      <c r="C3" s="238" t="s">
        <v>219</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46" t="s">
        <v>127</v>
      </c>
      <c r="C4" s="239" t="s">
        <v>114</v>
      </c>
      <c r="D4" s="126">
        <f t="shared" ref="D4:M13" si="0">INDEX(scorematrix,MATCH($C4,renners,0),MATCH(D$3,etappes,0))</f>
        <v>0</v>
      </c>
      <c r="E4" s="126">
        <f t="shared" si="0"/>
        <v>0</v>
      </c>
      <c r="F4" s="126">
        <f t="shared" si="0"/>
        <v>0</v>
      </c>
      <c r="G4" s="126">
        <f t="shared" si="0"/>
        <v>0.1</v>
      </c>
      <c r="H4" s="126">
        <f t="shared" si="0"/>
        <v>4</v>
      </c>
      <c r="I4" s="126">
        <f t="shared" si="0"/>
        <v>12</v>
      </c>
      <c r="J4" s="126">
        <f t="shared" si="0"/>
        <v>4</v>
      </c>
      <c r="K4" s="126">
        <f t="shared" si="0"/>
        <v>50</v>
      </c>
      <c r="L4" s="126">
        <f t="shared" si="0"/>
        <v>26</v>
      </c>
      <c r="M4" s="126">
        <f t="shared" si="0"/>
        <v>14</v>
      </c>
      <c r="N4" s="126">
        <f t="shared" ref="N4:Y13" si="1">INDEX(scorematrix,MATCH($C4,renners,0),MATCH(N$3,etappes,0))</f>
        <v>44</v>
      </c>
      <c r="O4" s="126">
        <f t="shared" si="1"/>
        <v>26</v>
      </c>
      <c r="P4" s="126">
        <f t="shared" si="1"/>
        <v>14</v>
      </c>
      <c r="Q4" s="126">
        <f t="shared" si="1"/>
        <v>14</v>
      </c>
      <c r="R4" s="126">
        <f t="shared" si="1"/>
        <v>50</v>
      </c>
      <c r="S4" s="126">
        <f t="shared" si="1"/>
        <v>15</v>
      </c>
      <c r="T4" s="126">
        <f t="shared" si="1"/>
        <v>50</v>
      </c>
      <c r="U4" s="126">
        <f t="shared" si="1"/>
        <v>34</v>
      </c>
      <c r="V4" s="126">
        <f t="shared" si="1"/>
        <v>15</v>
      </c>
      <c r="W4" s="126">
        <f t="shared" si="1"/>
        <v>40</v>
      </c>
      <c r="X4" s="126">
        <f t="shared" si="1"/>
        <v>14</v>
      </c>
      <c r="Y4" s="126">
        <f t="shared" si="1"/>
        <v>77</v>
      </c>
      <c r="Z4" s="204">
        <f t="shared" ref="Z4:Z20" si="2">SUM(D4:Y4)</f>
        <v>503.1</v>
      </c>
      <c r="AA4" s="125" t="str">
        <f t="shared" ref="AA4:AA18" si="3">C4</f>
        <v>Froome</v>
      </c>
    </row>
    <row r="5" spans="2:27">
      <c r="B5" s="246" t="s">
        <v>128</v>
      </c>
      <c r="C5" s="240" t="s">
        <v>72</v>
      </c>
      <c r="D5" s="126">
        <f t="shared" si="0"/>
        <v>0</v>
      </c>
      <c r="E5" s="126">
        <f t="shared" si="0"/>
        <v>28</v>
      </c>
      <c r="F5" s="126">
        <f t="shared" si="0"/>
        <v>21</v>
      </c>
      <c r="G5" s="126">
        <f t="shared" si="0"/>
        <v>0</v>
      </c>
      <c r="H5" s="126">
        <f t="shared" si="0"/>
        <v>36</v>
      </c>
      <c r="I5" s="126">
        <f t="shared" si="0"/>
        <v>23</v>
      </c>
      <c r="J5" s="126">
        <f t="shared" si="0"/>
        <v>31</v>
      </c>
      <c r="K5" s="126">
        <f t="shared" si="0"/>
        <v>1</v>
      </c>
      <c r="L5" s="126">
        <f t="shared" si="0"/>
        <v>0</v>
      </c>
      <c r="M5" s="126">
        <f t="shared" si="0"/>
        <v>0</v>
      </c>
      <c r="N5" s="126">
        <f t="shared" si="1"/>
        <v>0</v>
      </c>
      <c r="O5" s="126">
        <f t="shared" si="1"/>
        <v>0</v>
      </c>
      <c r="P5" s="126">
        <f t="shared" si="1"/>
        <v>0</v>
      </c>
      <c r="Q5" s="126">
        <f t="shared" si="1"/>
        <v>0</v>
      </c>
      <c r="R5" s="126">
        <f t="shared" si="1"/>
        <v>0</v>
      </c>
      <c r="S5" s="126">
        <f t="shared" si="1"/>
        <v>0</v>
      </c>
      <c r="T5" s="126">
        <f t="shared" si="1"/>
        <v>0</v>
      </c>
      <c r="U5" s="126">
        <f t="shared" si="1"/>
        <v>0</v>
      </c>
      <c r="V5" s="126">
        <f t="shared" si="1"/>
        <v>0</v>
      </c>
      <c r="W5" s="126">
        <f t="shared" si="1"/>
        <v>0</v>
      </c>
      <c r="X5" s="126">
        <f t="shared" si="1"/>
        <v>0</v>
      </c>
      <c r="Y5" s="126">
        <f t="shared" si="1"/>
        <v>0</v>
      </c>
      <c r="Z5" s="204">
        <f t="shared" si="2"/>
        <v>140</v>
      </c>
      <c r="AA5" s="125" t="str">
        <f t="shared" si="3"/>
        <v>Boasson Hagen</v>
      </c>
    </row>
    <row r="6" spans="2:27">
      <c r="B6" s="246" t="s">
        <v>149</v>
      </c>
      <c r="C6" s="240" t="s">
        <v>150</v>
      </c>
      <c r="D6" s="126">
        <f t="shared" si="0"/>
        <v>0</v>
      </c>
      <c r="E6" s="126">
        <f t="shared" si="0"/>
        <v>0</v>
      </c>
      <c r="F6" s="126">
        <f t="shared" si="0"/>
        <v>0</v>
      </c>
      <c r="G6" s="126">
        <f t="shared" si="0"/>
        <v>0</v>
      </c>
      <c r="H6" s="126">
        <f t="shared" si="0"/>
        <v>3</v>
      </c>
      <c r="I6" s="126">
        <f t="shared" si="0"/>
        <v>10</v>
      </c>
      <c r="J6" s="126">
        <f t="shared" si="0"/>
        <v>3</v>
      </c>
      <c r="K6" s="126">
        <f t="shared" si="0"/>
        <v>42</v>
      </c>
      <c r="L6" s="126">
        <f t="shared" si="0"/>
        <v>3</v>
      </c>
      <c r="M6" s="126">
        <f t="shared" si="0"/>
        <v>3</v>
      </c>
      <c r="N6" s="126">
        <f t="shared" si="1"/>
        <v>27</v>
      </c>
      <c r="O6" s="126">
        <f t="shared" si="1"/>
        <v>3</v>
      </c>
      <c r="P6" s="126">
        <f t="shared" si="1"/>
        <v>3</v>
      </c>
      <c r="Q6" s="126">
        <f t="shared" si="1"/>
        <v>3</v>
      </c>
      <c r="R6" s="126">
        <f t="shared" si="1"/>
        <v>11</v>
      </c>
      <c r="S6" s="126">
        <f t="shared" si="1"/>
        <v>0</v>
      </c>
      <c r="T6" s="126">
        <f t="shared" si="1"/>
        <v>0</v>
      </c>
      <c r="U6" s="126">
        <f t="shared" si="1"/>
        <v>20</v>
      </c>
      <c r="V6" s="126">
        <f t="shared" si="1"/>
        <v>0</v>
      </c>
      <c r="W6" s="126">
        <f t="shared" si="1"/>
        <v>22</v>
      </c>
      <c r="X6" s="126">
        <f t="shared" si="1"/>
        <v>0</v>
      </c>
      <c r="Y6" s="126">
        <f t="shared" si="1"/>
        <v>14</v>
      </c>
      <c r="Z6" s="204">
        <f t="shared" si="2"/>
        <v>167</v>
      </c>
      <c r="AA6" s="125" t="str">
        <f t="shared" si="3"/>
        <v>Porte</v>
      </c>
    </row>
    <row r="7" spans="2:27">
      <c r="B7" s="246" t="s">
        <v>105</v>
      </c>
      <c r="C7" s="240" t="s">
        <v>106</v>
      </c>
      <c r="D7" s="126">
        <f t="shared" si="0"/>
        <v>0</v>
      </c>
      <c r="E7" s="126">
        <f t="shared" si="0"/>
        <v>34</v>
      </c>
      <c r="F7" s="126">
        <f t="shared" si="0"/>
        <v>35</v>
      </c>
      <c r="G7" s="126">
        <f t="shared" si="0"/>
        <v>0</v>
      </c>
      <c r="H7" s="126">
        <f t="shared" si="0"/>
        <v>31</v>
      </c>
      <c r="I7" s="126">
        <f t="shared" si="0"/>
        <v>35</v>
      </c>
      <c r="J7" s="126">
        <f t="shared" si="0"/>
        <v>40</v>
      </c>
      <c r="K7" s="126">
        <f t="shared" si="0"/>
        <v>5</v>
      </c>
      <c r="L7" s="126">
        <f t="shared" si="0"/>
        <v>5</v>
      </c>
      <c r="M7" s="126">
        <f t="shared" si="0"/>
        <v>29</v>
      </c>
      <c r="N7" s="126">
        <f t="shared" si="1"/>
        <v>14</v>
      </c>
      <c r="O7" s="126">
        <f t="shared" si="1"/>
        <v>31</v>
      </c>
      <c r="P7" s="126">
        <f t="shared" si="1"/>
        <v>35</v>
      </c>
      <c r="Q7" s="126">
        <f t="shared" si="1"/>
        <v>5</v>
      </c>
      <c r="R7" s="126">
        <f t="shared" si="1"/>
        <v>5</v>
      </c>
      <c r="S7" s="126">
        <f t="shared" si="1"/>
        <v>5</v>
      </c>
      <c r="T7" s="126">
        <f t="shared" si="1"/>
        <v>5</v>
      </c>
      <c r="U7" s="126">
        <f t="shared" si="1"/>
        <v>5</v>
      </c>
      <c r="V7" s="126">
        <f t="shared" si="1"/>
        <v>5</v>
      </c>
      <c r="W7" s="126">
        <f t="shared" si="1"/>
        <v>5</v>
      </c>
      <c r="X7" s="126">
        <f t="shared" si="1"/>
        <v>29</v>
      </c>
      <c r="Y7" s="126">
        <f t="shared" si="1"/>
        <v>10</v>
      </c>
      <c r="Z7" s="204">
        <f t="shared" si="2"/>
        <v>368</v>
      </c>
      <c r="AA7" s="125" t="str">
        <f t="shared" si="3"/>
        <v>Sagan</v>
      </c>
    </row>
    <row r="8" spans="2:27">
      <c r="B8" s="246" t="s">
        <v>118</v>
      </c>
      <c r="C8" s="240" t="s">
        <v>85</v>
      </c>
      <c r="D8" s="126">
        <f t="shared" si="0"/>
        <v>0</v>
      </c>
      <c r="E8" s="126">
        <f t="shared" si="0"/>
        <v>0</v>
      </c>
      <c r="F8" s="126">
        <f t="shared" si="0"/>
        <v>0</v>
      </c>
      <c r="G8" s="126">
        <f t="shared" si="0"/>
        <v>0</v>
      </c>
      <c r="H8" s="126">
        <f t="shared" si="0"/>
        <v>26</v>
      </c>
      <c r="I8" s="126">
        <f t="shared" si="0"/>
        <v>39</v>
      </c>
      <c r="J8" s="126">
        <f t="shared" si="0"/>
        <v>0</v>
      </c>
      <c r="K8" s="126">
        <f t="shared" si="0"/>
        <v>4</v>
      </c>
      <c r="L8" s="126">
        <f t="shared" si="0"/>
        <v>4</v>
      </c>
      <c r="M8" s="126">
        <f t="shared" si="0"/>
        <v>34</v>
      </c>
      <c r="N8" s="126">
        <f t="shared" si="1"/>
        <v>4</v>
      </c>
      <c r="O8" s="126">
        <f t="shared" si="1"/>
        <v>3</v>
      </c>
      <c r="P8" s="126">
        <f t="shared" si="1"/>
        <v>14</v>
      </c>
      <c r="Q8" s="126">
        <f t="shared" si="1"/>
        <v>3</v>
      </c>
      <c r="R8" s="126">
        <f t="shared" si="1"/>
        <v>3</v>
      </c>
      <c r="S8" s="126">
        <f t="shared" si="1"/>
        <v>3</v>
      </c>
      <c r="T8" s="126">
        <f t="shared" si="1"/>
        <v>3</v>
      </c>
      <c r="U8" s="126">
        <f t="shared" si="1"/>
        <v>3</v>
      </c>
      <c r="V8" s="126">
        <f t="shared" si="1"/>
        <v>3</v>
      </c>
      <c r="W8" s="126">
        <f t="shared" si="1"/>
        <v>3</v>
      </c>
      <c r="X8" s="126">
        <f t="shared" si="1"/>
        <v>33</v>
      </c>
      <c r="Y8" s="126">
        <f t="shared" si="1"/>
        <v>5</v>
      </c>
      <c r="Z8" s="204">
        <f t="shared" si="2"/>
        <v>187</v>
      </c>
      <c r="AA8" s="125" t="str">
        <f t="shared" si="3"/>
        <v>Greipel</v>
      </c>
    </row>
    <row r="9" spans="2:27">
      <c r="B9" s="246" t="s">
        <v>111</v>
      </c>
      <c r="C9" s="240" t="s">
        <v>69</v>
      </c>
      <c r="D9" s="126">
        <f t="shared" si="0"/>
        <v>0</v>
      </c>
      <c r="E9" s="126">
        <f t="shared" si="0"/>
        <v>1</v>
      </c>
      <c r="F9" s="126">
        <f t="shared" si="0"/>
        <v>15</v>
      </c>
      <c r="G9" s="126">
        <f t="shared" si="0"/>
        <v>0</v>
      </c>
      <c r="H9" s="126">
        <f t="shared" si="0"/>
        <v>0</v>
      </c>
      <c r="I9" s="126">
        <f t="shared" si="0"/>
        <v>9</v>
      </c>
      <c r="J9" s="126">
        <f t="shared" si="0"/>
        <v>0</v>
      </c>
      <c r="K9" s="126">
        <f t="shared" si="0"/>
        <v>0</v>
      </c>
      <c r="L9" s="126">
        <f t="shared" si="0"/>
        <v>20</v>
      </c>
      <c r="M9" s="126">
        <f t="shared" si="0"/>
        <v>0</v>
      </c>
      <c r="N9" s="126">
        <f t="shared" si="1"/>
        <v>0</v>
      </c>
      <c r="O9" s="126">
        <f t="shared" si="1"/>
        <v>6</v>
      </c>
      <c r="P9" s="126">
        <f t="shared" si="1"/>
        <v>0</v>
      </c>
      <c r="Q9" s="126">
        <f t="shared" si="1"/>
        <v>0</v>
      </c>
      <c r="R9" s="126">
        <f t="shared" si="1"/>
        <v>0</v>
      </c>
      <c r="S9" s="126">
        <f t="shared" si="1"/>
        <v>0</v>
      </c>
      <c r="T9" s="126">
        <f t="shared" si="1"/>
        <v>0</v>
      </c>
      <c r="U9" s="126">
        <f t="shared" si="1"/>
        <v>0</v>
      </c>
      <c r="V9" s="126">
        <f t="shared" si="1"/>
        <v>0</v>
      </c>
      <c r="W9" s="126">
        <f t="shared" si="1"/>
        <v>0</v>
      </c>
      <c r="X9" s="126">
        <f t="shared" si="1"/>
        <v>0</v>
      </c>
      <c r="Y9" s="126">
        <f t="shared" si="1"/>
        <v>0</v>
      </c>
      <c r="Z9" s="204">
        <f t="shared" si="2"/>
        <v>51</v>
      </c>
      <c r="AA9" s="125" t="str">
        <f t="shared" si="3"/>
        <v>Evans</v>
      </c>
    </row>
    <row r="10" spans="2:27">
      <c r="B10" s="246" t="s">
        <v>145</v>
      </c>
      <c r="C10" s="240" t="s">
        <v>146</v>
      </c>
      <c r="D10" s="126">
        <f t="shared" si="0"/>
        <v>0</v>
      </c>
      <c r="E10" s="126">
        <f t="shared" si="0"/>
        <v>0</v>
      </c>
      <c r="F10" s="126">
        <f t="shared" si="0"/>
        <v>0</v>
      </c>
      <c r="G10" s="126">
        <f t="shared" si="0"/>
        <v>0</v>
      </c>
      <c r="H10" s="126">
        <f t="shared" si="0"/>
        <v>0</v>
      </c>
      <c r="I10" s="126">
        <f t="shared" si="0"/>
        <v>0</v>
      </c>
      <c r="J10" s="126">
        <f t="shared" si="0"/>
        <v>0</v>
      </c>
      <c r="K10" s="126">
        <f t="shared" si="0"/>
        <v>22</v>
      </c>
      <c r="L10" s="126">
        <f t="shared" si="0"/>
        <v>18</v>
      </c>
      <c r="M10" s="126">
        <f t="shared" si="0"/>
        <v>5</v>
      </c>
      <c r="N10" s="126">
        <f t="shared" si="1"/>
        <v>18</v>
      </c>
      <c r="O10" s="126">
        <f t="shared" si="1"/>
        <v>7</v>
      </c>
      <c r="P10" s="126">
        <f t="shared" si="1"/>
        <v>27</v>
      </c>
      <c r="Q10" s="126">
        <f t="shared" si="1"/>
        <v>8</v>
      </c>
      <c r="R10" s="126">
        <f t="shared" si="1"/>
        <v>28</v>
      </c>
      <c r="S10" s="126">
        <f t="shared" si="1"/>
        <v>8</v>
      </c>
      <c r="T10" s="126">
        <f t="shared" si="1"/>
        <v>39</v>
      </c>
      <c r="U10" s="126">
        <f t="shared" si="1"/>
        <v>24</v>
      </c>
      <c r="V10" s="126">
        <f t="shared" si="1"/>
        <v>9</v>
      </c>
      <c r="W10" s="126">
        <f t="shared" si="1"/>
        <v>26</v>
      </c>
      <c r="X10" s="126">
        <f t="shared" si="1"/>
        <v>7</v>
      </c>
      <c r="Y10" s="126">
        <f t="shared" si="1"/>
        <v>48</v>
      </c>
      <c r="Z10" s="204">
        <f t="shared" si="2"/>
        <v>294</v>
      </c>
      <c r="AA10" s="125" t="str">
        <f t="shared" si="3"/>
        <v>Contador</v>
      </c>
    </row>
    <row r="11" spans="2:27">
      <c r="B11" s="246" t="s">
        <v>151</v>
      </c>
      <c r="C11" s="240" t="s">
        <v>159</v>
      </c>
      <c r="D11" s="126">
        <f t="shared" si="0"/>
        <v>0</v>
      </c>
      <c r="E11" s="126">
        <f t="shared" si="0"/>
        <v>0</v>
      </c>
      <c r="F11" s="126">
        <f t="shared" si="0"/>
        <v>0</v>
      </c>
      <c r="G11" s="126">
        <f t="shared" si="0"/>
        <v>0</v>
      </c>
      <c r="H11" s="126">
        <f t="shared" si="0"/>
        <v>0</v>
      </c>
      <c r="I11" s="126">
        <f t="shared" si="0"/>
        <v>0</v>
      </c>
      <c r="J11" s="126">
        <f t="shared" si="0"/>
        <v>0</v>
      </c>
      <c r="K11" s="126">
        <f t="shared" si="0"/>
        <v>17</v>
      </c>
      <c r="L11" s="126">
        <f t="shared" si="0"/>
        <v>24</v>
      </c>
      <c r="M11" s="126">
        <f t="shared" si="0"/>
        <v>2</v>
      </c>
      <c r="N11" s="126">
        <f t="shared" si="1"/>
        <v>0</v>
      </c>
      <c r="O11" s="126">
        <f t="shared" si="1"/>
        <v>0</v>
      </c>
      <c r="P11" s="126">
        <f t="shared" si="1"/>
        <v>1</v>
      </c>
      <c r="Q11" s="126">
        <f t="shared" si="1"/>
        <v>1</v>
      </c>
      <c r="R11" s="126">
        <f t="shared" si="1"/>
        <v>27</v>
      </c>
      <c r="S11" s="126">
        <f t="shared" si="1"/>
        <v>4</v>
      </c>
      <c r="T11" s="126">
        <f t="shared" si="1"/>
        <v>32</v>
      </c>
      <c r="U11" s="126">
        <f t="shared" si="1"/>
        <v>28</v>
      </c>
      <c r="V11" s="126">
        <f t="shared" si="1"/>
        <v>6</v>
      </c>
      <c r="W11" s="126">
        <f t="shared" si="1"/>
        <v>40</v>
      </c>
      <c r="X11" s="126">
        <f t="shared" si="1"/>
        <v>10</v>
      </c>
      <c r="Y11" s="126">
        <f t="shared" si="1"/>
        <v>55</v>
      </c>
      <c r="Z11" s="204">
        <f t="shared" si="2"/>
        <v>247</v>
      </c>
      <c r="AA11" s="125" t="str">
        <f t="shared" si="3"/>
        <v>Rodriguez</v>
      </c>
    </row>
    <row r="12" spans="2:27">
      <c r="B12" s="246" t="s">
        <v>126</v>
      </c>
      <c r="C12" s="240" t="s">
        <v>112</v>
      </c>
      <c r="D12" s="126">
        <f t="shared" si="0"/>
        <v>0</v>
      </c>
      <c r="E12" s="126">
        <f t="shared" si="0"/>
        <v>0</v>
      </c>
      <c r="F12" s="126">
        <f t="shared" si="0"/>
        <v>0</v>
      </c>
      <c r="G12" s="126">
        <f t="shared" si="0"/>
        <v>0</v>
      </c>
      <c r="H12" s="126">
        <f t="shared" si="0"/>
        <v>0</v>
      </c>
      <c r="I12" s="126">
        <f t="shared" si="0"/>
        <v>0</v>
      </c>
      <c r="J12" s="126">
        <f t="shared" si="0"/>
        <v>0</v>
      </c>
      <c r="K12" s="126">
        <f t="shared" si="0"/>
        <v>34</v>
      </c>
      <c r="L12" s="126">
        <f t="shared" si="0"/>
        <v>24</v>
      </c>
      <c r="M12" s="126">
        <f t="shared" si="0"/>
        <v>9</v>
      </c>
      <c r="N12" s="126">
        <f t="shared" si="1"/>
        <v>22</v>
      </c>
      <c r="O12" s="126">
        <f t="shared" si="1"/>
        <v>17</v>
      </c>
      <c r="P12" s="126">
        <f t="shared" si="1"/>
        <v>0</v>
      </c>
      <c r="Q12" s="126">
        <f t="shared" si="1"/>
        <v>0</v>
      </c>
      <c r="R12" s="126">
        <f t="shared" si="1"/>
        <v>13</v>
      </c>
      <c r="S12" s="126">
        <f t="shared" si="1"/>
        <v>0</v>
      </c>
      <c r="T12" s="126">
        <f t="shared" si="1"/>
        <v>22</v>
      </c>
      <c r="U12" s="126">
        <f t="shared" si="1"/>
        <v>18</v>
      </c>
      <c r="V12" s="126">
        <f t="shared" si="1"/>
        <v>10</v>
      </c>
      <c r="W12" s="126">
        <f t="shared" si="1"/>
        <v>27</v>
      </c>
      <c r="X12" s="126">
        <f t="shared" si="1"/>
        <v>3</v>
      </c>
      <c r="Y12" s="126">
        <f t="shared" si="1"/>
        <v>36</v>
      </c>
      <c r="Z12" s="204">
        <f t="shared" si="2"/>
        <v>235</v>
      </c>
      <c r="AA12" s="125" t="str">
        <f t="shared" si="3"/>
        <v>Valverde</v>
      </c>
    </row>
    <row r="13" spans="2:27">
      <c r="B13" s="246" t="s">
        <v>158</v>
      </c>
      <c r="C13" s="240" t="s">
        <v>160</v>
      </c>
      <c r="D13" s="126">
        <f t="shared" si="0"/>
        <v>0</v>
      </c>
      <c r="E13" s="126">
        <f t="shared" si="0"/>
        <v>0</v>
      </c>
      <c r="F13" s="126">
        <f t="shared" si="0"/>
        <v>0</v>
      </c>
      <c r="G13" s="126">
        <f t="shared" si="0"/>
        <v>0</v>
      </c>
      <c r="H13" s="126">
        <f t="shared" si="0"/>
        <v>0</v>
      </c>
      <c r="I13" s="126">
        <f t="shared" si="0"/>
        <v>0</v>
      </c>
      <c r="J13" s="126">
        <f t="shared" si="0"/>
        <v>0</v>
      </c>
      <c r="K13" s="126">
        <f t="shared" si="0"/>
        <v>22</v>
      </c>
      <c r="L13" s="126">
        <f t="shared" si="0"/>
        <v>13</v>
      </c>
      <c r="M13" s="126">
        <f t="shared" si="0"/>
        <v>6</v>
      </c>
      <c r="N13" s="126">
        <f t="shared" si="1"/>
        <v>5</v>
      </c>
      <c r="O13" s="126">
        <f t="shared" si="1"/>
        <v>14</v>
      </c>
      <c r="P13" s="126">
        <f t="shared" si="1"/>
        <v>5</v>
      </c>
      <c r="Q13" s="126">
        <f t="shared" si="1"/>
        <v>5</v>
      </c>
      <c r="R13" s="126">
        <f t="shared" si="1"/>
        <v>39</v>
      </c>
      <c r="S13" s="126">
        <f t="shared" si="1"/>
        <v>10</v>
      </c>
      <c r="T13" s="126">
        <f t="shared" si="1"/>
        <v>30</v>
      </c>
      <c r="U13" s="126">
        <f t="shared" si="1"/>
        <v>36</v>
      </c>
      <c r="V13" s="126">
        <f t="shared" si="1"/>
        <v>10</v>
      </c>
      <c r="W13" s="126">
        <f t="shared" si="1"/>
        <v>49</v>
      </c>
      <c r="X13" s="126">
        <f t="shared" si="1"/>
        <v>14</v>
      </c>
      <c r="Y13" s="126">
        <f t="shared" si="1"/>
        <v>70</v>
      </c>
      <c r="Z13" s="204">
        <f t="shared" si="2"/>
        <v>328</v>
      </c>
      <c r="AA13" s="125" t="str">
        <f t="shared" si="3"/>
        <v>Quintana</v>
      </c>
    </row>
    <row r="14" spans="2:27">
      <c r="B14" s="246" t="s">
        <v>116</v>
      </c>
      <c r="C14" s="240" t="s">
        <v>67</v>
      </c>
      <c r="D14" s="126">
        <f t="shared" ref="D14:M20" si="4">INDEX(scorematrix,MATCH($C14,renners,0),MATCH(D$3,etappes,0))</f>
        <v>0</v>
      </c>
      <c r="E14" s="126">
        <f t="shared" si="4"/>
        <v>0</v>
      </c>
      <c r="F14" s="126">
        <f t="shared" si="4"/>
        <v>0</v>
      </c>
      <c r="G14" s="126">
        <f t="shared" si="4"/>
        <v>0</v>
      </c>
      <c r="H14" s="126">
        <f t="shared" si="4"/>
        <v>39</v>
      </c>
      <c r="I14" s="126">
        <f t="shared" si="4"/>
        <v>27</v>
      </c>
      <c r="J14" s="126">
        <f t="shared" si="4"/>
        <v>0</v>
      </c>
      <c r="K14" s="126">
        <f t="shared" si="4"/>
        <v>3</v>
      </c>
      <c r="L14" s="126">
        <f t="shared" si="4"/>
        <v>3</v>
      </c>
      <c r="M14" s="126">
        <f t="shared" si="4"/>
        <v>29</v>
      </c>
      <c r="N14" s="126">
        <f t="shared" ref="N14:Y20" si="5">INDEX(scorematrix,MATCH($C14,renners,0),MATCH(N$3,etappes,0))</f>
        <v>3</v>
      </c>
      <c r="O14" s="126">
        <f t="shared" si="5"/>
        <v>34</v>
      </c>
      <c r="P14" s="126">
        <f t="shared" si="5"/>
        <v>39</v>
      </c>
      <c r="Q14" s="126">
        <f t="shared" si="5"/>
        <v>4</v>
      </c>
      <c r="R14" s="126">
        <f t="shared" si="5"/>
        <v>4</v>
      </c>
      <c r="S14" s="126">
        <f t="shared" si="5"/>
        <v>4</v>
      </c>
      <c r="T14" s="126">
        <f t="shared" si="5"/>
        <v>4</v>
      </c>
      <c r="U14" s="126">
        <f t="shared" si="5"/>
        <v>4</v>
      </c>
      <c r="V14" s="126">
        <f t="shared" si="5"/>
        <v>4</v>
      </c>
      <c r="W14" s="126">
        <f t="shared" si="5"/>
        <v>4</v>
      </c>
      <c r="X14" s="126">
        <f t="shared" si="5"/>
        <v>30</v>
      </c>
      <c r="Y14" s="126">
        <f t="shared" si="5"/>
        <v>7</v>
      </c>
      <c r="Z14" s="204">
        <f t="shared" si="2"/>
        <v>242</v>
      </c>
      <c r="AA14" s="125" t="str">
        <f t="shared" si="3"/>
        <v>Cavendish</v>
      </c>
    </row>
    <row r="15" spans="2:27">
      <c r="B15" s="246" t="s">
        <v>170</v>
      </c>
      <c r="C15" s="240" t="s">
        <v>166</v>
      </c>
      <c r="D15" s="126">
        <f t="shared" si="4"/>
        <v>0</v>
      </c>
      <c r="E15" s="126">
        <f t="shared" si="4"/>
        <v>0</v>
      </c>
      <c r="F15" s="126">
        <f t="shared" si="4"/>
        <v>0</v>
      </c>
      <c r="G15" s="126">
        <f t="shared" si="4"/>
        <v>0</v>
      </c>
      <c r="H15" s="126">
        <f t="shared" si="4"/>
        <v>14</v>
      </c>
      <c r="I15" s="126">
        <f t="shared" si="4"/>
        <v>0</v>
      </c>
      <c r="J15" s="126">
        <f t="shared" si="4"/>
        <v>30</v>
      </c>
      <c r="K15" s="126">
        <f t="shared" si="4"/>
        <v>0</v>
      </c>
      <c r="L15" s="126">
        <f t="shared" si="4"/>
        <v>0</v>
      </c>
      <c r="M15" s="126">
        <f t="shared" si="4"/>
        <v>0</v>
      </c>
      <c r="N15" s="126">
        <f t="shared" si="5"/>
        <v>0</v>
      </c>
      <c r="O15" s="126">
        <f t="shared" si="5"/>
        <v>0</v>
      </c>
      <c r="P15" s="126">
        <f t="shared" si="5"/>
        <v>6</v>
      </c>
      <c r="Q15" s="126">
        <f t="shared" si="5"/>
        <v>0</v>
      </c>
      <c r="R15" s="126">
        <f t="shared" si="5"/>
        <v>0</v>
      </c>
      <c r="S15" s="126">
        <f t="shared" si="5"/>
        <v>0</v>
      </c>
      <c r="T15" s="126">
        <f t="shared" si="5"/>
        <v>0</v>
      </c>
      <c r="U15" s="126">
        <f t="shared" si="5"/>
        <v>0</v>
      </c>
      <c r="V15" s="126">
        <f t="shared" si="5"/>
        <v>0</v>
      </c>
      <c r="W15" s="126">
        <f t="shared" si="5"/>
        <v>0</v>
      </c>
      <c r="X15" s="126">
        <f t="shared" si="5"/>
        <v>0</v>
      </c>
      <c r="Y15" s="126">
        <f t="shared" si="5"/>
        <v>0</v>
      </c>
      <c r="Z15" s="204">
        <f t="shared" si="2"/>
        <v>50</v>
      </c>
      <c r="AA15" s="125" t="str">
        <f t="shared" si="3"/>
        <v>Degenkolb</v>
      </c>
    </row>
    <row r="16" spans="2:27">
      <c r="B16" s="246" t="s">
        <v>107</v>
      </c>
      <c r="C16" s="240" t="s">
        <v>108</v>
      </c>
      <c r="D16" s="126">
        <f t="shared" si="4"/>
        <v>50</v>
      </c>
      <c r="E16" s="126">
        <f t="shared" si="4"/>
        <v>5</v>
      </c>
      <c r="F16" s="126">
        <f t="shared" si="4"/>
        <v>4</v>
      </c>
      <c r="G16" s="126">
        <f t="shared" si="4"/>
        <v>0</v>
      </c>
      <c r="H16" s="126">
        <f t="shared" si="4"/>
        <v>0</v>
      </c>
      <c r="I16" s="126">
        <f t="shared" si="4"/>
        <v>27</v>
      </c>
      <c r="J16" s="126">
        <f t="shared" si="4"/>
        <v>0</v>
      </c>
      <c r="K16" s="126">
        <f t="shared" si="4"/>
        <v>0</v>
      </c>
      <c r="L16" s="126">
        <f t="shared" si="4"/>
        <v>0</v>
      </c>
      <c r="M16" s="126">
        <f t="shared" si="4"/>
        <v>37</v>
      </c>
      <c r="N16" s="126">
        <f t="shared" si="5"/>
        <v>2</v>
      </c>
      <c r="O16" s="126">
        <f t="shared" si="5"/>
        <v>37</v>
      </c>
      <c r="P16" s="126">
        <f t="shared" si="5"/>
        <v>2</v>
      </c>
      <c r="Q16" s="126">
        <f t="shared" si="5"/>
        <v>2</v>
      </c>
      <c r="R16" s="126">
        <f t="shared" si="5"/>
        <v>2</v>
      </c>
      <c r="S16" s="126">
        <f t="shared" si="5"/>
        <v>2</v>
      </c>
      <c r="T16" s="126">
        <f t="shared" si="5"/>
        <v>2</v>
      </c>
      <c r="U16" s="126">
        <f t="shared" si="5"/>
        <v>2</v>
      </c>
      <c r="V16" s="126">
        <f t="shared" si="5"/>
        <v>2</v>
      </c>
      <c r="W16" s="126">
        <f t="shared" si="5"/>
        <v>2</v>
      </c>
      <c r="X16" s="126">
        <f t="shared" si="5"/>
        <v>37</v>
      </c>
      <c r="Y16" s="126">
        <f t="shared" si="5"/>
        <v>3</v>
      </c>
      <c r="Z16" s="204">
        <f t="shared" si="2"/>
        <v>218</v>
      </c>
      <c r="AA16" s="125" t="str">
        <f t="shared" si="3"/>
        <v>Kittel</v>
      </c>
    </row>
    <row r="17" spans="2:27">
      <c r="B17" s="274" t="s">
        <v>129</v>
      </c>
      <c r="C17" s="240" t="s">
        <v>76</v>
      </c>
      <c r="D17" s="126">
        <f t="shared" si="4"/>
        <v>0</v>
      </c>
      <c r="E17" s="126">
        <f t="shared" si="4"/>
        <v>0</v>
      </c>
      <c r="F17" s="126">
        <f t="shared" si="4"/>
        <v>0</v>
      </c>
      <c r="G17" s="126">
        <f t="shared" si="4"/>
        <v>0</v>
      </c>
      <c r="H17" s="126">
        <f t="shared" si="4"/>
        <v>0</v>
      </c>
      <c r="I17" s="126">
        <f t="shared" si="4"/>
        <v>0</v>
      </c>
      <c r="J17" s="126">
        <f t="shared" si="4"/>
        <v>0</v>
      </c>
      <c r="K17" s="126">
        <f t="shared" si="4"/>
        <v>0</v>
      </c>
      <c r="L17" s="126">
        <f t="shared" si="4"/>
        <v>0</v>
      </c>
      <c r="M17" s="126">
        <f t="shared" si="4"/>
        <v>0</v>
      </c>
      <c r="N17" s="126">
        <f t="shared" si="5"/>
        <v>0</v>
      </c>
      <c r="O17" s="126">
        <f t="shared" si="5"/>
        <v>0</v>
      </c>
      <c r="P17" s="126">
        <f t="shared" si="5"/>
        <v>0</v>
      </c>
      <c r="Q17" s="126">
        <f t="shared" si="5"/>
        <v>0</v>
      </c>
      <c r="R17" s="126">
        <f t="shared" si="5"/>
        <v>0</v>
      </c>
      <c r="S17" s="126">
        <f t="shared" si="5"/>
        <v>7</v>
      </c>
      <c r="T17" s="126">
        <f t="shared" si="5"/>
        <v>0</v>
      </c>
      <c r="U17" s="126">
        <f t="shared" si="5"/>
        <v>0</v>
      </c>
      <c r="V17" s="126">
        <f t="shared" si="5"/>
        <v>0</v>
      </c>
      <c r="W17" s="126">
        <f t="shared" si="5"/>
        <v>0</v>
      </c>
      <c r="X17" s="126">
        <f t="shared" si="5"/>
        <v>0</v>
      </c>
      <c r="Y17" s="126">
        <f t="shared" si="5"/>
        <v>0</v>
      </c>
      <c r="Z17" s="204">
        <f t="shared" si="2"/>
        <v>7</v>
      </c>
      <c r="AA17" s="125" t="str">
        <f t="shared" si="3"/>
        <v>Voeckler</v>
      </c>
    </row>
    <row r="18" spans="2:27">
      <c r="B18" s="246" t="s">
        <v>156</v>
      </c>
      <c r="C18" s="240" t="s">
        <v>161</v>
      </c>
      <c r="D18" s="126">
        <f t="shared" si="4"/>
        <v>0</v>
      </c>
      <c r="E18" s="126">
        <f t="shared" si="4"/>
        <v>0</v>
      </c>
      <c r="F18" s="126">
        <f t="shared" si="4"/>
        <v>0</v>
      </c>
      <c r="G18" s="126">
        <f t="shared" si="4"/>
        <v>0</v>
      </c>
      <c r="H18" s="126">
        <f t="shared" si="4"/>
        <v>0</v>
      </c>
      <c r="I18" s="126">
        <f t="shared" si="4"/>
        <v>0</v>
      </c>
      <c r="J18" s="126">
        <f t="shared" si="4"/>
        <v>0</v>
      </c>
      <c r="K18" s="126">
        <f t="shared" si="4"/>
        <v>0</v>
      </c>
      <c r="L18" s="126">
        <f t="shared" si="4"/>
        <v>0</v>
      </c>
      <c r="M18" s="126">
        <f t="shared" si="4"/>
        <v>0</v>
      </c>
      <c r="N18" s="126">
        <f t="shared" si="5"/>
        <v>0</v>
      </c>
      <c r="O18" s="126">
        <f t="shared" si="5"/>
        <v>0</v>
      </c>
      <c r="P18" s="126">
        <f t="shared" si="5"/>
        <v>0</v>
      </c>
      <c r="Q18" s="126">
        <f t="shared" si="5"/>
        <v>10</v>
      </c>
      <c r="R18" s="126">
        <f t="shared" si="5"/>
        <v>0</v>
      </c>
      <c r="S18" s="126">
        <f t="shared" si="5"/>
        <v>0</v>
      </c>
      <c r="T18" s="126">
        <f t="shared" si="5"/>
        <v>16</v>
      </c>
      <c r="U18" s="126">
        <f t="shared" si="5"/>
        <v>31</v>
      </c>
      <c r="V18" s="126">
        <f t="shared" si="5"/>
        <v>0</v>
      </c>
      <c r="W18" s="126">
        <f t="shared" si="5"/>
        <v>0</v>
      </c>
      <c r="X18" s="126">
        <f t="shared" si="5"/>
        <v>0</v>
      </c>
      <c r="Y18" s="126">
        <f t="shared" si="5"/>
        <v>0</v>
      </c>
      <c r="Z18" s="204">
        <f t="shared" si="2"/>
        <v>57</v>
      </c>
      <c r="AA18" s="125" t="str">
        <f t="shared" si="3"/>
        <v>van Garderen</v>
      </c>
    </row>
    <row r="19" spans="2:27">
      <c r="B19" s="246" t="s">
        <v>110</v>
      </c>
      <c r="C19" s="240" t="s">
        <v>86</v>
      </c>
      <c r="D19" s="126">
        <f t="shared" si="4"/>
        <v>0</v>
      </c>
      <c r="E19" s="126">
        <f t="shared" si="4"/>
        <v>0</v>
      </c>
      <c r="F19" s="126">
        <f t="shared" si="4"/>
        <v>0</v>
      </c>
      <c r="G19" s="126">
        <f t="shared" si="4"/>
        <v>0</v>
      </c>
      <c r="H19" s="126">
        <f t="shared" si="4"/>
        <v>0</v>
      </c>
      <c r="I19" s="126">
        <f t="shared" si="4"/>
        <v>11</v>
      </c>
      <c r="J19" s="126">
        <f t="shared" si="4"/>
        <v>0</v>
      </c>
      <c r="K19" s="126">
        <f t="shared" si="4"/>
        <v>0</v>
      </c>
      <c r="L19" s="126">
        <f t="shared" si="4"/>
        <v>0</v>
      </c>
      <c r="M19" s="126">
        <f t="shared" si="4"/>
        <v>15</v>
      </c>
      <c r="N19" s="126">
        <f t="shared" si="5"/>
        <v>0</v>
      </c>
      <c r="O19" s="126">
        <f t="shared" si="5"/>
        <v>0</v>
      </c>
      <c r="P19" s="126">
        <f t="shared" si="5"/>
        <v>0</v>
      </c>
      <c r="Q19" s="126">
        <f t="shared" si="5"/>
        <v>0</v>
      </c>
      <c r="R19" s="126">
        <f t="shared" si="5"/>
        <v>0</v>
      </c>
      <c r="S19" s="126">
        <f t="shared" si="5"/>
        <v>0</v>
      </c>
      <c r="T19" s="126">
        <f t="shared" si="5"/>
        <v>0</v>
      </c>
      <c r="U19" s="126">
        <f t="shared" si="5"/>
        <v>0</v>
      </c>
      <c r="V19" s="126">
        <f t="shared" si="5"/>
        <v>0</v>
      </c>
      <c r="W19" s="126">
        <f t="shared" si="5"/>
        <v>0</v>
      </c>
      <c r="X19" s="126">
        <f t="shared" si="5"/>
        <v>14</v>
      </c>
      <c r="Y19" s="126">
        <f t="shared" si="5"/>
        <v>0</v>
      </c>
      <c r="Z19" s="204">
        <f t="shared" si="2"/>
        <v>40</v>
      </c>
      <c r="AA19" s="125" t="str">
        <f>C19</f>
        <v>Goss</v>
      </c>
    </row>
    <row r="20" spans="2:27" s="182" customFormat="1" ht="13.5" thickBot="1">
      <c r="B20" s="246" t="s">
        <v>220</v>
      </c>
      <c r="C20" s="240" t="s">
        <v>148</v>
      </c>
      <c r="D20" s="126">
        <f t="shared" si="4"/>
        <v>0</v>
      </c>
      <c r="E20" s="126">
        <f t="shared" si="4"/>
        <v>0</v>
      </c>
      <c r="F20" s="126">
        <f t="shared" si="4"/>
        <v>0</v>
      </c>
      <c r="G20" s="126">
        <f t="shared" si="4"/>
        <v>0</v>
      </c>
      <c r="H20" s="126">
        <f t="shared" si="4"/>
        <v>0</v>
      </c>
      <c r="I20" s="126">
        <f t="shared" si="4"/>
        <v>0</v>
      </c>
      <c r="J20" s="126">
        <f t="shared" si="4"/>
        <v>0</v>
      </c>
      <c r="K20" s="126">
        <f t="shared" si="4"/>
        <v>0</v>
      </c>
      <c r="L20" s="126">
        <f t="shared" si="4"/>
        <v>0</v>
      </c>
      <c r="M20" s="126">
        <f t="shared" si="4"/>
        <v>0</v>
      </c>
      <c r="N20" s="126">
        <f t="shared" si="5"/>
        <v>0</v>
      </c>
      <c r="O20" s="126">
        <f t="shared" si="5"/>
        <v>0</v>
      </c>
      <c r="P20" s="126">
        <f t="shared" si="5"/>
        <v>0</v>
      </c>
      <c r="Q20" s="126">
        <f t="shared" si="5"/>
        <v>0</v>
      </c>
      <c r="R20" s="126">
        <f t="shared" si="5"/>
        <v>0</v>
      </c>
      <c r="S20" s="126">
        <f t="shared" si="5"/>
        <v>0</v>
      </c>
      <c r="T20" s="126">
        <f t="shared" si="5"/>
        <v>0</v>
      </c>
      <c r="U20" s="126">
        <f t="shared" si="5"/>
        <v>0</v>
      </c>
      <c r="V20" s="126">
        <f t="shared" si="5"/>
        <v>0</v>
      </c>
      <c r="W20" s="126">
        <f t="shared" si="5"/>
        <v>0</v>
      </c>
      <c r="X20" s="126">
        <f t="shared" si="5"/>
        <v>0</v>
      </c>
      <c r="Y20" s="126">
        <f t="shared" si="5"/>
        <v>0</v>
      </c>
      <c r="Z20" s="204">
        <f t="shared" si="2"/>
        <v>0</v>
      </c>
      <c r="AA20" s="125" t="str">
        <f>C20</f>
        <v>Pinot</v>
      </c>
    </row>
    <row r="21" spans="2:27" s="183" customFormat="1">
      <c r="B21" s="247"/>
      <c r="C21" s="241"/>
      <c r="D21" s="196"/>
      <c r="E21" s="196"/>
      <c r="F21" s="196"/>
      <c r="G21" s="196"/>
      <c r="H21" s="196"/>
      <c r="I21" s="196"/>
      <c r="J21" s="196"/>
      <c r="K21" s="196"/>
      <c r="L21" s="196">
        <f>L25</f>
        <v>5</v>
      </c>
      <c r="M21" s="196"/>
      <c r="N21" s="196">
        <f>N26</f>
        <v>35</v>
      </c>
      <c r="O21" s="196"/>
      <c r="P21" s="196"/>
      <c r="Q21" s="196"/>
      <c r="R21" s="196"/>
      <c r="S21" s="196"/>
      <c r="T21" s="196"/>
      <c r="U21" s="196"/>
      <c r="V21" s="196"/>
      <c r="W21" s="196"/>
      <c r="X21" s="196"/>
      <c r="Y21" s="196"/>
      <c r="Z21" s="285"/>
    </row>
    <row r="22" spans="2:27" s="129" customFormat="1">
      <c r="B22" s="248"/>
      <c r="C22" s="242"/>
      <c r="D22" s="184">
        <f t="shared" ref="D22:Y22" si="6">SUM(D4:D21)</f>
        <v>50</v>
      </c>
      <c r="E22" s="184">
        <f t="shared" ref="E22" si="7">SUM(E4:E21)</f>
        <v>68</v>
      </c>
      <c r="F22" s="184">
        <f>SUM(F4:F21)</f>
        <v>75</v>
      </c>
      <c r="G22" s="184">
        <f t="shared" si="6"/>
        <v>0.1</v>
      </c>
      <c r="H22" s="184">
        <f t="shared" si="6"/>
        <v>153</v>
      </c>
      <c r="I22" s="184">
        <f t="shared" si="6"/>
        <v>193</v>
      </c>
      <c r="J22" s="184">
        <f t="shared" si="6"/>
        <v>108</v>
      </c>
      <c r="K22" s="184">
        <f t="shared" si="6"/>
        <v>200</v>
      </c>
      <c r="L22" s="184">
        <f t="shared" si="6"/>
        <v>145</v>
      </c>
      <c r="M22" s="184">
        <f t="shared" si="6"/>
        <v>183</v>
      </c>
      <c r="N22" s="184">
        <f t="shared" si="6"/>
        <v>174</v>
      </c>
      <c r="O22" s="184">
        <f t="shared" si="6"/>
        <v>178</v>
      </c>
      <c r="P22" s="184">
        <f t="shared" si="6"/>
        <v>146</v>
      </c>
      <c r="Q22" s="184">
        <f t="shared" si="6"/>
        <v>55</v>
      </c>
      <c r="R22" s="184">
        <f t="shared" si="6"/>
        <v>182</v>
      </c>
      <c r="S22" s="184">
        <f t="shared" si="6"/>
        <v>58</v>
      </c>
      <c r="T22" s="184">
        <f t="shared" si="6"/>
        <v>203</v>
      </c>
      <c r="U22" s="184">
        <f t="shared" si="6"/>
        <v>205</v>
      </c>
      <c r="V22" s="184">
        <f t="shared" si="6"/>
        <v>64</v>
      </c>
      <c r="W22" s="184">
        <f t="shared" si="6"/>
        <v>218</v>
      </c>
      <c r="X22" s="184">
        <f t="shared" si="6"/>
        <v>191</v>
      </c>
      <c r="Y22" s="184">
        <f t="shared" si="6"/>
        <v>325</v>
      </c>
      <c r="Z22" s="282">
        <f>SUM(Z4:Z21)</f>
        <v>3134.1</v>
      </c>
    </row>
    <row r="23" spans="2:27" s="185" customFormat="1">
      <c r="B23" s="249"/>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row>
    <row r="24" spans="2:27" s="188" customFormat="1">
      <c r="B24" s="246" t="s">
        <v>121</v>
      </c>
      <c r="C24" s="244" t="s">
        <v>134</v>
      </c>
      <c r="D24" s="211">
        <f t="shared" ref="D24:Y26" si="8">INDEX(scorematrix,MATCH($C24,renners,0),MATCH(D$3,etappes,0))</f>
        <v>0</v>
      </c>
      <c r="E24" s="211">
        <f t="shared" si="8"/>
        <v>0</v>
      </c>
      <c r="F24" s="211">
        <f t="shared" si="8"/>
        <v>0</v>
      </c>
      <c r="G24" s="211">
        <f t="shared" si="8"/>
        <v>0</v>
      </c>
      <c r="H24" s="211">
        <f t="shared" si="8"/>
        <v>0</v>
      </c>
      <c r="I24" s="211">
        <f t="shared" si="8"/>
        <v>0</v>
      </c>
      <c r="J24" s="211">
        <f t="shared" si="8"/>
        <v>0</v>
      </c>
      <c r="K24" s="211">
        <f t="shared" si="8"/>
        <v>0</v>
      </c>
      <c r="L24" s="211">
        <f t="shared" si="8"/>
        <v>0</v>
      </c>
      <c r="M24" s="211">
        <f t="shared" si="8"/>
        <v>0</v>
      </c>
      <c r="N24" s="211">
        <f t="shared" si="8"/>
        <v>0</v>
      </c>
      <c r="O24" s="211">
        <f t="shared" si="8"/>
        <v>0</v>
      </c>
      <c r="P24" s="211">
        <f t="shared" si="8"/>
        <v>0</v>
      </c>
      <c r="Q24" s="211">
        <f t="shared" si="8"/>
        <v>0</v>
      </c>
      <c r="R24" s="211">
        <f t="shared" si="8"/>
        <v>0</v>
      </c>
      <c r="S24" s="211">
        <f t="shared" si="8"/>
        <v>0</v>
      </c>
      <c r="T24" s="211">
        <f t="shared" si="8"/>
        <v>0</v>
      </c>
      <c r="U24" s="211">
        <f t="shared" si="8"/>
        <v>0</v>
      </c>
      <c r="V24" s="211">
        <f t="shared" si="8"/>
        <v>0</v>
      </c>
      <c r="W24" s="211">
        <f t="shared" si="8"/>
        <v>0</v>
      </c>
      <c r="X24" s="211">
        <f t="shared" si="8"/>
        <v>0</v>
      </c>
      <c r="Y24" s="211">
        <f t="shared" si="8"/>
        <v>0</v>
      </c>
      <c r="Z24" s="284">
        <f>SUM(D24:Y24)</f>
        <v>0</v>
      </c>
    </row>
    <row r="25" spans="2:27" s="188" customFormat="1">
      <c r="B25" s="246" t="s">
        <v>131</v>
      </c>
      <c r="C25" s="244" t="s">
        <v>132</v>
      </c>
      <c r="D25" s="211">
        <f t="shared" si="8"/>
        <v>0</v>
      </c>
      <c r="E25" s="211">
        <f t="shared" si="8"/>
        <v>5</v>
      </c>
      <c r="F25" s="211">
        <f t="shared" si="8"/>
        <v>5</v>
      </c>
      <c r="G25" s="211">
        <f t="shared" si="8"/>
        <v>0</v>
      </c>
      <c r="H25" s="211">
        <f t="shared" si="8"/>
        <v>5</v>
      </c>
      <c r="I25" s="211">
        <f t="shared" si="8"/>
        <v>5</v>
      </c>
      <c r="J25" s="211">
        <f t="shared" si="8"/>
        <v>4</v>
      </c>
      <c r="K25" s="211">
        <f t="shared" si="8"/>
        <v>4</v>
      </c>
      <c r="L25" s="280">
        <f t="shared" si="8"/>
        <v>5</v>
      </c>
      <c r="M25" s="211">
        <f t="shared" si="8"/>
        <v>5</v>
      </c>
      <c r="N25" s="211">
        <f t="shared" si="8"/>
        <v>5</v>
      </c>
      <c r="O25" s="211">
        <f t="shared" si="8"/>
        <v>5</v>
      </c>
      <c r="P25" s="211">
        <f t="shared" si="8"/>
        <v>5</v>
      </c>
      <c r="Q25" s="211">
        <f t="shared" si="8"/>
        <v>5</v>
      </c>
      <c r="R25" s="211">
        <f t="shared" si="8"/>
        <v>2</v>
      </c>
      <c r="S25" s="211">
        <f t="shared" si="8"/>
        <v>2</v>
      </c>
      <c r="T25" s="211">
        <f t="shared" si="8"/>
        <v>2</v>
      </c>
      <c r="U25" s="211">
        <f t="shared" si="8"/>
        <v>2</v>
      </c>
      <c r="V25" s="211">
        <f t="shared" si="8"/>
        <v>14</v>
      </c>
      <c r="W25" s="211">
        <f t="shared" si="8"/>
        <v>3</v>
      </c>
      <c r="X25" s="211">
        <f t="shared" si="8"/>
        <v>3</v>
      </c>
      <c r="Y25" s="211">
        <f t="shared" si="8"/>
        <v>5</v>
      </c>
      <c r="Z25" s="284">
        <f>SUM(D25:Y25)</f>
        <v>91</v>
      </c>
    </row>
    <row r="26" spans="2:27" s="188" customFormat="1">
      <c r="B26" s="246" t="s">
        <v>113</v>
      </c>
      <c r="C26" s="244" t="s">
        <v>70</v>
      </c>
      <c r="D26" s="211">
        <f t="shared" si="8"/>
        <v>0</v>
      </c>
      <c r="E26" s="211">
        <f t="shared" si="8"/>
        <v>0</v>
      </c>
      <c r="F26" s="211">
        <f t="shared" si="8"/>
        <v>0</v>
      </c>
      <c r="G26" s="211">
        <f t="shared" si="8"/>
        <v>0</v>
      </c>
      <c r="H26" s="211">
        <f t="shared" si="8"/>
        <v>0</v>
      </c>
      <c r="I26" s="211">
        <f t="shared" si="8"/>
        <v>0</v>
      </c>
      <c r="J26" s="211">
        <f t="shared" si="8"/>
        <v>0</v>
      </c>
      <c r="K26" s="211">
        <f t="shared" si="8"/>
        <v>0</v>
      </c>
      <c r="L26" s="211">
        <f t="shared" si="8"/>
        <v>0</v>
      </c>
      <c r="M26" s="211">
        <f t="shared" si="8"/>
        <v>0</v>
      </c>
      <c r="N26" s="280">
        <f t="shared" si="8"/>
        <v>35</v>
      </c>
      <c r="O26" s="211">
        <f t="shared" si="8"/>
        <v>0</v>
      </c>
      <c r="P26" s="211">
        <f t="shared" si="8"/>
        <v>0</v>
      </c>
      <c r="Q26" s="211">
        <f t="shared" si="8"/>
        <v>0</v>
      </c>
      <c r="R26" s="211">
        <f t="shared" si="8"/>
        <v>0</v>
      </c>
      <c r="S26" s="211">
        <f t="shared" si="8"/>
        <v>0</v>
      </c>
      <c r="T26" s="211">
        <f t="shared" si="8"/>
        <v>0</v>
      </c>
      <c r="U26" s="211">
        <f t="shared" si="8"/>
        <v>0</v>
      </c>
      <c r="V26" s="211">
        <f t="shared" si="8"/>
        <v>0</v>
      </c>
      <c r="W26" s="211">
        <f t="shared" si="8"/>
        <v>0</v>
      </c>
      <c r="X26" s="211">
        <f t="shared" si="8"/>
        <v>0</v>
      </c>
      <c r="Y26" s="211">
        <f t="shared" si="8"/>
        <v>0</v>
      </c>
      <c r="Z26" s="284">
        <f>SUM(D26:Y26)</f>
        <v>35</v>
      </c>
    </row>
  </sheetData>
  <sheetProtection selectLockedCells="1"/>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indexed="12"/>
  </sheetPr>
  <dimension ref="B1:AE56"/>
  <sheetViews>
    <sheetView showZeros="0" workbookViewId="0">
      <selection activeCell="X22" sqref="X22"/>
    </sheetView>
  </sheetViews>
  <sheetFormatPr defaultRowHeight="12.75"/>
  <cols>
    <col min="1" max="1" width="2.7109375" style="125" customWidth="1"/>
    <col min="2" max="2" width="8.85546875" style="125" customWidth="1"/>
    <col min="3" max="3" width="13" style="198" customWidth="1"/>
    <col min="4" max="6" width="5" style="126" customWidth="1"/>
    <col min="7" max="7" width="5" style="158" customWidth="1"/>
    <col min="8" max="15" width="5" style="146" customWidth="1"/>
    <col min="16" max="16" width="5" style="144" customWidth="1"/>
    <col min="17" max="25" width="5" style="125" customWidth="1"/>
    <col min="26" max="26" width="5" style="129" customWidth="1"/>
    <col min="27" max="27" width="15" style="125" customWidth="1"/>
    <col min="28" max="16384" width="9.140625" style="125"/>
  </cols>
  <sheetData>
    <row r="1" spans="2:27">
      <c r="B1" s="243"/>
      <c r="C1" s="236" t="s">
        <v>192</v>
      </c>
    </row>
    <row r="2" spans="2:27">
      <c r="B2" s="243"/>
      <c r="C2" s="237"/>
      <c r="G2" s="146"/>
    </row>
    <row r="3" spans="2:27" s="144" customFormat="1" ht="13.5" thickBot="1">
      <c r="B3" s="245"/>
      <c r="C3" s="250" t="s">
        <v>193</v>
      </c>
      <c r="D3" s="128">
        <v>1</v>
      </c>
      <c r="E3" s="128">
        <v>2</v>
      </c>
      <c r="F3" s="128">
        <v>3</v>
      </c>
      <c r="G3" s="128">
        <v>4</v>
      </c>
      <c r="H3" s="128">
        <v>5</v>
      </c>
      <c r="I3" s="128">
        <v>6</v>
      </c>
      <c r="J3" s="128">
        <v>7</v>
      </c>
      <c r="K3" s="128">
        <v>8</v>
      </c>
      <c r="L3" s="128">
        <v>9</v>
      </c>
      <c r="M3" s="128">
        <v>10</v>
      </c>
      <c r="N3" s="128">
        <v>11</v>
      </c>
      <c r="O3" s="128">
        <v>12</v>
      </c>
      <c r="P3" s="128">
        <v>13</v>
      </c>
      <c r="Q3" s="128">
        <v>14</v>
      </c>
      <c r="R3" s="128">
        <v>15</v>
      </c>
      <c r="S3" s="128">
        <v>16</v>
      </c>
      <c r="T3" s="128">
        <v>17</v>
      </c>
      <c r="U3" s="128">
        <v>18</v>
      </c>
      <c r="V3" s="128">
        <v>19</v>
      </c>
      <c r="W3" s="128">
        <v>20</v>
      </c>
      <c r="X3" s="128">
        <v>21</v>
      </c>
      <c r="Y3" s="128" t="s">
        <v>1</v>
      </c>
      <c r="Z3" s="164"/>
    </row>
    <row r="4" spans="2:27">
      <c r="B4" s="239" t="s">
        <v>156</v>
      </c>
      <c r="C4" s="239" t="s">
        <v>157</v>
      </c>
      <c r="D4" s="126">
        <f t="shared" ref="D4:M13" si="0">INDEX(scorematrix,MATCH($C4,renners,0),MATCH(D$3,etappes,0))</f>
        <v>0</v>
      </c>
      <c r="E4" s="126">
        <f t="shared" si="0"/>
        <v>0</v>
      </c>
      <c r="F4" s="126">
        <f t="shared" si="0"/>
        <v>0</v>
      </c>
      <c r="G4" s="126">
        <f t="shared" si="0"/>
        <v>0</v>
      </c>
      <c r="H4" s="126">
        <f t="shared" si="0"/>
        <v>0</v>
      </c>
      <c r="I4" s="126">
        <f t="shared" si="0"/>
        <v>0</v>
      </c>
      <c r="J4" s="126">
        <f t="shared" si="0"/>
        <v>0</v>
      </c>
      <c r="K4" s="126">
        <f t="shared" si="0"/>
        <v>0</v>
      </c>
      <c r="L4" s="126">
        <f t="shared" si="0"/>
        <v>0</v>
      </c>
      <c r="M4" s="126">
        <f t="shared" si="0"/>
        <v>0</v>
      </c>
      <c r="N4" s="126">
        <f t="shared" ref="N4:Y13" si="1">INDEX(scorematrix,MATCH($C4,renners,0),MATCH(N$3,etappes,0))</f>
        <v>0</v>
      </c>
      <c r="O4" s="126">
        <f t="shared" si="1"/>
        <v>0</v>
      </c>
      <c r="P4" s="126">
        <f t="shared" si="1"/>
        <v>0</v>
      </c>
      <c r="Q4" s="126">
        <f t="shared" si="1"/>
        <v>10</v>
      </c>
      <c r="R4" s="126">
        <f t="shared" si="1"/>
        <v>0</v>
      </c>
      <c r="S4" s="126">
        <f t="shared" si="1"/>
        <v>0</v>
      </c>
      <c r="T4" s="126">
        <f t="shared" si="1"/>
        <v>16</v>
      </c>
      <c r="U4" s="126">
        <f t="shared" si="1"/>
        <v>31</v>
      </c>
      <c r="V4" s="126">
        <f t="shared" si="1"/>
        <v>0</v>
      </c>
      <c r="W4" s="126">
        <f t="shared" si="1"/>
        <v>0</v>
      </c>
      <c r="X4" s="126">
        <f t="shared" si="1"/>
        <v>0</v>
      </c>
      <c r="Y4" s="126">
        <f t="shared" si="1"/>
        <v>0</v>
      </c>
      <c r="Z4" s="204">
        <f t="shared" ref="Z4:Z21" si="2">SUM(D4:Y4)</f>
        <v>57</v>
      </c>
      <c r="AA4" s="125" t="str">
        <f t="shared" ref="AA4:AA18" si="3">C4</f>
        <v>Van Garderen</v>
      </c>
    </row>
    <row r="5" spans="2:27">
      <c r="B5" s="240" t="s">
        <v>177</v>
      </c>
      <c r="C5" s="240" t="s">
        <v>175</v>
      </c>
      <c r="D5" s="126">
        <f t="shared" si="0"/>
        <v>43</v>
      </c>
      <c r="E5" s="126">
        <f t="shared" si="0"/>
        <v>3</v>
      </c>
      <c r="F5" s="126">
        <f t="shared" si="0"/>
        <v>3</v>
      </c>
      <c r="G5" s="126">
        <f t="shared" si="0"/>
        <v>0</v>
      </c>
      <c r="H5" s="126">
        <f t="shared" si="0"/>
        <v>23</v>
      </c>
      <c r="I5" s="126">
        <f t="shared" si="0"/>
        <v>22</v>
      </c>
      <c r="J5" s="126">
        <f t="shared" si="0"/>
        <v>0</v>
      </c>
      <c r="K5" s="126">
        <f t="shared" si="0"/>
        <v>2</v>
      </c>
      <c r="L5" s="126">
        <f t="shared" si="0"/>
        <v>2</v>
      </c>
      <c r="M5" s="126">
        <f t="shared" si="0"/>
        <v>21</v>
      </c>
      <c r="N5" s="126">
        <f t="shared" si="1"/>
        <v>1</v>
      </c>
      <c r="O5" s="126">
        <f t="shared" si="1"/>
        <v>25</v>
      </c>
      <c r="P5" s="126">
        <f t="shared" si="1"/>
        <v>1</v>
      </c>
      <c r="Q5" s="126">
        <f t="shared" si="1"/>
        <v>1</v>
      </c>
      <c r="R5" s="126">
        <f t="shared" si="1"/>
        <v>1</v>
      </c>
      <c r="S5" s="126">
        <f t="shared" si="1"/>
        <v>1</v>
      </c>
      <c r="T5" s="126">
        <f t="shared" si="1"/>
        <v>1</v>
      </c>
      <c r="U5" s="126">
        <f t="shared" si="1"/>
        <v>1</v>
      </c>
      <c r="V5" s="126">
        <f t="shared" si="1"/>
        <v>1</v>
      </c>
      <c r="W5" s="126">
        <f t="shared" si="1"/>
        <v>1</v>
      </c>
      <c r="X5" s="126">
        <f t="shared" si="1"/>
        <v>21</v>
      </c>
      <c r="Y5" s="126">
        <f t="shared" si="1"/>
        <v>1</v>
      </c>
      <c r="Z5" s="204">
        <f t="shared" si="2"/>
        <v>175</v>
      </c>
      <c r="AA5" s="125" t="str">
        <f t="shared" si="3"/>
        <v>Kristoff</v>
      </c>
    </row>
    <row r="6" spans="2:27">
      <c r="B6" s="240" t="s">
        <v>151</v>
      </c>
      <c r="C6" s="240" t="s">
        <v>159</v>
      </c>
      <c r="D6" s="126">
        <f t="shared" si="0"/>
        <v>0</v>
      </c>
      <c r="E6" s="126">
        <f t="shared" si="0"/>
        <v>0</v>
      </c>
      <c r="F6" s="126">
        <f t="shared" si="0"/>
        <v>0</v>
      </c>
      <c r="G6" s="126">
        <f t="shared" si="0"/>
        <v>0</v>
      </c>
      <c r="H6" s="126">
        <f t="shared" si="0"/>
        <v>0</v>
      </c>
      <c r="I6" s="126">
        <f t="shared" si="0"/>
        <v>0</v>
      </c>
      <c r="J6" s="126">
        <f t="shared" si="0"/>
        <v>0</v>
      </c>
      <c r="K6" s="126">
        <f t="shared" si="0"/>
        <v>17</v>
      </c>
      <c r="L6" s="126">
        <f t="shared" si="0"/>
        <v>24</v>
      </c>
      <c r="M6" s="126">
        <f t="shared" si="0"/>
        <v>2</v>
      </c>
      <c r="N6" s="126">
        <f t="shared" si="1"/>
        <v>0</v>
      </c>
      <c r="O6" s="126">
        <f t="shared" si="1"/>
        <v>0</v>
      </c>
      <c r="P6" s="126">
        <f t="shared" si="1"/>
        <v>1</v>
      </c>
      <c r="Q6" s="126">
        <f t="shared" si="1"/>
        <v>1</v>
      </c>
      <c r="R6" s="126">
        <f t="shared" si="1"/>
        <v>27</v>
      </c>
      <c r="S6" s="126">
        <f t="shared" si="1"/>
        <v>4</v>
      </c>
      <c r="T6" s="126">
        <f t="shared" si="1"/>
        <v>32</v>
      </c>
      <c r="U6" s="126">
        <f t="shared" si="1"/>
        <v>28</v>
      </c>
      <c r="V6" s="126">
        <f t="shared" si="1"/>
        <v>6</v>
      </c>
      <c r="W6" s="126">
        <f t="shared" si="1"/>
        <v>40</v>
      </c>
      <c r="X6" s="126">
        <f t="shared" si="1"/>
        <v>10</v>
      </c>
      <c r="Y6" s="126">
        <f t="shared" si="1"/>
        <v>55</v>
      </c>
      <c r="Z6" s="204">
        <f t="shared" si="2"/>
        <v>247</v>
      </c>
      <c r="AA6" s="125" t="str">
        <f t="shared" si="3"/>
        <v>Rodriguez</v>
      </c>
    </row>
    <row r="7" spans="2:27" ht="13.15" customHeight="1">
      <c r="B7" s="240" t="s">
        <v>188</v>
      </c>
      <c r="C7" s="240" t="s">
        <v>160</v>
      </c>
      <c r="D7" s="126">
        <f t="shared" si="0"/>
        <v>0</v>
      </c>
      <c r="E7" s="126">
        <f t="shared" si="0"/>
        <v>0</v>
      </c>
      <c r="F7" s="126">
        <f t="shared" si="0"/>
        <v>0</v>
      </c>
      <c r="G7" s="126">
        <f t="shared" si="0"/>
        <v>0</v>
      </c>
      <c r="H7" s="126">
        <f t="shared" si="0"/>
        <v>0</v>
      </c>
      <c r="I7" s="126">
        <f t="shared" si="0"/>
        <v>0</v>
      </c>
      <c r="J7" s="126">
        <f t="shared" si="0"/>
        <v>0</v>
      </c>
      <c r="K7" s="126">
        <f t="shared" si="0"/>
        <v>22</v>
      </c>
      <c r="L7" s="126">
        <f t="shared" si="0"/>
        <v>13</v>
      </c>
      <c r="M7" s="126">
        <f t="shared" si="0"/>
        <v>6</v>
      </c>
      <c r="N7" s="126">
        <f t="shared" si="1"/>
        <v>5</v>
      </c>
      <c r="O7" s="126">
        <f t="shared" si="1"/>
        <v>14</v>
      </c>
      <c r="P7" s="126">
        <f t="shared" si="1"/>
        <v>5</v>
      </c>
      <c r="Q7" s="126">
        <f t="shared" si="1"/>
        <v>5</v>
      </c>
      <c r="R7" s="126">
        <f t="shared" si="1"/>
        <v>39</v>
      </c>
      <c r="S7" s="126">
        <f t="shared" si="1"/>
        <v>10</v>
      </c>
      <c r="T7" s="126">
        <f t="shared" si="1"/>
        <v>30</v>
      </c>
      <c r="U7" s="126">
        <f t="shared" si="1"/>
        <v>36</v>
      </c>
      <c r="V7" s="126">
        <f t="shared" si="1"/>
        <v>10</v>
      </c>
      <c r="W7" s="126">
        <f t="shared" si="1"/>
        <v>49</v>
      </c>
      <c r="X7" s="126">
        <f t="shared" si="1"/>
        <v>14</v>
      </c>
      <c r="Y7" s="126">
        <f t="shared" si="1"/>
        <v>70</v>
      </c>
      <c r="Z7" s="204">
        <f t="shared" si="2"/>
        <v>328</v>
      </c>
      <c r="AA7" s="125" t="str">
        <f t="shared" si="3"/>
        <v>Quintana</v>
      </c>
    </row>
    <row r="8" spans="2:27">
      <c r="B8" s="240" t="s">
        <v>194</v>
      </c>
      <c r="C8" s="240" t="s">
        <v>74</v>
      </c>
      <c r="D8" s="126">
        <f t="shared" si="0"/>
        <v>19</v>
      </c>
      <c r="E8" s="126">
        <f t="shared" si="0"/>
        <v>0</v>
      </c>
      <c r="F8" s="126">
        <f t="shared" si="0"/>
        <v>26</v>
      </c>
      <c r="G8" s="126">
        <f t="shared" si="0"/>
        <v>0</v>
      </c>
      <c r="H8" s="126">
        <f t="shared" si="0"/>
        <v>16</v>
      </c>
      <c r="I8" s="126">
        <f t="shared" si="0"/>
        <v>19</v>
      </c>
      <c r="J8" s="126">
        <f t="shared" si="0"/>
        <v>0</v>
      </c>
      <c r="K8" s="126">
        <f t="shared" si="0"/>
        <v>0</v>
      </c>
      <c r="L8" s="126">
        <f t="shared" si="0"/>
        <v>0</v>
      </c>
      <c r="M8" s="126">
        <f t="shared" si="0"/>
        <v>16</v>
      </c>
      <c r="N8" s="126">
        <f t="shared" si="1"/>
        <v>0</v>
      </c>
      <c r="O8" s="126">
        <f t="shared" si="1"/>
        <v>19</v>
      </c>
      <c r="P8" s="126">
        <f t="shared" si="1"/>
        <v>0</v>
      </c>
      <c r="Q8" s="126">
        <f t="shared" si="1"/>
        <v>24</v>
      </c>
      <c r="R8" s="126">
        <f t="shared" si="1"/>
        <v>0</v>
      </c>
      <c r="S8" s="126">
        <f t="shared" si="1"/>
        <v>0</v>
      </c>
      <c r="T8" s="126">
        <f t="shared" si="1"/>
        <v>0</v>
      </c>
      <c r="U8" s="126">
        <f t="shared" si="1"/>
        <v>0</v>
      </c>
      <c r="V8" s="126">
        <f t="shared" si="1"/>
        <v>0</v>
      </c>
      <c r="W8" s="126">
        <f t="shared" si="1"/>
        <v>0</v>
      </c>
      <c r="X8" s="126">
        <f t="shared" si="1"/>
        <v>7</v>
      </c>
      <c r="Y8" s="126">
        <f t="shared" si="1"/>
        <v>0</v>
      </c>
      <c r="Z8" s="204">
        <f t="shared" si="2"/>
        <v>146</v>
      </c>
      <c r="AA8" s="125" t="str">
        <f t="shared" si="3"/>
        <v>Rojas</v>
      </c>
    </row>
    <row r="9" spans="2:27">
      <c r="B9" s="240" t="s">
        <v>168</v>
      </c>
      <c r="C9" s="240" t="s">
        <v>120</v>
      </c>
      <c r="D9" s="126">
        <f t="shared" si="0"/>
        <v>0</v>
      </c>
      <c r="E9" s="126">
        <f t="shared" si="0"/>
        <v>0</v>
      </c>
      <c r="F9" s="126">
        <f t="shared" si="0"/>
        <v>0</v>
      </c>
      <c r="G9" s="126">
        <f t="shared" si="0"/>
        <v>0</v>
      </c>
      <c r="H9" s="126">
        <f t="shared" si="0"/>
        <v>0</v>
      </c>
      <c r="I9" s="126">
        <f t="shared" si="0"/>
        <v>0</v>
      </c>
      <c r="J9" s="126">
        <f t="shared" si="0"/>
        <v>0</v>
      </c>
      <c r="K9" s="126">
        <f t="shared" si="0"/>
        <v>0</v>
      </c>
      <c r="L9" s="126">
        <f t="shared" si="0"/>
        <v>14</v>
      </c>
      <c r="M9" s="126">
        <f t="shared" si="0"/>
        <v>0</v>
      </c>
      <c r="N9" s="126">
        <f t="shared" si="1"/>
        <v>0</v>
      </c>
      <c r="O9" s="126">
        <f t="shared" si="1"/>
        <v>0</v>
      </c>
      <c r="P9" s="126">
        <f t="shared" si="1"/>
        <v>0</v>
      </c>
      <c r="Q9" s="126">
        <f t="shared" si="1"/>
        <v>0</v>
      </c>
      <c r="R9" s="126">
        <f t="shared" si="1"/>
        <v>0</v>
      </c>
      <c r="S9" s="126">
        <f t="shared" si="1"/>
        <v>0</v>
      </c>
      <c r="T9" s="126">
        <f t="shared" si="1"/>
        <v>11</v>
      </c>
      <c r="U9" s="126">
        <f t="shared" si="1"/>
        <v>0</v>
      </c>
      <c r="V9" s="126">
        <f t="shared" si="1"/>
        <v>0</v>
      </c>
      <c r="W9" s="126">
        <f t="shared" si="1"/>
        <v>0</v>
      </c>
      <c r="X9" s="126">
        <f t="shared" si="1"/>
        <v>0</v>
      </c>
      <c r="Y9" s="126">
        <f t="shared" si="1"/>
        <v>12</v>
      </c>
      <c r="Z9" s="204">
        <f t="shared" si="2"/>
        <v>37</v>
      </c>
      <c r="AA9" s="125" t="str">
        <f t="shared" si="3"/>
        <v>Schleck</v>
      </c>
    </row>
    <row r="10" spans="2:27">
      <c r="B10" s="240" t="s">
        <v>170</v>
      </c>
      <c r="C10" s="240" t="s">
        <v>166</v>
      </c>
      <c r="D10" s="126">
        <f t="shared" si="0"/>
        <v>0</v>
      </c>
      <c r="E10" s="126">
        <f t="shared" si="0"/>
        <v>0</v>
      </c>
      <c r="F10" s="126">
        <f t="shared" si="0"/>
        <v>0</v>
      </c>
      <c r="G10" s="126">
        <f t="shared" si="0"/>
        <v>0</v>
      </c>
      <c r="H10" s="126">
        <f t="shared" si="0"/>
        <v>14</v>
      </c>
      <c r="I10" s="126">
        <f t="shared" si="0"/>
        <v>0</v>
      </c>
      <c r="J10" s="126">
        <f t="shared" si="0"/>
        <v>30</v>
      </c>
      <c r="K10" s="126">
        <f t="shared" si="0"/>
        <v>0</v>
      </c>
      <c r="L10" s="126">
        <f t="shared" si="0"/>
        <v>0</v>
      </c>
      <c r="M10" s="126">
        <f t="shared" si="0"/>
        <v>0</v>
      </c>
      <c r="N10" s="126">
        <f t="shared" si="1"/>
        <v>0</v>
      </c>
      <c r="O10" s="126">
        <f t="shared" si="1"/>
        <v>0</v>
      </c>
      <c r="P10" s="126">
        <f t="shared" si="1"/>
        <v>6</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204">
        <f t="shared" si="2"/>
        <v>50</v>
      </c>
      <c r="AA10" s="125" t="str">
        <f t="shared" si="3"/>
        <v>Degenkolb</v>
      </c>
    </row>
    <row r="11" spans="2:27">
      <c r="B11" s="240" t="s">
        <v>107</v>
      </c>
      <c r="C11" s="240" t="s">
        <v>108</v>
      </c>
      <c r="D11" s="126">
        <f t="shared" si="0"/>
        <v>50</v>
      </c>
      <c r="E11" s="126">
        <f t="shared" si="0"/>
        <v>5</v>
      </c>
      <c r="F11" s="126">
        <f t="shared" si="0"/>
        <v>4</v>
      </c>
      <c r="G11" s="126">
        <f t="shared" si="0"/>
        <v>0</v>
      </c>
      <c r="H11" s="126">
        <f t="shared" si="0"/>
        <v>0</v>
      </c>
      <c r="I11" s="126">
        <f t="shared" si="0"/>
        <v>27</v>
      </c>
      <c r="J11" s="126">
        <f t="shared" si="0"/>
        <v>0</v>
      </c>
      <c r="K11" s="126">
        <f t="shared" si="0"/>
        <v>0</v>
      </c>
      <c r="L11" s="126">
        <f t="shared" si="0"/>
        <v>0</v>
      </c>
      <c r="M11" s="126">
        <f t="shared" si="0"/>
        <v>37</v>
      </c>
      <c r="N11" s="126">
        <f t="shared" si="1"/>
        <v>2</v>
      </c>
      <c r="O11" s="126">
        <f t="shared" si="1"/>
        <v>37</v>
      </c>
      <c r="P11" s="126">
        <f t="shared" si="1"/>
        <v>2</v>
      </c>
      <c r="Q11" s="126">
        <f t="shared" si="1"/>
        <v>2</v>
      </c>
      <c r="R11" s="126">
        <f t="shared" si="1"/>
        <v>2</v>
      </c>
      <c r="S11" s="126">
        <f t="shared" si="1"/>
        <v>2</v>
      </c>
      <c r="T11" s="126">
        <f t="shared" si="1"/>
        <v>2</v>
      </c>
      <c r="U11" s="126">
        <f t="shared" si="1"/>
        <v>2</v>
      </c>
      <c r="V11" s="126">
        <f t="shared" si="1"/>
        <v>2</v>
      </c>
      <c r="W11" s="126">
        <f t="shared" si="1"/>
        <v>2</v>
      </c>
      <c r="X11" s="126">
        <f t="shared" si="1"/>
        <v>37</v>
      </c>
      <c r="Y11" s="126">
        <f t="shared" si="1"/>
        <v>3</v>
      </c>
      <c r="Z11" s="204">
        <f t="shared" si="2"/>
        <v>218</v>
      </c>
      <c r="AA11" s="125" t="str">
        <f t="shared" si="3"/>
        <v>Kittel</v>
      </c>
    </row>
    <row r="12" spans="2:27">
      <c r="B12" s="240" t="s">
        <v>145</v>
      </c>
      <c r="C12" s="240" t="s">
        <v>146</v>
      </c>
      <c r="D12" s="126">
        <f t="shared" si="0"/>
        <v>0</v>
      </c>
      <c r="E12" s="126">
        <f t="shared" si="0"/>
        <v>0</v>
      </c>
      <c r="F12" s="126">
        <f t="shared" si="0"/>
        <v>0</v>
      </c>
      <c r="G12" s="126">
        <f t="shared" si="0"/>
        <v>0</v>
      </c>
      <c r="H12" s="126">
        <f t="shared" si="0"/>
        <v>0</v>
      </c>
      <c r="I12" s="126">
        <f t="shared" si="0"/>
        <v>0</v>
      </c>
      <c r="J12" s="126">
        <f t="shared" si="0"/>
        <v>0</v>
      </c>
      <c r="K12" s="126">
        <f t="shared" si="0"/>
        <v>22</v>
      </c>
      <c r="L12" s="126">
        <f t="shared" si="0"/>
        <v>18</v>
      </c>
      <c r="M12" s="126">
        <f t="shared" si="0"/>
        <v>5</v>
      </c>
      <c r="N12" s="126">
        <f t="shared" si="1"/>
        <v>18</v>
      </c>
      <c r="O12" s="126">
        <f t="shared" si="1"/>
        <v>7</v>
      </c>
      <c r="P12" s="126">
        <f t="shared" si="1"/>
        <v>27</v>
      </c>
      <c r="Q12" s="126">
        <f t="shared" si="1"/>
        <v>8</v>
      </c>
      <c r="R12" s="126">
        <f t="shared" si="1"/>
        <v>28</v>
      </c>
      <c r="S12" s="126">
        <f t="shared" si="1"/>
        <v>8</v>
      </c>
      <c r="T12" s="126">
        <f t="shared" si="1"/>
        <v>39</v>
      </c>
      <c r="U12" s="126">
        <f t="shared" si="1"/>
        <v>24</v>
      </c>
      <c r="V12" s="126">
        <f t="shared" si="1"/>
        <v>9</v>
      </c>
      <c r="W12" s="126">
        <f t="shared" si="1"/>
        <v>26</v>
      </c>
      <c r="X12" s="126">
        <f t="shared" si="1"/>
        <v>7</v>
      </c>
      <c r="Y12" s="126">
        <f t="shared" si="1"/>
        <v>48</v>
      </c>
      <c r="Z12" s="204">
        <f t="shared" si="2"/>
        <v>294</v>
      </c>
      <c r="AA12" s="125" t="str">
        <f t="shared" si="3"/>
        <v>Contador</v>
      </c>
    </row>
    <row r="13" spans="2:27">
      <c r="B13" s="240" t="s">
        <v>105</v>
      </c>
      <c r="C13" s="240" t="s">
        <v>106</v>
      </c>
      <c r="D13" s="126">
        <f t="shared" si="0"/>
        <v>0</v>
      </c>
      <c r="E13" s="126">
        <f t="shared" si="0"/>
        <v>34</v>
      </c>
      <c r="F13" s="126">
        <f t="shared" si="0"/>
        <v>35</v>
      </c>
      <c r="G13" s="126">
        <f t="shared" si="0"/>
        <v>0</v>
      </c>
      <c r="H13" s="126">
        <f t="shared" si="0"/>
        <v>31</v>
      </c>
      <c r="I13" s="126">
        <f t="shared" si="0"/>
        <v>35</v>
      </c>
      <c r="J13" s="126">
        <f t="shared" si="0"/>
        <v>40</v>
      </c>
      <c r="K13" s="126">
        <f t="shared" si="0"/>
        <v>5</v>
      </c>
      <c r="L13" s="126">
        <f t="shared" si="0"/>
        <v>5</v>
      </c>
      <c r="M13" s="126">
        <f t="shared" si="0"/>
        <v>29</v>
      </c>
      <c r="N13" s="126">
        <f t="shared" si="1"/>
        <v>14</v>
      </c>
      <c r="O13" s="126">
        <f t="shared" si="1"/>
        <v>31</v>
      </c>
      <c r="P13" s="126">
        <f t="shared" si="1"/>
        <v>35</v>
      </c>
      <c r="Q13" s="126">
        <f t="shared" si="1"/>
        <v>5</v>
      </c>
      <c r="R13" s="126">
        <f t="shared" si="1"/>
        <v>5</v>
      </c>
      <c r="S13" s="126">
        <f t="shared" si="1"/>
        <v>5</v>
      </c>
      <c r="T13" s="126">
        <f t="shared" si="1"/>
        <v>5</v>
      </c>
      <c r="U13" s="126">
        <f t="shared" si="1"/>
        <v>5</v>
      </c>
      <c r="V13" s="126">
        <f t="shared" si="1"/>
        <v>5</v>
      </c>
      <c r="W13" s="126">
        <f t="shared" si="1"/>
        <v>5</v>
      </c>
      <c r="X13" s="126">
        <f t="shared" si="1"/>
        <v>29</v>
      </c>
      <c r="Y13" s="126">
        <f t="shared" si="1"/>
        <v>10</v>
      </c>
      <c r="Z13" s="204">
        <f t="shared" si="2"/>
        <v>368</v>
      </c>
      <c r="AA13" s="125" t="str">
        <f t="shared" si="3"/>
        <v>Sagan</v>
      </c>
    </row>
    <row r="14" spans="2:27">
      <c r="B14" s="240" t="s">
        <v>195</v>
      </c>
      <c r="C14" s="240" t="s">
        <v>148</v>
      </c>
      <c r="D14" s="126">
        <f t="shared" ref="D14:M20" si="4">INDEX(scorematrix,MATCH($C14,renners,0),MATCH(D$3,etappes,0))</f>
        <v>0</v>
      </c>
      <c r="E14" s="126">
        <f t="shared" si="4"/>
        <v>0</v>
      </c>
      <c r="F14" s="126">
        <f t="shared" si="4"/>
        <v>0</v>
      </c>
      <c r="G14" s="126">
        <f t="shared" si="4"/>
        <v>0</v>
      </c>
      <c r="H14" s="126">
        <f t="shared" si="4"/>
        <v>0</v>
      </c>
      <c r="I14" s="126">
        <f t="shared" si="4"/>
        <v>0</v>
      </c>
      <c r="J14" s="126">
        <f t="shared" si="4"/>
        <v>0</v>
      </c>
      <c r="K14" s="126">
        <f t="shared" si="4"/>
        <v>0</v>
      </c>
      <c r="L14" s="126">
        <f t="shared" si="4"/>
        <v>0</v>
      </c>
      <c r="M14" s="126">
        <f t="shared" si="4"/>
        <v>0</v>
      </c>
      <c r="N14" s="126">
        <f t="shared" ref="N14:Y20" si="5">INDEX(scorematrix,MATCH($C14,renners,0),MATCH(N$3,etappes,0))</f>
        <v>0</v>
      </c>
      <c r="O14" s="126">
        <f t="shared" si="5"/>
        <v>0</v>
      </c>
      <c r="P14" s="126">
        <f t="shared" si="5"/>
        <v>0</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204">
        <f t="shared" si="2"/>
        <v>0</v>
      </c>
      <c r="AA14" s="125" t="str">
        <f t="shared" si="3"/>
        <v>Pinot</v>
      </c>
    </row>
    <row r="15" spans="2:27">
      <c r="B15" s="240" t="s">
        <v>196</v>
      </c>
      <c r="C15" s="240" t="s">
        <v>197</v>
      </c>
      <c r="D15" s="126">
        <f t="shared" si="4"/>
        <v>0</v>
      </c>
      <c r="E15" s="126">
        <f t="shared" si="4"/>
        <v>0</v>
      </c>
      <c r="F15" s="126">
        <f t="shared" si="4"/>
        <v>0</v>
      </c>
      <c r="G15" s="126">
        <f t="shared" si="4"/>
        <v>0</v>
      </c>
      <c r="H15" s="126">
        <f t="shared" si="4"/>
        <v>0</v>
      </c>
      <c r="I15" s="126">
        <f t="shared" si="4"/>
        <v>0</v>
      </c>
      <c r="J15" s="126">
        <f t="shared" si="4"/>
        <v>0</v>
      </c>
      <c r="K15" s="126">
        <f t="shared" si="4"/>
        <v>0</v>
      </c>
      <c r="L15" s="126">
        <f t="shared" si="4"/>
        <v>0</v>
      </c>
      <c r="M15" s="126">
        <f t="shared" si="4"/>
        <v>0</v>
      </c>
      <c r="N15" s="126">
        <f t="shared" si="5"/>
        <v>0</v>
      </c>
      <c r="O15" s="126">
        <f t="shared" si="5"/>
        <v>0</v>
      </c>
      <c r="P15" s="126">
        <f t="shared" si="5"/>
        <v>0</v>
      </c>
      <c r="Q15" s="126">
        <f t="shared" si="5"/>
        <v>0</v>
      </c>
      <c r="R15" s="126">
        <f t="shared" si="5"/>
        <v>0</v>
      </c>
      <c r="S15" s="126">
        <f t="shared" si="5"/>
        <v>0</v>
      </c>
      <c r="T15" s="126">
        <f t="shared" si="5"/>
        <v>0</v>
      </c>
      <c r="U15" s="126">
        <f t="shared" si="5"/>
        <v>0</v>
      </c>
      <c r="V15" s="126">
        <f t="shared" si="5"/>
        <v>0</v>
      </c>
      <c r="W15" s="126">
        <f t="shared" si="5"/>
        <v>0</v>
      </c>
      <c r="X15" s="126">
        <f t="shared" si="5"/>
        <v>0</v>
      </c>
      <c r="Y15" s="126">
        <f t="shared" si="5"/>
        <v>0</v>
      </c>
      <c r="Z15" s="204">
        <f t="shared" si="2"/>
        <v>0</v>
      </c>
      <c r="AA15" s="125" t="str">
        <f t="shared" si="3"/>
        <v>Cunego</v>
      </c>
    </row>
    <row r="16" spans="2:27" s="182" customFormat="1">
      <c r="B16" s="240" t="s">
        <v>116</v>
      </c>
      <c r="C16" s="240" t="s">
        <v>67</v>
      </c>
      <c r="D16" s="126">
        <f t="shared" si="4"/>
        <v>0</v>
      </c>
      <c r="E16" s="126">
        <f t="shared" si="4"/>
        <v>0</v>
      </c>
      <c r="F16" s="126">
        <f t="shared" si="4"/>
        <v>0</v>
      </c>
      <c r="G16" s="126">
        <f t="shared" si="4"/>
        <v>0</v>
      </c>
      <c r="H16" s="126">
        <f t="shared" si="4"/>
        <v>39</v>
      </c>
      <c r="I16" s="126">
        <f t="shared" si="4"/>
        <v>27</v>
      </c>
      <c r="J16" s="126">
        <f t="shared" si="4"/>
        <v>0</v>
      </c>
      <c r="K16" s="126">
        <f t="shared" si="4"/>
        <v>3</v>
      </c>
      <c r="L16" s="126">
        <f t="shared" si="4"/>
        <v>3</v>
      </c>
      <c r="M16" s="126">
        <f t="shared" si="4"/>
        <v>29</v>
      </c>
      <c r="N16" s="126">
        <f t="shared" si="5"/>
        <v>3</v>
      </c>
      <c r="O16" s="126">
        <f t="shared" si="5"/>
        <v>34</v>
      </c>
      <c r="P16" s="126">
        <f t="shared" si="5"/>
        <v>39</v>
      </c>
      <c r="Q16" s="126">
        <f t="shared" si="5"/>
        <v>4</v>
      </c>
      <c r="R16" s="126">
        <f t="shared" si="5"/>
        <v>4</v>
      </c>
      <c r="S16" s="126">
        <f t="shared" si="5"/>
        <v>4</v>
      </c>
      <c r="T16" s="126">
        <f t="shared" si="5"/>
        <v>4</v>
      </c>
      <c r="U16" s="126">
        <f t="shared" si="5"/>
        <v>4</v>
      </c>
      <c r="V16" s="126">
        <f t="shared" si="5"/>
        <v>4</v>
      </c>
      <c r="W16" s="126">
        <f t="shared" si="5"/>
        <v>4</v>
      </c>
      <c r="X16" s="126">
        <f t="shared" si="5"/>
        <v>30</v>
      </c>
      <c r="Y16" s="126">
        <f t="shared" si="5"/>
        <v>7</v>
      </c>
      <c r="Z16" s="204">
        <f t="shared" si="2"/>
        <v>242</v>
      </c>
      <c r="AA16" s="125" t="str">
        <f t="shared" si="3"/>
        <v>Cavendish</v>
      </c>
    </row>
    <row r="17" spans="2:31">
      <c r="B17" s="240" t="s">
        <v>181</v>
      </c>
      <c r="C17" s="240" t="s">
        <v>114</v>
      </c>
      <c r="D17" s="126">
        <f t="shared" si="4"/>
        <v>0</v>
      </c>
      <c r="E17" s="126">
        <f t="shared" si="4"/>
        <v>0</v>
      </c>
      <c r="F17" s="126">
        <f t="shared" si="4"/>
        <v>0</v>
      </c>
      <c r="G17" s="126">
        <f t="shared" si="4"/>
        <v>0.1</v>
      </c>
      <c r="H17" s="126">
        <f t="shared" si="4"/>
        <v>4</v>
      </c>
      <c r="I17" s="126">
        <f t="shared" si="4"/>
        <v>12</v>
      </c>
      <c r="J17" s="126">
        <f t="shared" si="4"/>
        <v>4</v>
      </c>
      <c r="K17" s="126">
        <f t="shared" si="4"/>
        <v>50</v>
      </c>
      <c r="L17" s="126">
        <f t="shared" si="4"/>
        <v>26</v>
      </c>
      <c r="M17" s="126">
        <f t="shared" si="4"/>
        <v>14</v>
      </c>
      <c r="N17" s="126">
        <f t="shared" si="5"/>
        <v>44</v>
      </c>
      <c r="O17" s="126">
        <f t="shared" si="5"/>
        <v>26</v>
      </c>
      <c r="P17" s="126">
        <f t="shared" si="5"/>
        <v>14</v>
      </c>
      <c r="Q17" s="126">
        <f t="shared" si="5"/>
        <v>14</v>
      </c>
      <c r="R17" s="126">
        <f t="shared" si="5"/>
        <v>50</v>
      </c>
      <c r="S17" s="126">
        <f t="shared" si="5"/>
        <v>15</v>
      </c>
      <c r="T17" s="126">
        <f t="shared" si="5"/>
        <v>50</v>
      </c>
      <c r="U17" s="126">
        <f t="shared" si="5"/>
        <v>34</v>
      </c>
      <c r="V17" s="126">
        <f t="shared" si="5"/>
        <v>15</v>
      </c>
      <c r="W17" s="126">
        <f t="shared" si="5"/>
        <v>40</v>
      </c>
      <c r="X17" s="126">
        <f t="shared" si="5"/>
        <v>14</v>
      </c>
      <c r="Y17" s="126">
        <f t="shared" si="5"/>
        <v>77</v>
      </c>
      <c r="Z17" s="204">
        <f t="shared" si="2"/>
        <v>503.1</v>
      </c>
      <c r="AA17" s="125" t="str">
        <f t="shared" si="3"/>
        <v>Froome</v>
      </c>
    </row>
    <row r="18" spans="2:31" s="182" customFormat="1">
      <c r="B18" s="240" t="s">
        <v>149</v>
      </c>
      <c r="C18" s="240" t="s">
        <v>150</v>
      </c>
      <c r="D18" s="126">
        <f t="shared" si="4"/>
        <v>0</v>
      </c>
      <c r="E18" s="126">
        <f t="shared" si="4"/>
        <v>0</v>
      </c>
      <c r="F18" s="126">
        <f t="shared" si="4"/>
        <v>0</v>
      </c>
      <c r="G18" s="126">
        <f t="shared" si="4"/>
        <v>0</v>
      </c>
      <c r="H18" s="126">
        <f t="shared" si="4"/>
        <v>3</v>
      </c>
      <c r="I18" s="126">
        <f t="shared" si="4"/>
        <v>10</v>
      </c>
      <c r="J18" s="126">
        <f t="shared" si="4"/>
        <v>3</v>
      </c>
      <c r="K18" s="126">
        <f t="shared" si="4"/>
        <v>42</v>
      </c>
      <c r="L18" s="126">
        <f t="shared" si="4"/>
        <v>3</v>
      </c>
      <c r="M18" s="126">
        <f t="shared" si="4"/>
        <v>3</v>
      </c>
      <c r="N18" s="126">
        <f t="shared" si="5"/>
        <v>27</v>
      </c>
      <c r="O18" s="126">
        <f t="shared" si="5"/>
        <v>3</v>
      </c>
      <c r="P18" s="126">
        <f t="shared" si="5"/>
        <v>3</v>
      </c>
      <c r="Q18" s="126">
        <f t="shared" si="5"/>
        <v>3</v>
      </c>
      <c r="R18" s="126">
        <f t="shared" si="5"/>
        <v>11</v>
      </c>
      <c r="S18" s="126">
        <f t="shared" si="5"/>
        <v>0</v>
      </c>
      <c r="T18" s="126">
        <f t="shared" si="5"/>
        <v>0</v>
      </c>
      <c r="U18" s="126">
        <f t="shared" si="5"/>
        <v>20</v>
      </c>
      <c r="V18" s="126">
        <f t="shared" si="5"/>
        <v>0</v>
      </c>
      <c r="W18" s="126">
        <f t="shared" si="5"/>
        <v>22</v>
      </c>
      <c r="X18" s="126">
        <f t="shared" si="5"/>
        <v>0</v>
      </c>
      <c r="Y18" s="126">
        <f t="shared" si="5"/>
        <v>14</v>
      </c>
      <c r="Z18" s="204">
        <f t="shared" si="2"/>
        <v>167</v>
      </c>
      <c r="AA18" s="125" t="str">
        <f t="shared" si="3"/>
        <v>Porte</v>
      </c>
    </row>
    <row r="19" spans="2:31">
      <c r="B19" s="240" t="s">
        <v>118</v>
      </c>
      <c r="C19" s="240" t="s">
        <v>85</v>
      </c>
      <c r="D19" s="126">
        <f t="shared" si="4"/>
        <v>0</v>
      </c>
      <c r="E19" s="126">
        <f t="shared" si="4"/>
        <v>0</v>
      </c>
      <c r="F19" s="126">
        <f t="shared" si="4"/>
        <v>0</v>
      </c>
      <c r="G19" s="126">
        <f t="shared" si="4"/>
        <v>0</v>
      </c>
      <c r="H19" s="126">
        <f t="shared" si="4"/>
        <v>26</v>
      </c>
      <c r="I19" s="126">
        <f t="shared" si="4"/>
        <v>39</v>
      </c>
      <c r="J19" s="126">
        <f t="shared" si="4"/>
        <v>0</v>
      </c>
      <c r="K19" s="126">
        <f t="shared" si="4"/>
        <v>4</v>
      </c>
      <c r="L19" s="126">
        <f t="shared" si="4"/>
        <v>4</v>
      </c>
      <c r="M19" s="126">
        <f t="shared" si="4"/>
        <v>34</v>
      </c>
      <c r="N19" s="126">
        <f t="shared" si="5"/>
        <v>4</v>
      </c>
      <c r="O19" s="126">
        <f t="shared" si="5"/>
        <v>3</v>
      </c>
      <c r="P19" s="126">
        <f t="shared" si="5"/>
        <v>14</v>
      </c>
      <c r="Q19" s="126">
        <f t="shared" si="5"/>
        <v>3</v>
      </c>
      <c r="R19" s="126">
        <f t="shared" si="5"/>
        <v>3</v>
      </c>
      <c r="S19" s="126">
        <f t="shared" si="5"/>
        <v>3</v>
      </c>
      <c r="T19" s="126">
        <f t="shared" si="5"/>
        <v>3</v>
      </c>
      <c r="U19" s="126">
        <f t="shared" si="5"/>
        <v>3</v>
      </c>
      <c r="V19" s="126">
        <f t="shared" si="5"/>
        <v>3</v>
      </c>
      <c r="W19" s="126">
        <f t="shared" si="5"/>
        <v>3</v>
      </c>
      <c r="X19" s="126">
        <f t="shared" si="5"/>
        <v>33</v>
      </c>
      <c r="Y19" s="126">
        <f t="shared" si="5"/>
        <v>5</v>
      </c>
      <c r="Z19" s="204">
        <f t="shared" si="2"/>
        <v>187</v>
      </c>
      <c r="AA19" s="125" t="str">
        <f>C19</f>
        <v>Greipel</v>
      </c>
    </row>
    <row r="20" spans="2:31" ht="13.5" thickBot="1">
      <c r="B20" s="240" t="s">
        <v>110</v>
      </c>
      <c r="C20" s="240" t="s">
        <v>86</v>
      </c>
      <c r="D20" s="126">
        <f t="shared" si="4"/>
        <v>0</v>
      </c>
      <c r="E20" s="126">
        <f t="shared" si="4"/>
        <v>0</v>
      </c>
      <c r="F20" s="126">
        <f t="shared" si="4"/>
        <v>0</v>
      </c>
      <c r="G20" s="126">
        <f t="shared" si="4"/>
        <v>0</v>
      </c>
      <c r="H20" s="126">
        <f t="shared" si="4"/>
        <v>0</v>
      </c>
      <c r="I20" s="126">
        <f t="shared" si="4"/>
        <v>11</v>
      </c>
      <c r="J20" s="126">
        <f t="shared" si="4"/>
        <v>0</v>
      </c>
      <c r="K20" s="126">
        <f t="shared" si="4"/>
        <v>0</v>
      </c>
      <c r="L20" s="126">
        <f t="shared" si="4"/>
        <v>0</v>
      </c>
      <c r="M20" s="126">
        <f t="shared" si="4"/>
        <v>15</v>
      </c>
      <c r="N20" s="126">
        <f t="shared" si="5"/>
        <v>0</v>
      </c>
      <c r="O20" s="126">
        <f t="shared" si="5"/>
        <v>0</v>
      </c>
      <c r="P20" s="126">
        <f t="shared" si="5"/>
        <v>0</v>
      </c>
      <c r="Q20" s="126">
        <f t="shared" si="5"/>
        <v>0</v>
      </c>
      <c r="R20" s="126">
        <f t="shared" si="5"/>
        <v>0</v>
      </c>
      <c r="S20" s="126">
        <f t="shared" si="5"/>
        <v>0</v>
      </c>
      <c r="T20" s="126">
        <f t="shared" si="5"/>
        <v>0</v>
      </c>
      <c r="U20" s="126">
        <f t="shared" si="5"/>
        <v>0</v>
      </c>
      <c r="V20" s="126">
        <f t="shared" si="5"/>
        <v>0</v>
      </c>
      <c r="W20" s="126">
        <f t="shared" si="5"/>
        <v>0</v>
      </c>
      <c r="X20" s="126">
        <f t="shared" si="5"/>
        <v>14</v>
      </c>
      <c r="Y20" s="126">
        <f t="shared" si="5"/>
        <v>0</v>
      </c>
      <c r="Z20" s="204">
        <f t="shared" si="2"/>
        <v>40</v>
      </c>
      <c r="AA20" s="125" t="str">
        <f>C20</f>
        <v>Goss</v>
      </c>
    </row>
    <row r="21" spans="2:31" s="183" customFormat="1">
      <c r="B21" s="247"/>
      <c r="C21" s="241"/>
      <c r="D21" s="196"/>
      <c r="E21" s="196"/>
      <c r="F21" s="196"/>
      <c r="G21" s="196"/>
      <c r="H21" s="196"/>
      <c r="I21" s="196"/>
      <c r="J21" s="196"/>
      <c r="K21" s="196"/>
      <c r="L21" s="196">
        <f>L26</f>
        <v>26</v>
      </c>
      <c r="M21" s="196"/>
      <c r="N21" s="196">
        <f>N24</f>
        <v>35</v>
      </c>
      <c r="O21" s="196"/>
      <c r="P21" s="196"/>
      <c r="Q21" s="196"/>
      <c r="R21" s="196"/>
      <c r="S21" s="196"/>
      <c r="T21" s="196"/>
      <c r="U21" s="196"/>
      <c r="V21" s="196"/>
      <c r="W21" s="196"/>
      <c r="X21" s="196">
        <f>X25</f>
        <v>0</v>
      </c>
      <c r="Y21" s="196"/>
      <c r="Z21" s="281">
        <f t="shared" si="2"/>
        <v>61</v>
      </c>
      <c r="AE21" s="125" t="str">
        <f>PROPER(AC21)</f>
        <v/>
      </c>
    </row>
    <row r="22" spans="2:31" s="129" customFormat="1">
      <c r="B22" s="248"/>
      <c r="C22" s="242"/>
      <c r="D22" s="184">
        <f t="shared" ref="D22:Z22" si="6">SUM(D4:D21)</f>
        <v>112</v>
      </c>
      <c r="E22" s="184">
        <f t="shared" ref="E22" si="7">SUM(E4:E21)</f>
        <v>42</v>
      </c>
      <c r="F22" s="184">
        <f>SUM(F4:F21)</f>
        <v>68</v>
      </c>
      <c r="G22" s="184">
        <f t="shared" si="6"/>
        <v>0.1</v>
      </c>
      <c r="H22" s="184">
        <f t="shared" si="6"/>
        <v>156</v>
      </c>
      <c r="I22" s="184">
        <f t="shared" si="6"/>
        <v>202</v>
      </c>
      <c r="J22" s="184">
        <f t="shared" si="6"/>
        <v>77</v>
      </c>
      <c r="K22" s="184">
        <f t="shared" si="6"/>
        <v>167</v>
      </c>
      <c r="L22" s="184">
        <f t="shared" si="6"/>
        <v>138</v>
      </c>
      <c r="M22" s="184">
        <f t="shared" si="6"/>
        <v>211</v>
      </c>
      <c r="N22" s="184">
        <f t="shared" si="6"/>
        <v>153</v>
      </c>
      <c r="O22" s="184">
        <f t="shared" si="6"/>
        <v>199</v>
      </c>
      <c r="P22" s="184">
        <f t="shared" si="6"/>
        <v>147</v>
      </c>
      <c r="Q22" s="184">
        <f t="shared" si="6"/>
        <v>80</v>
      </c>
      <c r="R22" s="184">
        <f t="shared" si="6"/>
        <v>170</v>
      </c>
      <c r="S22" s="184">
        <f t="shared" si="6"/>
        <v>52</v>
      </c>
      <c r="T22" s="184">
        <f t="shared" si="6"/>
        <v>193</v>
      </c>
      <c r="U22" s="184">
        <f t="shared" si="6"/>
        <v>188</v>
      </c>
      <c r="V22" s="184">
        <f t="shared" si="6"/>
        <v>55</v>
      </c>
      <c r="W22" s="184">
        <f t="shared" si="6"/>
        <v>192</v>
      </c>
      <c r="X22" s="184">
        <f t="shared" si="6"/>
        <v>216</v>
      </c>
      <c r="Y22" s="184">
        <f t="shared" si="6"/>
        <v>302</v>
      </c>
      <c r="Z22" s="282">
        <f t="shared" si="6"/>
        <v>3120.1</v>
      </c>
      <c r="AE22" s="125" t="str">
        <f>PROPER(AC22)</f>
        <v/>
      </c>
    </row>
    <row r="23" spans="2:31" s="185" customFormat="1">
      <c r="B23" s="249"/>
      <c r="C23" s="243"/>
      <c r="D23" s="161"/>
      <c r="E23" s="161"/>
      <c r="F23" s="161"/>
      <c r="G23" s="186"/>
      <c r="H23" s="161"/>
      <c r="I23" s="161"/>
      <c r="J23" s="161"/>
      <c r="K23" s="161"/>
      <c r="L23" s="161"/>
      <c r="M23" s="161"/>
      <c r="N23" s="161"/>
      <c r="O23" s="161"/>
      <c r="P23" s="161"/>
      <c r="Q23" s="161"/>
      <c r="R23" s="161"/>
      <c r="S23" s="161"/>
      <c r="T23" s="161"/>
      <c r="U23" s="161"/>
      <c r="V23" s="161"/>
      <c r="W23" s="161"/>
      <c r="X23" s="161"/>
      <c r="Y23" s="161"/>
      <c r="Z23" s="283"/>
      <c r="AC23" s="125"/>
    </row>
    <row r="24" spans="2:31" s="188" customFormat="1">
      <c r="B24" s="246" t="s">
        <v>198</v>
      </c>
      <c r="C24" s="240" t="s">
        <v>70</v>
      </c>
      <c r="D24" s="211">
        <f t="shared" ref="D24:Y26" si="8">INDEX(scorematrix,MATCH($C24,renners,0),MATCH(D$3,etappes,0))</f>
        <v>0</v>
      </c>
      <c r="E24" s="211">
        <f t="shared" si="8"/>
        <v>0</v>
      </c>
      <c r="F24" s="211">
        <f t="shared" si="8"/>
        <v>0</v>
      </c>
      <c r="G24" s="211">
        <f t="shared" si="8"/>
        <v>0</v>
      </c>
      <c r="H24" s="211">
        <f t="shared" si="8"/>
        <v>0</v>
      </c>
      <c r="I24" s="211">
        <f t="shared" si="8"/>
        <v>0</v>
      </c>
      <c r="J24" s="211">
        <f t="shared" si="8"/>
        <v>0</v>
      </c>
      <c r="K24" s="211">
        <f t="shared" si="8"/>
        <v>0</v>
      </c>
      <c r="L24" s="211">
        <f t="shared" si="8"/>
        <v>0</v>
      </c>
      <c r="M24" s="211">
        <f t="shared" si="8"/>
        <v>0</v>
      </c>
      <c r="N24" s="280">
        <f t="shared" si="8"/>
        <v>35</v>
      </c>
      <c r="O24" s="211">
        <f t="shared" si="8"/>
        <v>0</v>
      </c>
      <c r="P24" s="211">
        <f t="shared" si="8"/>
        <v>0</v>
      </c>
      <c r="Q24" s="211">
        <f t="shared" si="8"/>
        <v>0</v>
      </c>
      <c r="R24" s="211">
        <f t="shared" si="8"/>
        <v>0</v>
      </c>
      <c r="S24" s="211">
        <f t="shared" si="8"/>
        <v>0</v>
      </c>
      <c r="T24" s="211">
        <f t="shared" si="8"/>
        <v>0</v>
      </c>
      <c r="U24" s="211">
        <f t="shared" si="8"/>
        <v>0</v>
      </c>
      <c r="V24" s="211">
        <f t="shared" si="8"/>
        <v>0</v>
      </c>
      <c r="W24" s="211">
        <f t="shared" si="8"/>
        <v>0</v>
      </c>
      <c r="X24" s="211">
        <f t="shared" si="8"/>
        <v>0</v>
      </c>
      <c r="Y24" s="211">
        <f t="shared" si="8"/>
        <v>0</v>
      </c>
      <c r="Z24" s="284">
        <f>SUM(D24:Y24)</f>
        <v>35</v>
      </c>
      <c r="AC24" s="197"/>
      <c r="AE24" s="197"/>
    </row>
    <row r="25" spans="2:31" s="188" customFormat="1">
      <c r="B25" s="246" t="s">
        <v>199</v>
      </c>
      <c r="C25" s="244" t="s">
        <v>200</v>
      </c>
      <c r="D25" s="211">
        <f t="shared" si="8"/>
        <v>0</v>
      </c>
      <c r="E25" s="211">
        <f t="shared" si="8"/>
        <v>0</v>
      </c>
      <c r="F25" s="211">
        <f t="shared" si="8"/>
        <v>0</v>
      </c>
      <c r="G25" s="211">
        <f t="shared" si="8"/>
        <v>0</v>
      </c>
      <c r="H25" s="211">
        <f t="shared" si="8"/>
        <v>8</v>
      </c>
      <c r="I25" s="211">
        <f t="shared" si="8"/>
        <v>0</v>
      </c>
      <c r="J25" s="211">
        <f t="shared" si="8"/>
        <v>0</v>
      </c>
      <c r="K25" s="211">
        <f t="shared" si="8"/>
        <v>0</v>
      </c>
      <c r="L25" s="211">
        <f t="shared" si="8"/>
        <v>0</v>
      </c>
      <c r="M25" s="211">
        <f t="shared" si="8"/>
        <v>0</v>
      </c>
      <c r="N25" s="211">
        <f t="shared" si="8"/>
        <v>0</v>
      </c>
      <c r="O25" s="211">
        <f t="shared" si="8"/>
        <v>14</v>
      </c>
      <c r="P25" s="211">
        <f t="shared" si="8"/>
        <v>0</v>
      </c>
      <c r="Q25" s="211">
        <f t="shared" si="8"/>
        <v>0</v>
      </c>
      <c r="R25" s="211">
        <f t="shared" si="8"/>
        <v>0</v>
      </c>
      <c r="S25" s="211">
        <f t="shared" si="8"/>
        <v>0</v>
      </c>
      <c r="T25" s="211">
        <f t="shared" si="8"/>
        <v>0</v>
      </c>
      <c r="U25" s="211">
        <f t="shared" si="8"/>
        <v>0</v>
      </c>
      <c r="V25" s="211">
        <f t="shared" si="8"/>
        <v>0</v>
      </c>
      <c r="W25" s="211">
        <f t="shared" si="8"/>
        <v>0</v>
      </c>
      <c r="X25" s="280">
        <f t="shared" si="8"/>
        <v>0</v>
      </c>
      <c r="Y25" s="211">
        <f t="shared" si="8"/>
        <v>0</v>
      </c>
      <c r="Z25" s="284">
        <f>SUM(D25:Y25)</f>
        <v>22</v>
      </c>
      <c r="AC25" s="197"/>
      <c r="AE25" s="197"/>
    </row>
    <row r="26" spans="2:31" s="188" customFormat="1">
      <c r="B26" s="246" t="s">
        <v>82</v>
      </c>
      <c r="C26" s="244" t="s">
        <v>83</v>
      </c>
      <c r="D26" s="211">
        <f t="shared" si="8"/>
        <v>0</v>
      </c>
      <c r="E26" s="211">
        <f t="shared" si="8"/>
        <v>0</v>
      </c>
      <c r="F26" s="211">
        <f t="shared" si="8"/>
        <v>0</v>
      </c>
      <c r="G26" s="211">
        <f t="shared" si="8"/>
        <v>0</v>
      </c>
      <c r="H26" s="211">
        <f t="shared" si="8"/>
        <v>0</v>
      </c>
      <c r="I26" s="211">
        <f t="shared" si="8"/>
        <v>0</v>
      </c>
      <c r="J26" s="211">
        <f t="shared" si="8"/>
        <v>0</v>
      </c>
      <c r="K26" s="211">
        <f t="shared" si="8"/>
        <v>31</v>
      </c>
      <c r="L26" s="280">
        <f t="shared" si="8"/>
        <v>26</v>
      </c>
      <c r="M26" s="211">
        <f t="shared" si="8"/>
        <v>8</v>
      </c>
      <c r="N26" s="211">
        <f t="shared" si="8"/>
        <v>23</v>
      </c>
      <c r="O26" s="211">
        <f t="shared" si="8"/>
        <v>8</v>
      </c>
      <c r="P26" s="211">
        <f t="shared" si="8"/>
        <v>35</v>
      </c>
      <c r="Q26" s="211">
        <f t="shared" si="8"/>
        <v>9</v>
      </c>
      <c r="R26" s="211">
        <f t="shared" si="8"/>
        <v>27</v>
      </c>
      <c r="S26" s="211">
        <f t="shared" si="8"/>
        <v>9</v>
      </c>
      <c r="T26" s="211">
        <f t="shared" si="8"/>
        <v>22</v>
      </c>
      <c r="U26" s="211">
        <f t="shared" si="8"/>
        <v>5</v>
      </c>
      <c r="V26" s="211">
        <f t="shared" si="8"/>
        <v>5</v>
      </c>
      <c r="W26" s="211">
        <f t="shared" si="8"/>
        <v>15</v>
      </c>
      <c r="X26" s="211">
        <f t="shared" si="8"/>
        <v>5</v>
      </c>
      <c r="Y26" s="211">
        <f t="shared" si="8"/>
        <v>40</v>
      </c>
      <c r="Z26" s="284">
        <f>SUM(D26:Y26)</f>
        <v>268</v>
      </c>
      <c r="AE26" s="197"/>
    </row>
    <row r="31" spans="2:31">
      <c r="C31" s="199"/>
    </row>
    <row r="35" spans="3:3">
      <c r="C35" s="199"/>
    </row>
    <row r="36" spans="3:3">
      <c r="C36" s="199"/>
    </row>
    <row r="37" spans="3:3">
      <c r="C37" s="126"/>
    </row>
    <row r="38" spans="3:3">
      <c r="C38" s="126"/>
    </row>
    <row r="39" spans="3:3">
      <c r="C39" s="126"/>
    </row>
    <row r="40" spans="3:3">
      <c r="C40" s="126"/>
    </row>
    <row r="42" spans="3:3">
      <c r="C42" s="126"/>
    </row>
    <row r="43" spans="3:3">
      <c r="C43" s="126"/>
    </row>
    <row r="44" spans="3:3">
      <c r="C44" s="126"/>
    </row>
    <row r="45" spans="3:3">
      <c r="C45" s="126"/>
    </row>
    <row r="46" spans="3:3">
      <c r="C46" s="126"/>
    </row>
    <row r="47" spans="3:3">
      <c r="C47" s="126"/>
    </row>
    <row r="48" spans="3:3">
      <c r="C48" s="126"/>
    </row>
    <row r="49" spans="3:3">
      <c r="C49" s="126"/>
    </row>
    <row r="50" spans="3:3">
      <c r="C50" s="126"/>
    </row>
    <row r="51" spans="3:3">
      <c r="C51" s="126"/>
    </row>
    <row r="52" spans="3:3">
      <c r="C52" s="126"/>
    </row>
    <row r="53" spans="3:3">
      <c r="C53" s="126"/>
    </row>
    <row r="54" spans="3:3">
      <c r="C54" s="126"/>
    </row>
    <row r="55" spans="3:3">
      <c r="C55" s="126"/>
    </row>
    <row r="56" spans="3:3">
      <c r="C56" s="126"/>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22</vt:i4>
      </vt:variant>
      <vt:variant>
        <vt:lpstr>Grafieken</vt:lpstr>
      </vt:variant>
      <vt:variant>
        <vt:i4>3</vt:i4>
      </vt:variant>
      <vt:variant>
        <vt:lpstr>Benoemde bereiken</vt:lpstr>
      </vt:variant>
      <vt:variant>
        <vt:i4>7</vt:i4>
      </vt:variant>
    </vt:vector>
  </HeadingPairs>
  <TitlesOfParts>
    <vt:vector size="32" baseType="lpstr">
      <vt:lpstr>Etappes</vt:lpstr>
      <vt:lpstr>originaliteit</vt:lpstr>
      <vt:lpstr>Teams</vt:lpstr>
      <vt:lpstr>Score</vt:lpstr>
      <vt:lpstr>Selfkant</vt:lpstr>
      <vt:lpstr>Gran</vt:lpstr>
      <vt:lpstr>Lange</vt:lpstr>
      <vt:lpstr>Tour</vt:lpstr>
      <vt:lpstr>Tin</vt:lpstr>
      <vt:lpstr>SVU</vt:lpstr>
      <vt:lpstr>IJff</vt:lpstr>
      <vt:lpstr>Sale</vt:lpstr>
      <vt:lpstr>Theo</vt:lpstr>
      <vt:lpstr>Casper</vt:lpstr>
      <vt:lpstr>Vino</vt:lpstr>
      <vt:lpstr>Omer</vt:lpstr>
      <vt:lpstr>TTT</vt:lpstr>
      <vt:lpstr>BertT</vt:lpstr>
      <vt:lpstr>Lothar</vt:lpstr>
      <vt:lpstr>Ami</vt:lpstr>
      <vt:lpstr>Niet</vt:lpstr>
      <vt:lpstr>HANDLEIDING</vt:lpstr>
      <vt:lpstr>Grafiek</vt:lpstr>
      <vt:lpstr>Grafiek (2)</vt:lpstr>
      <vt:lpstr>Grafiek (3)</vt:lpstr>
      <vt:lpstr>Etappes!Afdrukbereik</vt:lpstr>
      <vt:lpstr>originaliteit!Afdrukbereik</vt:lpstr>
      <vt:lpstr>etappes</vt:lpstr>
      <vt:lpstr>lijst_sheets</vt:lpstr>
      <vt:lpstr>lijst_teams</vt:lpstr>
      <vt:lpstr>renners</vt:lpstr>
      <vt:lpstr>scorematrix</vt:lpstr>
    </vt:vector>
  </TitlesOfParts>
  <Company>Universiteit Utrecht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Ernest</cp:lastModifiedBy>
  <cp:lastPrinted>2008-07-22T15:56:34Z</cp:lastPrinted>
  <dcterms:created xsi:type="dcterms:W3CDTF">2000-07-22T17:05:22Z</dcterms:created>
  <dcterms:modified xsi:type="dcterms:W3CDTF">2013-07-22T09:07:19Z</dcterms:modified>
</cp:coreProperties>
</file>